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drascd7-IEHAZMA130276" sheetId="1" r:id="rId1"/>
  </sheets>
  <calcPr calcId="145621"/>
</workbook>
</file>

<file path=xl/calcChain.xml><?xml version="1.0" encoding="utf-8"?>
<calcChain xmlns="http://schemas.openxmlformats.org/spreadsheetml/2006/main">
  <c r="P230" i="1" l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<sst xmlns="http://schemas.openxmlformats.org/spreadsheetml/2006/main" count="4738" uniqueCount="610">
  <si>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</si>
  <si>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</si>
  <si>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</si>
  <si>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</si>
  <si>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</si>
  <si>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</si>
  <si>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</si>
  <si>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</si>
  <si>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</si>
  <si>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</si>
  <si>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</si>
  <si>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</si>
  <si>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</si>
  <si>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</si>
  <si>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</si>
  <si>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</si>
  <si>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</si>
  <si>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</si>
  <si>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</si>
  <si>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</si>
  <si>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</si>
  <si>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</si>
  <si>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</si>
  <si>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</si>
  <si>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</si>
  <si>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</si>
  <si>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</si>
  <si>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</si>
  <si>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</si>
  <si>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</si>
  <si>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</si>
  <si>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</si>
  <si>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</si>
  <si>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</si>
  <si>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</si>
  <si>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</si>
  <si>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</si>
  <si>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</si>
  <si>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</si>
  <si>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</si>
  <si>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</si>
  <si>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</si>
  <si>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</si>
  <si>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</si>
  <si>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</si>
  <si>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</si>
  <si>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</si>
  <si>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</si>
  <si>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</si>
  <si>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</si>
  <si>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</si>
  <si>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</si>
  <si>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</si>
  <si>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</si>
  <si>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</si>
  <si>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</si>
  <si>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</si>
  <si>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</si>
  <si>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</si>
  <si>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</si>
  <si>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</si>
  <si>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</si>
  <si>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</si>
  <si>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</si>
  <si>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</si>
  <si>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</si>
  <si>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</si>
  <si>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</si>
  <si>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</si>
  <si>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</si>
  <si>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</si>
  <si>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</si>
  <si>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</si>
  <si>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</si>
  <si>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</si>
  <si>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</si>
  <si>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</si>
  <si>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 LINE SA GREETINGS       </t>
  </si>
  <si>
    <t xml:space="preserve">                                   </t>
  </si>
  <si>
    <t>PIET1</t>
  </si>
  <si>
    <t>PIETERMARITZBURG</t>
  </si>
  <si>
    <t xml:space="preserve">JUPIDEX                            </t>
  </si>
  <si>
    <t>ON2</t>
  </si>
  <si>
    <t>CORNELIA GEYER</t>
  </si>
  <si>
    <t>ROFI LEGODI</t>
  </si>
  <si>
    <t>?</t>
  </si>
  <si>
    <t>FUE / doc</t>
  </si>
  <si>
    <t>PARCEL</t>
  </si>
  <si>
    <t>no</t>
  </si>
  <si>
    <t>SPRI3</t>
  </si>
  <si>
    <t>SPRINGS</t>
  </si>
  <si>
    <t xml:space="preserve">NA                                 </t>
  </si>
  <si>
    <t>PONTRO APLHI</t>
  </si>
  <si>
    <t>pontsho</t>
  </si>
  <si>
    <t>yes</t>
  </si>
  <si>
    <t>POD received from cell 0715155602 M</t>
  </si>
  <si>
    <t>CAPET</t>
  </si>
  <si>
    <t>CAPE TOWN</t>
  </si>
  <si>
    <t>NA</t>
  </si>
  <si>
    <t>VERWO</t>
  </si>
  <si>
    <t>CENTURION</t>
  </si>
  <si>
    <t xml:space="preserve">MOMARTUM                           </t>
  </si>
  <si>
    <t>DENVELLE</t>
  </si>
  <si>
    <t>MOHAMED</t>
  </si>
  <si>
    <t>PRETO</t>
  </si>
  <si>
    <t>PRETORIA</t>
  </si>
  <si>
    <t xml:space="preserve">HERWELS                            </t>
  </si>
  <si>
    <t>PAARL</t>
  </si>
  <si>
    <t>AYDAN MOUTAN</t>
  </si>
  <si>
    <t xml:space="preserve">SA GREETINGS                       </t>
  </si>
  <si>
    <t>ON1</t>
  </si>
  <si>
    <t>ALWYN</t>
  </si>
  <si>
    <t>WILMA BRIKKELS</t>
  </si>
  <si>
    <t>Michael security</t>
  </si>
  <si>
    <t>FUE / DOC</t>
  </si>
  <si>
    <t>POD received from cell 0665730748 M</t>
  </si>
  <si>
    <t>DURBA</t>
  </si>
  <si>
    <t>DURBAN</t>
  </si>
  <si>
    <t xml:space="preserve">S.A GREETINGS                      </t>
  </si>
  <si>
    <t>DANIE</t>
  </si>
  <si>
    <t>SAMANTHA</t>
  </si>
  <si>
    <t>TONGA</t>
  </si>
  <si>
    <t>TONGAAT</t>
  </si>
  <si>
    <t xml:space="preserve">CARDIES                            </t>
  </si>
  <si>
    <t>PVT</t>
  </si>
  <si>
    <t>MANAGERS</t>
  </si>
  <si>
    <t>HND / FUE / DOC</t>
  </si>
  <si>
    <t>PINET</t>
  </si>
  <si>
    <t>PINETOWN</t>
  </si>
  <si>
    <t xml:space="preserve">CARDIES ONLINES                    </t>
  </si>
  <si>
    <t>DBC</t>
  </si>
  <si>
    <t>NONKOSI N</t>
  </si>
  <si>
    <t>FELICIA</t>
  </si>
  <si>
    <t>HND / FUE / doc</t>
  </si>
  <si>
    <t xml:space="preserve">CARDIES BAYSIDE                    </t>
  </si>
  <si>
    <t>.</t>
  </si>
  <si>
    <t xml:space="preserve">SA GREETING                        </t>
  </si>
  <si>
    <t>MANAGER</t>
  </si>
  <si>
    <t>Appointment required</t>
  </si>
  <si>
    <t>amt</t>
  </si>
  <si>
    <t>PIET2</t>
  </si>
  <si>
    <t>PIETERSBURG</t>
  </si>
  <si>
    <t xml:space="preserve">CARDIES MALL OF THE NORTH          </t>
  </si>
  <si>
    <t>ADELIA COOKED</t>
  </si>
  <si>
    <t>PORT3</t>
  </si>
  <si>
    <t>PORT ELIZABETH</t>
  </si>
  <si>
    <t xml:space="preserve">CARDLES BAYWEST                    </t>
  </si>
  <si>
    <t>CHANTEL DE KLERCK</t>
  </si>
  <si>
    <t>NELMARI</t>
  </si>
  <si>
    <t>EAST</t>
  </si>
  <si>
    <t>EAST LONDON</t>
  </si>
  <si>
    <t xml:space="preserve">S.A. GRETINGS                      </t>
  </si>
  <si>
    <t>KATE</t>
  </si>
  <si>
    <t>PATIENCE</t>
  </si>
  <si>
    <t>jojo</t>
  </si>
  <si>
    <t>Driver late</t>
  </si>
  <si>
    <t>AVW</t>
  </si>
  <si>
    <t>POD received from cell 0670556928 M</t>
  </si>
  <si>
    <t xml:space="preserve">CARDIES CANAL WALK                 </t>
  </si>
  <si>
    <t>CHANTEL DE KLERK</t>
  </si>
  <si>
    <t>KAYLIN</t>
  </si>
  <si>
    <t xml:space="preserve">CARDIES ONLINE                     </t>
  </si>
  <si>
    <t>ADELIA COOKE</t>
  </si>
  <si>
    <t>CSH / FUE / doc</t>
  </si>
  <si>
    <t>Senzo</t>
  </si>
  <si>
    <t>Late Linehaul Delayed Beyond Skynet Control</t>
  </si>
  <si>
    <t>SYSTEM</t>
  </si>
  <si>
    <t>POD received from cell 0814795132 M</t>
  </si>
  <si>
    <t xml:space="preserve">SHOPTITE                           </t>
  </si>
  <si>
    <t>JUSTINA RIDLER</t>
  </si>
  <si>
    <t>Olga</t>
  </si>
  <si>
    <t>POD received from cell 0746644640 M</t>
  </si>
  <si>
    <t>BOKSB</t>
  </si>
  <si>
    <t>BOKSBURG</t>
  </si>
  <si>
    <t xml:space="preserve">CARDIES EAST RAND MALL             </t>
  </si>
  <si>
    <t>N A</t>
  </si>
  <si>
    <t>NEWCA</t>
  </si>
  <si>
    <t>NEWCASTLE</t>
  </si>
  <si>
    <t xml:space="preserve">S.A. GREETINGS                     </t>
  </si>
  <si>
    <t>VANESSA PAUL</t>
  </si>
  <si>
    <t>VENESSA</t>
  </si>
  <si>
    <t>Outlying delivery location</t>
  </si>
  <si>
    <t>col</t>
  </si>
  <si>
    <t>MARGA</t>
  </si>
  <si>
    <t>MARGATE</t>
  </si>
  <si>
    <t xml:space="preserve">CARDIES HEADOFFICE                 </t>
  </si>
  <si>
    <t>YOGITA GOVENDER</t>
  </si>
  <si>
    <t>keke</t>
  </si>
  <si>
    <t>MIDRA</t>
  </si>
  <si>
    <t>MIDRAND</t>
  </si>
  <si>
    <t xml:space="preserve">CARDIES MALL OF AFRICA             </t>
  </si>
  <si>
    <t>AMANDA</t>
  </si>
  <si>
    <t xml:space="preserve">HOPE KINKELA LUSEMBO               </t>
  </si>
  <si>
    <t>HOPE KINKELA LUSEMBO</t>
  </si>
  <si>
    <t>Mbengi</t>
  </si>
  <si>
    <t>Consignee not available)</t>
  </si>
  <si>
    <t>POD received from cell 0818590343 M</t>
  </si>
  <si>
    <t>LYDEN</t>
  </si>
  <si>
    <t>LYDENBURG</t>
  </si>
  <si>
    <t xml:space="preserve">THEO VAN WYK                       </t>
  </si>
  <si>
    <t>THEO VAN WYK</t>
  </si>
  <si>
    <t>J  Boshoff</t>
  </si>
  <si>
    <t>POD received from cell 0617653659 M</t>
  </si>
  <si>
    <t xml:space="preserve">GABRIELLE SCHREADER                </t>
  </si>
  <si>
    <t>GABRIELLE</t>
  </si>
  <si>
    <t xml:space="preserve">A BREED                            </t>
  </si>
  <si>
    <t>michael</t>
  </si>
  <si>
    <t>DOC / FUE</t>
  </si>
  <si>
    <t xml:space="preserve">CARDIES MENLYN PARK                </t>
  </si>
  <si>
    <t xml:space="preserve">CARDIES EASTGATE UPPER             </t>
  </si>
  <si>
    <t>JOHNA ENGELBREHT</t>
  </si>
  <si>
    <t>jahna</t>
  </si>
  <si>
    <t>POD received from cell 0630509171 M</t>
  </si>
  <si>
    <t>KEMPT</t>
  </si>
  <si>
    <t>KEMPTON PARK</t>
  </si>
  <si>
    <t>MAELIZE VAN WTK</t>
  </si>
  <si>
    <t>Marcel</t>
  </si>
  <si>
    <t>POD received from cell 0810248653 M</t>
  </si>
  <si>
    <t>N koovargee</t>
  </si>
  <si>
    <t>POD received from cell 0848255037 M</t>
  </si>
  <si>
    <t xml:space="preserve">NA08                               </t>
  </si>
  <si>
    <t>BOTHSEVA</t>
  </si>
  <si>
    <t>Maria</t>
  </si>
  <si>
    <t>POD received from cell 0795555671 M</t>
  </si>
  <si>
    <t>ROODE</t>
  </si>
  <si>
    <t>ROODEPOORT</t>
  </si>
  <si>
    <t xml:space="preserve">CARDIES CLEARWATER                 </t>
  </si>
  <si>
    <t>VANDE</t>
  </si>
  <si>
    <t>VANDERBIJLPARK</t>
  </si>
  <si>
    <t xml:space="preserve">CAEDIES VAAL MALL                  </t>
  </si>
  <si>
    <t>ADELIA</t>
  </si>
  <si>
    <t xml:space="preserve">VERUDE                             </t>
  </si>
  <si>
    <t xml:space="preserve">CARDIES NICOLWAY                   </t>
  </si>
  <si>
    <t>VERONIKA SWARDT</t>
  </si>
  <si>
    <t>nonzinga</t>
  </si>
  <si>
    <t>POD received from cell 0729564722 M</t>
  </si>
  <si>
    <t>Box</t>
  </si>
  <si>
    <t>LYNETTE R</t>
  </si>
  <si>
    <t>PASTY</t>
  </si>
  <si>
    <t xml:space="preserve">CARDIES BEDFORD CENTRE             </t>
  </si>
  <si>
    <t>Thembi</t>
  </si>
  <si>
    <t>RANDB</t>
  </si>
  <si>
    <t>RANDBURG</t>
  </si>
  <si>
    <t xml:space="preserve">CAEDIES CRESTA CENTRE              </t>
  </si>
  <si>
    <t xml:space="preserve">CARDIES SANDTON FOOD COURT         </t>
  </si>
  <si>
    <t>clementia</t>
  </si>
  <si>
    <t>POD received from cell 0822272106 M</t>
  </si>
  <si>
    <t>KEARABETSWE</t>
  </si>
  <si>
    <t>POD received from cell 0647909777 M</t>
  </si>
  <si>
    <t xml:space="preserve">CARDIES VAAL MALL                  </t>
  </si>
  <si>
    <t>morena</t>
  </si>
  <si>
    <t>POD received from cell 0726258782 M</t>
  </si>
  <si>
    <t xml:space="preserve">CARDIES ROSEBANK                   </t>
  </si>
  <si>
    <t>PAULINE</t>
  </si>
  <si>
    <t>POD received from cell 0815375050 M</t>
  </si>
  <si>
    <t xml:space="preserve">CARDIES TYGERVALLEY                </t>
  </si>
  <si>
    <t>carmen</t>
  </si>
  <si>
    <t>POD received from cell 0848100592 M</t>
  </si>
  <si>
    <t xml:space="preserve">CARDIES CAVENDISH                  </t>
  </si>
  <si>
    <t>Sarah</t>
  </si>
  <si>
    <t>POD received from cell 0681920801 M</t>
  </si>
  <si>
    <t xml:space="preserve">CARDIES BALLITO JUNCTION           </t>
  </si>
  <si>
    <t>Nomfundo</t>
  </si>
  <si>
    <t>lep</t>
  </si>
  <si>
    <t>POD received from cell 0732603055 M</t>
  </si>
  <si>
    <t xml:space="preserve">CARDIES SHELLY BEACH               </t>
  </si>
  <si>
    <t>yogita</t>
  </si>
  <si>
    <t>POD received from cell 0849819699 M</t>
  </si>
  <si>
    <t>Murendeni</t>
  </si>
  <si>
    <t>POD received from cell 0795513816 M</t>
  </si>
  <si>
    <t xml:space="preserve">CARDIES CAPE GATE                  </t>
  </si>
  <si>
    <t>ayanda</t>
  </si>
  <si>
    <t>Rechay</t>
  </si>
  <si>
    <t>POD received from cell 0607360100 M</t>
  </si>
  <si>
    <t xml:space="preserve">CARDIES MUSGRAVE                   </t>
  </si>
  <si>
    <t>zama</t>
  </si>
  <si>
    <t>POD received from cell 0813808564 M</t>
  </si>
  <si>
    <t xml:space="preserve">CARDIES THE PAVILION               </t>
  </si>
  <si>
    <t>nosy</t>
  </si>
  <si>
    <t>POD received from cell 0748778015 M</t>
  </si>
  <si>
    <t xml:space="preserve">CARDIES MENLYN MAINE               </t>
  </si>
  <si>
    <t>esther</t>
  </si>
  <si>
    <t>frank</t>
  </si>
  <si>
    <t>Joyce</t>
  </si>
  <si>
    <t>POD received from cell 0837842726 M</t>
  </si>
  <si>
    <t xml:space="preserve">CARDIES MALL OF THE SOUTH          </t>
  </si>
  <si>
    <t>josiah</t>
  </si>
  <si>
    <t xml:space="preserve">PVT                                </t>
  </si>
  <si>
    <t>JABULILE M</t>
  </si>
  <si>
    <t>Thembisele</t>
  </si>
  <si>
    <t>POD received from cell 0676928033 M</t>
  </si>
  <si>
    <t xml:space="preserve">CARDIES CONSTANTIA VILLAGE         </t>
  </si>
  <si>
    <t>melissa</t>
  </si>
  <si>
    <t>POD received from cell 0760754539 M</t>
  </si>
  <si>
    <t xml:space="preserve">CARDIES THE REDS                   </t>
  </si>
  <si>
    <t>Bongi</t>
  </si>
  <si>
    <t>POD received from cell 0725230163 M</t>
  </si>
  <si>
    <t xml:space="preserve">CARDIES BAYWEST MALL (P.E)         </t>
  </si>
  <si>
    <t>sherron</t>
  </si>
  <si>
    <t>POD received from cell 0843582707 M</t>
  </si>
  <si>
    <t>sig</t>
  </si>
  <si>
    <t>POD received from cell 0643226593 M</t>
  </si>
  <si>
    <t xml:space="preserve">CARDIES CRESTA CENTRE              </t>
  </si>
  <si>
    <t>NINGE</t>
  </si>
  <si>
    <t xml:space="preserve">CARDIES BLUE ROUTE                 </t>
  </si>
  <si>
    <t>illeg</t>
  </si>
  <si>
    <t>CHANTEL</t>
  </si>
  <si>
    <t>CARMEN</t>
  </si>
  <si>
    <t>NAGIE NICHAS</t>
  </si>
  <si>
    <t>Angie</t>
  </si>
  <si>
    <t>Jade</t>
  </si>
  <si>
    <t>POD received from cell 0626229785 M</t>
  </si>
  <si>
    <t>Boxes</t>
  </si>
  <si>
    <t>BONGIE PATISWA</t>
  </si>
  <si>
    <t xml:space="preserve">RETRO ROBBIT PROFESSIONAL SERV     </t>
  </si>
  <si>
    <t>MELANIE VAN DER GOLF</t>
  </si>
  <si>
    <t>mr joe</t>
  </si>
  <si>
    <t>POD received from cell 0824283800 M</t>
  </si>
  <si>
    <t>SANDT</t>
  </si>
  <si>
    <t>SANDTON</t>
  </si>
  <si>
    <t xml:space="preserve">CARDIES SANDTON CITY               </t>
  </si>
  <si>
    <t>PRISCILLA</t>
  </si>
  <si>
    <t xml:space="preserve">ATLANTIC CAPE TRENDIHOLDINGS       </t>
  </si>
  <si>
    <t>REHANA MAY</t>
  </si>
  <si>
    <t>N NYONGWANA</t>
  </si>
  <si>
    <t>POD received from cell 0733966806 M</t>
  </si>
  <si>
    <t>AVISHAY SEWHARAIN</t>
  </si>
  <si>
    <t>thandi</t>
  </si>
  <si>
    <t>POD received from cell 0731123851 M</t>
  </si>
  <si>
    <t>Boshoff</t>
  </si>
  <si>
    <t>felicia</t>
  </si>
  <si>
    <t>POD received from cell 0730059234 M</t>
  </si>
  <si>
    <t>UMHLA</t>
  </si>
  <si>
    <t>UMHLANGA ROCKS</t>
  </si>
  <si>
    <t xml:space="preserve">CARDIES GATEWAY                    </t>
  </si>
  <si>
    <t>POD received from cell 0763784726 M</t>
  </si>
  <si>
    <t>Mary Selepe</t>
  </si>
  <si>
    <t>JAMIE YOUNG</t>
  </si>
  <si>
    <t>Michael   Care taker</t>
  </si>
  <si>
    <t>POD received from cell 0780245853 M</t>
  </si>
  <si>
    <t>KRUGE</t>
  </si>
  <si>
    <t>KRUGERSDORP</t>
  </si>
  <si>
    <t xml:space="preserve">pvt                                </t>
  </si>
  <si>
    <t>jane b</t>
  </si>
  <si>
    <t>Jane bantjies</t>
  </si>
  <si>
    <t>POD received from cell 0745495693 M</t>
  </si>
  <si>
    <t>MORGAN MATHEWS</t>
  </si>
  <si>
    <t>Morgan</t>
  </si>
  <si>
    <t xml:space="preserve">SA GREEINGS                        </t>
  </si>
  <si>
    <t>KESHIA ASPELING</t>
  </si>
  <si>
    <t xml:space="preserve">charmaine                     </t>
  </si>
  <si>
    <t xml:space="preserve">POD received from cell 0837429668 M     </t>
  </si>
  <si>
    <t>TEISMA PILLAY</t>
  </si>
  <si>
    <t>trisha</t>
  </si>
  <si>
    <t>POD received from cell 0744435413 M</t>
  </si>
  <si>
    <t>KERRI LEE</t>
  </si>
  <si>
    <t>Kerri</t>
  </si>
  <si>
    <t>CHANTELLE DE KLERK</t>
  </si>
  <si>
    <t>YOGITA</t>
  </si>
  <si>
    <t xml:space="preserve">CARDIES MALL OFTHE NORTH           </t>
  </si>
  <si>
    <t xml:space="preserve">SHOPRITE HEAD OFFICE               </t>
  </si>
  <si>
    <t>Justina Ridler</t>
  </si>
  <si>
    <t>MARE VAN ZYL</t>
  </si>
  <si>
    <t>Flyer</t>
  </si>
  <si>
    <t>MASHIM KOLIN</t>
  </si>
  <si>
    <t>Elsina</t>
  </si>
  <si>
    <t>POD received from cell 0748410312 M</t>
  </si>
  <si>
    <t xml:space="preserve">SA GREERINGS                       </t>
  </si>
  <si>
    <t>TRISHA PILLAY</t>
  </si>
  <si>
    <t>TRISHA</t>
  </si>
  <si>
    <t xml:space="preserve">CARDIES BAYWEST                    </t>
  </si>
  <si>
    <t xml:space="preserve">CARDIES BAYSIDE MALL               </t>
  </si>
  <si>
    <t xml:space="preserve">P V T                              </t>
  </si>
  <si>
    <t>MARIZA PESTANA</t>
  </si>
  <si>
    <t>Zukiswa</t>
  </si>
  <si>
    <t>POD received from cell 0736327910 M</t>
  </si>
  <si>
    <t>SWELL</t>
  </si>
  <si>
    <t>SWELLENDAM</t>
  </si>
  <si>
    <t>SUSAN LOURENS</t>
  </si>
  <si>
    <t>susan</t>
  </si>
  <si>
    <t>Late linehaul</t>
  </si>
  <si>
    <t>NGF</t>
  </si>
  <si>
    <t>NONKOSI</t>
  </si>
  <si>
    <t>MANAGER\</t>
  </si>
  <si>
    <t>NICKAYLA</t>
  </si>
  <si>
    <t>nicky</t>
  </si>
  <si>
    <t>ALWYN V HEERDEN</t>
  </si>
  <si>
    <t xml:space="preserve">CANTEL                             </t>
  </si>
  <si>
    <t>TZANE</t>
  </si>
  <si>
    <t>TZANEEN</t>
  </si>
  <si>
    <t>GOLIA MOTALA</t>
  </si>
  <si>
    <t>francinah</t>
  </si>
  <si>
    <t>POD received from cell 0732125467 M</t>
  </si>
  <si>
    <t xml:space="preserve">SA GREETINS                        </t>
  </si>
  <si>
    <t>DANIE   NUNO</t>
  </si>
  <si>
    <t>SECUN</t>
  </si>
  <si>
    <t>SECUNDA</t>
  </si>
  <si>
    <t>LENDA CROFFORD</t>
  </si>
  <si>
    <t>L Crofford</t>
  </si>
  <si>
    <t>Missed cutoff</t>
  </si>
  <si>
    <t>cch</t>
  </si>
  <si>
    <t>POD received from cell 0684995190 M</t>
  </si>
  <si>
    <t>SIEN LIEWELLYN</t>
  </si>
  <si>
    <t>Godfrey</t>
  </si>
  <si>
    <t>ERMEL</t>
  </si>
  <si>
    <t>ERMELO</t>
  </si>
  <si>
    <t xml:space="preserve">PRORTEA TYRES                      </t>
  </si>
  <si>
    <t>Benita</t>
  </si>
  <si>
    <t>POD received from cell 0766315057 M</t>
  </si>
  <si>
    <t>NONHLANHLA</t>
  </si>
  <si>
    <t xml:space="preserve">SA STREETINGS                      </t>
  </si>
  <si>
    <t>BREDA</t>
  </si>
  <si>
    <t>BREDASDORP</t>
  </si>
  <si>
    <t>JANUARIE</t>
  </si>
  <si>
    <t>Sophia</t>
  </si>
  <si>
    <t>POD received from cell 0731554347 M</t>
  </si>
  <si>
    <t xml:space="preserve">SA GREETINGS.                      </t>
  </si>
  <si>
    <t>ADELIA COOKE.</t>
  </si>
  <si>
    <t>tshidi</t>
  </si>
  <si>
    <t>KOKST</t>
  </si>
  <si>
    <t>KOKSTAD</t>
  </si>
  <si>
    <t xml:space="preserve">BRUNIGEL AND ASSOCIATS             </t>
  </si>
  <si>
    <t>FELICIA TERBLANCHE</t>
  </si>
  <si>
    <t>MICHELLE</t>
  </si>
  <si>
    <t>CATHY</t>
  </si>
  <si>
    <t>Ntsako</t>
  </si>
  <si>
    <t>POD received from cell 0839573774 M</t>
  </si>
  <si>
    <t xml:space="preserve">ABSOLUTE AVIATION                  </t>
  </si>
  <si>
    <t>Catherine</t>
  </si>
  <si>
    <t>POD received from cell 0742059629 M</t>
  </si>
  <si>
    <t>DAYNE DIPPERNAAR</t>
  </si>
  <si>
    <t>Dayne</t>
  </si>
  <si>
    <t>POD received from cell 0607554553 M</t>
  </si>
  <si>
    <t xml:space="preserve">ULIZA CRIAPS                       </t>
  </si>
  <si>
    <t>Eulie</t>
  </si>
  <si>
    <t>POD received from cell 0627181294 M</t>
  </si>
  <si>
    <t>VOLKS</t>
  </si>
  <si>
    <t>VOLKSRUST</t>
  </si>
  <si>
    <t xml:space="preserve">THE COUNER GUY                     </t>
  </si>
  <si>
    <t>PATRA MOOLMAN</t>
  </si>
  <si>
    <t>ILSNA</t>
  </si>
  <si>
    <t>POD received from cell 0792702449 M</t>
  </si>
  <si>
    <t>JOSEPHINE SEVUWA</t>
  </si>
  <si>
    <t>Josephine</t>
  </si>
  <si>
    <t>POD received from cell 0738058187 M</t>
  </si>
  <si>
    <t xml:space="preserve">CARDIES H O                        </t>
  </si>
  <si>
    <t>ADELIOA COOKE</t>
  </si>
  <si>
    <t xml:space="preserve">Michael security              </t>
  </si>
  <si>
    <t xml:space="preserve">POD received from cell 0665730748 M     </t>
  </si>
  <si>
    <t>A.COOKE</t>
  </si>
  <si>
    <t>SA GREETINGS</t>
  </si>
  <si>
    <t>TRYPHINA</t>
  </si>
  <si>
    <t xml:space="preserve">CARDIES THE REEDS                  </t>
  </si>
  <si>
    <t>CHANEL LISTER</t>
  </si>
  <si>
    <t>patsy</t>
  </si>
  <si>
    <t>POD received from cell 0837429668 M</t>
  </si>
  <si>
    <t xml:space="preserve">SA CLANEDINGE                      </t>
  </si>
  <si>
    <t>LINDI ENGALBRENTS</t>
  </si>
  <si>
    <t>lindi</t>
  </si>
  <si>
    <t>les</t>
  </si>
  <si>
    <t xml:space="preserve">SA GRETINGS                        </t>
  </si>
  <si>
    <t>JANNA</t>
  </si>
  <si>
    <t xml:space="preserve">patsy                         </t>
  </si>
  <si>
    <t>VENESSO NEIZON</t>
  </si>
  <si>
    <t>venessa</t>
  </si>
  <si>
    <t>GERMI</t>
  </si>
  <si>
    <t>GERMISTON</t>
  </si>
  <si>
    <t xml:space="preserve">SKYNET                             </t>
  </si>
  <si>
    <t xml:space="preserve">signed                        </t>
  </si>
  <si>
    <t xml:space="preserve">POD received from cell 0710251431 M     </t>
  </si>
  <si>
    <t>POTCH</t>
  </si>
  <si>
    <t>POTCHEFSTROOM</t>
  </si>
  <si>
    <t>REBETSWE MASERHA</t>
  </si>
  <si>
    <t>tshegofatso</t>
  </si>
  <si>
    <t>POD received from cell 0783054958 M</t>
  </si>
  <si>
    <t>LYNLYNNETTE VAN DER BERG</t>
  </si>
  <si>
    <t>Lynette</t>
  </si>
  <si>
    <t>POD received from cell 0795886601 M</t>
  </si>
  <si>
    <t xml:space="preserve">CARDIES PAVILLION                  </t>
  </si>
  <si>
    <t xml:space="preserve">CARDIES HEAD OFFICE                </t>
  </si>
  <si>
    <t xml:space="preserve">CARDIES-CAPE GATE                  </t>
  </si>
  <si>
    <t xml:space="preserve">BLUE HORIZON LICENSINE             </t>
  </si>
  <si>
    <t>RAADHIYAH</t>
  </si>
  <si>
    <t>Amana</t>
  </si>
  <si>
    <t>POD received from cell 0822621815 M</t>
  </si>
  <si>
    <t xml:space="preserve">felicia                       </t>
  </si>
  <si>
    <t xml:space="preserve">                                        </t>
  </si>
  <si>
    <t xml:space="preserve">S.A.GREETINGS                      </t>
  </si>
  <si>
    <t>BENON</t>
  </si>
  <si>
    <t>BENONI</t>
  </si>
  <si>
    <t>MEIMIE RUDLING</t>
  </si>
  <si>
    <t>Meimie</t>
  </si>
  <si>
    <t>POD received from cell 0682118246 M</t>
  </si>
  <si>
    <t>AGANG P</t>
  </si>
  <si>
    <t>GELICIA</t>
  </si>
  <si>
    <t>THEMBI</t>
  </si>
  <si>
    <t xml:space="preserve">ZAMA MAHLABA                       </t>
  </si>
  <si>
    <t>ZAMA</t>
  </si>
  <si>
    <t>ROFI LGADI</t>
  </si>
  <si>
    <t>samm</t>
  </si>
  <si>
    <t>POD received from cell 0736021580 M</t>
  </si>
  <si>
    <t xml:space="preserve">CARPIES BAYWEST                    </t>
  </si>
  <si>
    <t>b van vallenter</t>
  </si>
  <si>
    <t>POD received from cell 0686610275 M</t>
  </si>
  <si>
    <t xml:space="preserve">PHARMACY                           </t>
  </si>
  <si>
    <t xml:space="preserve">ARWYP MEDICAL                      </t>
  </si>
  <si>
    <t>CONRAD</t>
  </si>
  <si>
    <t>Peter</t>
  </si>
  <si>
    <t>mmd</t>
  </si>
  <si>
    <t>POD received from cell 0659348365 M</t>
  </si>
  <si>
    <t>TES</t>
  </si>
  <si>
    <t>POD received from cell 0616244616 M</t>
  </si>
  <si>
    <t>CARDIES</t>
  </si>
  <si>
    <t>MELISSA</t>
  </si>
  <si>
    <t xml:space="preserve">N A                                </t>
  </si>
  <si>
    <t>PRATIBHA BHANJEE</t>
  </si>
  <si>
    <t>ushiel</t>
  </si>
  <si>
    <t>POD received from cell 0749054183 M</t>
  </si>
  <si>
    <t xml:space="preserve">J LESLIE SMITH AND CO              </t>
  </si>
  <si>
    <t>J LESLIE SMITH   CO</t>
  </si>
  <si>
    <t xml:space="preserve">S E ZULUIA                    </t>
  </si>
  <si>
    <t>BARISH BEEPUT</t>
  </si>
  <si>
    <t>Jerry</t>
  </si>
  <si>
    <t>POD received from cell 0834941426 M</t>
  </si>
  <si>
    <t>COLLEEN LINDBERG</t>
  </si>
  <si>
    <t>colleen</t>
  </si>
  <si>
    <t>POD received from cell 0742936253 M</t>
  </si>
  <si>
    <t>YUHENA SCHOECHAND</t>
  </si>
  <si>
    <t>YUHANA</t>
  </si>
  <si>
    <t>PARYS</t>
  </si>
  <si>
    <t>ESTIE JORDAAN</t>
  </si>
  <si>
    <t>Hestie</t>
  </si>
  <si>
    <t>POD received from cell 0664631318 M</t>
  </si>
  <si>
    <t xml:space="preserve">CARDIES CRESTA CENTREETINGS        </t>
  </si>
  <si>
    <t xml:space="preserve">YELLOW SUB TRADING                 </t>
  </si>
  <si>
    <t>SUPPLIER</t>
  </si>
  <si>
    <t>bherl</t>
  </si>
  <si>
    <t>POD received from cell 0726035770 M</t>
  </si>
  <si>
    <t>MADELINE LOWINGS</t>
  </si>
  <si>
    <t>madelein</t>
  </si>
  <si>
    <t>STILF</t>
  </si>
  <si>
    <t>STILFONTEIN</t>
  </si>
  <si>
    <t>MARIANNE BOOYSEN</t>
  </si>
  <si>
    <t>Michelle</t>
  </si>
  <si>
    <t>POD received from cell 0842144427 M</t>
  </si>
  <si>
    <t>DAISY CHINYOWA</t>
  </si>
  <si>
    <t>daisy</t>
  </si>
  <si>
    <t>POD received from cell 0837614688 M</t>
  </si>
  <si>
    <t>CHANTELLE BEAN</t>
  </si>
  <si>
    <t>Rochelle</t>
  </si>
  <si>
    <t>MAXINE KOTZE</t>
  </si>
  <si>
    <t>maxine</t>
  </si>
  <si>
    <t>POD received from cell 0844549356 M</t>
  </si>
  <si>
    <t>STANF</t>
  </si>
  <si>
    <t>STANDFORD</t>
  </si>
  <si>
    <t xml:space="preserve">N\A                                </t>
  </si>
  <si>
    <t>ROBERT WHITEHOUSE</t>
  </si>
  <si>
    <t>Robert</t>
  </si>
  <si>
    <t>POD received from cell 0818301760 M</t>
  </si>
  <si>
    <t>CHANE DU PREEZ</t>
  </si>
  <si>
    <t>charne</t>
  </si>
  <si>
    <t>JOHANN RAUBENHEIMER</t>
  </si>
  <si>
    <t>Johann</t>
  </si>
  <si>
    <t>POD received from cell 0724326506 M</t>
  </si>
  <si>
    <t>HEILB</t>
  </si>
  <si>
    <t>HEILBRON</t>
  </si>
  <si>
    <t>ALET SWART</t>
  </si>
  <si>
    <t>POD received from cell 0792120000 M</t>
  </si>
  <si>
    <t>ROSMARIE DUVENAGE</t>
  </si>
  <si>
    <t>r duvenage</t>
  </si>
  <si>
    <t xml:space="preserve">WHAT IF CREATIVE                   </t>
  </si>
  <si>
    <t>MEGAN LAIGHT</t>
  </si>
  <si>
    <t>Meagan</t>
  </si>
  <si>
    <t>POD received from cell 0631352676 M</t>
  </si>
  <si>
    <t>CHENE RETTERS</t>
  </si>
  <si>
    <t>Annah</t>
  </si>
  <si>
    <t>POD received from cell 0835292772 M</t>
  </si>
  <si>
    <t>ALWYN   RUTH</t>
  </si>
  <si>
    <t>CHARMAINE</t>
  </si>
  <si>
    <t>BERYL CARVALHO</t>
  </si>
  <si>
    <t>kerry</t>
  </si>
  <si>
    <t xml:space="preserve">CARDIES MUSGRABE                   </t>
  </si>
  <si>
    <t>MORGAN MATTHEWS</t>
  </si>
  <si>
    <t>megan</t>
  </si>
  <si>
    <t>Vehicle breakdown</t>
  </si>
  <si>
    <t>jam</t>
  </si>
  <si>
    <t xml:space="preserve">N A.                               </t>
  </si>
  <si>
    <t>NTEBOGENG KOTHLAE</t>
  </si>
  <si>
    <t>Bethuel</t>
  </si>
  <si>
    <t>POD received from cell 0715201240 M</t>
  </si>
  <si>
    <t>LINDI ENGELBRECHT</t>
  </si>
  <si>
    <t>PATTY ROTKIN</t>
  </si>
  <si>
    <t>ANGIE NEIL</t>
  </si>
  <si>
    <t>chalc</t>
  </si>
  <si>
    <t>LEE ANCHER</t>
  </si>
  <si>
    <t>MANAGER-CARMEN</t>
  </si>
  <si>
    <t>ANTOINETTE DAY</t>
  </si>
  <si>
    <t>Antionette</t>
  </si>
  <si>
    <t>MARLENE</t>
  </si>
  <si>
    <t>CHARMAINE NAIDOO</t>
  </si>
  <si>
    <t>ALWYN VAN HEERDEN</t>
  </si>
  <si>
    <t>charmaine</t>
  </si>
  <si>
    <t>MRS RAMGOBIN</t>
  </si>
  <si>
    <t>SIGNATURE</t>
  </si>
  <si>
    <t>POD received from cell 0611615708 M</t>
  </si>
  <si>
    <t xml:space="preserve">SA GREETINGS   CARDIES             </t>
  </si>
  <si>
    <t>REKHA  REDDY</t>
  </si>
  <si>
    <t xml:space="preserve">LEGO STORE                         </t>
  </si>
  <si>
    <t>MICHAELA</t>
  </si>
  <si>
    <t>LEGO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</si>
</sst>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30"/>
  <sheetViews>
    <sheetView tabSelected="1" workbookViewId="0">
      <selection activeCell="B9" sqref="B9"/>
    </sheetView>
  </sheetViews>
  <sheetFormatPr defaultRowHeight="12.75" x14ac:dyDescent="0.2"/>
  <cols>
    <col min="1" max="1" width="7.28515625" style="3" bestFit="1" customWidth="1"/>
    <col min="2" max="2" width="32.140625" style="3" bestFit="1" customWidth="1"/>
    <col min="3" max="3" width="5.42578125" style="3" bestFit="1" customWidth="1"/>
    <col min="4" max="4" width="7.5703125" style="3" bestFit="1" customWidth="1"/>
    <col min="5" max="5" width="15.140625" style="3" bestFit="1" customWidth="1"/>
    <col min="6" max="6" width="10.42578125" style="3" bestFit="1" customWidth="1"/>
    <col min="7" max="7" width="7" style="3" bestFit="1" customWidth="1"/>
    <col min="8" max="8" width="7.140625" style="3" bestFit="1" customWidth="1"/>
    <col min="9" max="9" width="23.7109375" style="3" bestFit="1" customWidth="1"/>
    <col min="10" max="10" width="30.85546875" style="3" bestFit="1" customWidth="1"/>
    <col min="11" max="11" width="16.140625" style="3" bestFit="1" customWidth="1"/>
    <col min="12" max="12" width="7.5703125" style="3" bestFit="1" customWidth="1"/>
    <col min="13" max="13" width="23.7109375" style="3" bestFit="1" customWidth="1"/>
    <col min="14" max="14" width="33.140625" style="3" bestFit="1" customWidth="1"/>
    <col min="15" max="15" width="4.42578125" style="3" bestFit="1" customWidth="1"/>
    <col min="16" max="16" width="29.28515625" style="3" bestFit="1" customWidth="1"/>
    <col min="17" max="17" width="4.5703125" style="3" bestFit="1" customWidth="1"/>
    <col min="18" max="18" width="4.7109375" style="3" bestFit="1" customWidth="1"/>
    <col min="19" max="19" width="5.140625" style="3" bestFit="1" customWidth="1"/>
    <col min="20" max="20" width="4.7109375" style="3" bestFit="1" customWidth="1"/>
    <col min="21" max="21" width="4.85546875" style="3" bestFit="1" customWidth="1"/>
    <col min="22" max="22" width="4.7109375" style="3" bestFit="1" customWidth="1"/>
    <col min="23" max="23" width="4.85546875" style="3" bestFit="1" customWidth="1"/>
    <col min="24" max="24" width="4.7109375" style="3" bestFit="1" customWidth="1"/>
    <col min="25" max="25" width="4.85546875" style="3" bestFit="1" customWidth="1"/>
    <col min="26" max="26" width="4.7109375" style="3" bestFit="1" customWidth="1"/>
    <col min="27" max="27" width="4.5703125" style="3" bestFit="1" customWidth="1"/>
    <col min="28" max="28" width="4.7109375" style="3" bestFit="1" customWidth="1"/>
    <col min="29" max="29" width="4.5703125" style="3" bestFit="1" customWidth="1"/>
    <col min="30" max="30" width="4.7109375" style="3" bestFit="1" customWidth="1"/>
    <col min="31" max="31" width="4.85546875" style="3" bestFit="1" customWidth="1"/>
    <col min="32" max="32" width="4.7109375" style="3" bestFit="1" customWidth="1"/>
    <col min="33" max="33" width="7" style="3" bestFit="1" customWidth="1"/>
    <col min="34" max="34" width="4.7109375" style="3" bestFit="1" customWidth="1"/>
    <col min="35" max="35" width="5" style="3" bestFit="1" customWidth="1"/>
    <col min="36" max="36" width="4.7109375" style="3" bestFit="1" customWidth="1"/>
    <col min="37" max="37" width="9" style="3" bestFit="1" customWidth="1"/>
    <col min="38" max="40" width="4.7109375" style="3" bestFit="1" customWidth="1"/>
    <col min="41" max="41" width="4.5703125" style="3" bestFit="1" customWidth="1"/>
    <col min="42" max="42" width="4.7109375" style="3" bestFit="1" customWidth="1"/>
    <col min="43" max="43" width="5" style="3" bestFit="1" customWidth="1"/>
    <col min="44" max="44" width="4.7109375" style="3" bestFit="1" customWidth="1"/>
    <col min="45" max="45" width="3.85546875" style="3" bestFit="1" customWidth="1"/>
    <col min="46" max="46" width="4.7109375" style="3" bestFit="1" customWidth="1"/>
    <col min="47" max="47" width="4.140625" style="3" bestFit="1" customWidth="1"/>
    <col min="48" max="48" width="4.7109375" style="3" bestFit="1" customWidth="1"/>
    <col min="49" max="49" width="4.140625" style="3" bestFit="1" customWidth="1"/>
    <col min="50" max="50" width="4.7109375" style="3" bestFit="1" customWidth="1"/>
    <col min="51" max="51" width="4.42578125" style="3" bestFit="1" customWidth="1"/>
    <col min="52" max="52" width="4.7109375" style="3" bestFit="1" customWidth="1"/>
    <col min="53" max="53" width="4.85546875" style="3" bestFit="1" customWidth="1"/>
    <col min="54" max="54" width="4.7109375" style="3" bestFit="1" customWidth="1"/>
    <col min="55" max="55" width="4.85546875" style="3" bestFit="1" customWidth="1"/>
    <col min="56" max="56" width="4.7109375" style="3" bestFit="1" customWidth="1"/>
    <col min="57" max="57" width="4.5703125" style="3" bestFit="1" customWidth="1"/>
    <col min="58" max="58" width="4.7109375" style="3" bestFit="1" customWidth="1"/>
    <col min="59" max="59" width="8.42578125" style="3" bestFit="1" customWidth="1"/>
    <col min="60" max="60" width="5.42578125" style="3" bestFit="1" customWidth="1"/>
    <col min="61" max="61" width="7.140625" style="3" bestFit="1" customWidth="1"/>
    <col min="62" max="62" width="7.42578125" style="3" bestFit="1" customWidth="1"/>
    <col min="63" max="63" width="8" style="3" bestFit="1" customWidth="1"/>
    <col min="64" max="64" width="10" style="3" bestFit="1" customWidth="1"/>
    <col min="65" max="67" width="9" style="3" bestFit="1" customWidth="1"/>
    <col min="68" max="68" width="49.85546875" style="3" bestFit="1" customWidth="1"/>
    <col min="69" max="69" width="28.42578125" style="3" bestFit="1" customWidth="1"/>
    <col min="70" max="70" width="22" style="3" bestFit="1" customWidth="1"/>
    <col min="71" max="71" width="10.42578125" style="3" bestFit="1" customWidth="1"/>
    <col min="72" max="72" width="5.5703125" style="3" bestFit="1" customWidth="1"/>
    <col min="73" max="73" width="27.42578125" style="3" bestFit="1" customWidth="1"/>
    <col min="74" max="74" width="5" style="3" bestFit="1" customWidth="1"/>
    <col min="75" max="75" width="36.7109375" style="3" bestFit="1" customWidth="1"/>
    <col min="76" max="76" width="8.140625" style="3" bestFit="1" customWidth="1"/>
    <col min="77" max="77" width="11" style="3" bestFit="1" customWidth="1"/>
    <col min="78" max="78" width="14" style="3" bestFit="1" customWidth="1"/>
    <col min="79" max="79" width="35.140625" style="3" bestFit="1" customWidth="1"/>
    <col min="80" max="80" width="8.85546875" style="3" bestFit="1" customWidth="1"/>
    <col min="81" max="81" width="23.7109375" style="3" bestFit="1" customWidth="1"/>
    <col min="82" max="82" width="6.5703125" style="3" bestFit="1" customWidth="1"/>
    <col min="83" max="83" width="34" style="3" bestFit="1" customWidth="1"/>
    <col min="84" max="84" width="10.42578125" style="3" bestFit="1" customWidth="1"/>
    <col min="85" max="85" width="6.5703125" style="3" bestFit="1" customWidth="1"/>
    <col min="86" max="86" width="9.140625" style="3"/>
    <col min="87" max="87" width="6.7109375" style="3" bestFit="1" customWidth="1"/>
    <col min="88" max="88" width="7.5703125" style="3" bestFit="1" customWidth="1"/>
    <col min="89" max="89" width="5.140625" style="3" bestFit="1" customWidth="1"/>
    <col min="90" max="91" width="8.42578125" style="3" bestFit="1" customWidth="1"/>
    <col min="92" max="92" width="7.85546875" style="3" bestFit="1" customWidth="1"/>
    <col min="93" max="16384" width="9.140625" style="3"/>
  </cols>
  <sheetData>
    <row r="1" spans="1:92" ht="20.100000000000001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">
      <c r="A2" s="3" t="s">
        <v>72</v>
      </c>
      <c r="B2" s="3" t="s">
        <v>73</v>
      </c>
      <c r="C2" s="3" t="s">
        <v>74</v>
      </c>
      <c r="E2" s="3" t="str">
        <f>"009941640770"</f>
        <v>009941640770</v>
      </c>
      <c r="F2" s="4">
        <v>44589</v>
      </c>
      <c r="G2" s="3">
        <v>202207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3" t="str">
        <f t="shared" ref="P2:P9" si="0">"..                            "</f>
        <v xml:space="preserve">..          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28.98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0.2</v>
      </c>
      <c r="BJ2" s="3">
        <v>2.2000000000000002</v>
      </c>
      <c r="BK2" s="3">
        <v>3</v>
      </c>
      <c r="BL2" s="3">
        <v>110.62</v>
      </c>
      <c r="BM2" s="3">
        <v>16.59</v>
      </c>
      <c r="BN2" s="3">
        <v>127.21</v>
      </c>
      <c r="BO2" s="3">
        <v>127.21</v>
      </c>
      <c r="BQ2" s="3" t="s">
        <v>83</v>
      </c>
      <c r="BR2" s="3" t="s">
        <v>84</v>
      </c>
      <c r="BS2" s="3" t="s">
        <v>85</v>
      </c>
      <c r="BY2" s="3">
        <v>10954.94</v>
      </c>
      <c r="BZ2" s="3" t="s">
        <v>86</v>
      </c>
      <c r="CC2" s="3" t="s">
        <v>80</v>
      </c>
      <c r="CD2" s="3">
        <v>3201</v>
      </c>
      <c r="CE2" s="3" t="s">
        <v>87</v>
      </c>
      <c r="CI2" s="3">
        <v>1</v>
      </c>
      <c r="CJ2" s="3" t="s">
        <v>85</v>
      </c>
      <c r="CK2" s="3">
        <v>31</v>
      </c>
      <c r="CL2" s="3" t="s">
        <v>88</v>
      </c>
    </row>
    <row r="3" spans="1:92" x14ac:dyDescent="0.2">
      <c r="A3" s="3" t="s">
        <v>72</v>
      </c>
      <c r="B3" s="3" t="s">
        <v>73</v>
      </c>
      <c r="C3" s="3" t="s">
        <v>74</v>
      </c>
      <c r="E3" s="3" t="str">
        <f>"009941640768"</f>
        <v>009941640768</v>
      </c>
      <c r="F3" s="4">
        <v>44589</v>
      </c>
      <c r="G3" s="3">
        <v>202207</v>
      </c>
      <c r="H3" s="3" t="s">
        <v>75</v>
      </c>
      <c r="I3" s="3" t="s">
        <v>76</v>
      </c>
      <c r="J3" s="3" t="s">
        <v>77</v>
      </c>
      <c r="K3" s="3" t="s">
        <v>78</v>
      </c>
      <c r="L3" s="3" t="s">
        <v>89</v>
      </c>
      <c r="M3" s="3" t="s">
        <v>90</v>
      </c>
      <c r="N3" s="3" t="s">
        <v>91</v>
      </c>
      <c r="O3" s="3" t="s">
        <v>82</v>
      </c>
      <c r="P3" s="3" t="str">
        <f t="shared" si="0"/>
        <v xml:space="preserve">..          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12.08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1</v>
      </c>
      <c r="BI3" s="3">
        <v>0.2</v>
      </c>
      <c r="BJ3" s="3">
        <v>2.2999999999999998</v>
      </c>
      <c r="BK3" s="3">
        <v>3</v>
      </c>
      <c r="BL3" s="3">
        <v>46.1</v>
      </c>
      <c r="BM3" s="3">
        <v>6.92</v>
      </c>
      <c r="BN3" s="3">
        <v>53.02</v>
      </c>
      <c r="BO3" s="3">
        <v>53.02</v>
      </c>
      <c r="BQ3" s="3" t="s">
        <v>92</v>
      </c>
      <c r="BR3" s="3" t="s">
        <v>84</v>
      </c>
      <c r="BS3" s="4">
        <v>44592</v>
      </c>
      <c r="BT3" s="5">
        <v>0.28055555555555556</v>
      </c>
      <c r="BU3" s="3" t="s">
        <v>93</v>
      </c>
      <c r="BV3" s="3" t="s">
        <v>94</v>
      </c>
      <c r="BY3" s="3">
        <v>11652.34</v>
      </c>
      <c r="BZ3" s="3" t="s">
        <v>86</v>
      </c>
      <c r="CA3" s="3" t="s">
        <v>95</v>
      </c>
      <c r="CC3" s="3" t="s">
        <v>90</v>
      </c>
      <c r="CD3" s="3">
        <v>1559</v>
      </c>
      <c r="CE3" s="3" t="s">
        <v>87</v>
      </c>
      <c r="CI3" s="3">
        <v>1</v>
      </c>
      <c r="CJ3" s="3">
        <v>1</v>
      </c>
      <c r="CK3" s="3">
        <v>32</v>
      </c>
      <c r="CL3" s="3" t="s">
        <v>88</v>
      </c>
    </row>
    <row r="4" spans="1:92" x14ac:dyDescent="0.2">
      <c r="A4" s="3" t="s">
        <v>72</v>
      </c>
      <c r="B4" s="3" t="s">
        <v>73</v>
      </c>
      <c r="C4" s="3" t="s">
        <v>74</v>
      </c>
      <c r="E4" s="3" t="str">
        <f>"009941640767"</f>
        <v>009941640767</v>
      </c>
      <c r="F4" s="4">
        <v>44589</v>
      </c>
      <c r="G4" s="3">
        <v>202207</v>
      </c>
      <c r="H4" s="3" t="s">
        <v>75</v>
      </c>
      <c r="I4" s="3" t="s">
        <v>76</v>
      </c>
      <c r="J4" s="3" t="s">
        <v>77</v>
      </c>
      <c r="K4" s="3" t="s">
        <v>78</v>
      </c>
      <c r="L4" s="3" t="s">
        <v>96</v>
      </c>
      <c r="M4" s="3" t="s">
        <v>97</v>
      </c>
      <c r="N4" s="3" t="s">
        <v>91</v>
      </c>
      <c r="O4" s="3" t="s">
        <v>82</v>
      </c>
      <c r="P4" s="3" t="str">
        <f t="shared" si="0"/>
        <v xml:space="preserve">..               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28.98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1</v>
      </c>
      <c r="BI4" s="3">
        <v>0.2</v>
      </c>
      <c r="BJ4" s="3">
        <v>1.3</v>
      </c>
      <c r="BK4" s="3">
        <v>2</v>
      </c>
      <c r="BL4" s="3">
        <v>110.62</v>
      </c>
      <c r="BM4" s="3">
        <v>16.59</v>
      </c>
      <c r="BN4" s="3">
        <v>127.21</v>
      </c>
      <c r="BO4" s="3">
        <v>127.21</v>
      </c>
      <c r="BQ4" s="3" t="s">
        <v>98</v>
      </c>
      <c r="BR4" s="3" t="s">
        <v>84</v>
      </c>
      <c r="BS4" s="3" t="s">
        <v>85</v>
      </c>
      <c r="BY4" s="3">
        <v>6304.33</v>
      </c>
      <c r="BZ4" s="3" t="s">
        <v>86</v>
      </c>
      <c r="CC4" s="3" t="s">
        <v>97</v>
      </c>
      <c r="CD4" s="3">
        <v>7708</v>
      </c>
      <c r="CE4" s="3" t="s">
        <v>87</v>
      </c>
      <c r="CI4" s="3">
        <v>1</v>
      </c>
      <c r="CJ4" s="3" t="s">
        <v>85</v>
      </c>
      <c r="CK4" s="3">
        <v>31</v>
      </c>
      <c r="CL4" s="3" t="s">
        <v>88</v>
      </c>
    </row>
    <row r="5" spans="1:92" x14ac:dyDescent="0.2">
      <c r="A5" s="3" t="s">
        <v>72</v>
      </c>
      <c r="B5" s="3" t="s">
        <v>73</v>
      </c>
      <c r="C5" s="3" t="s">
        <v>74</v>
      </c>
      <c r="E5" s="3" t="str">
        <f>"009941640774"</f>
        <v>009941640774</v>
      </c>
      <c r="F5" s="4">
        <v>44589</v>
      </c>
      <c r="G5" s="3">
        <v>202207</v>
      </c>
      <c r="H5" s="3" t="s">
        <v>75</v>
      </c>
      <c r="I5" s="3" t="s">
        <v>76</v>
      </c>
      <c r="J5" s="3" t="s">
        <v>77</v>
      </c>
      <c r="K5" s="3" t="s">
        <v>78</v>
      </c>
      <c r="L5" s="3" t="s">
        <v>99</v>
      </c>
      <c r="M5" s="3" t="s">
        <v>100</v>
      </c>
      <c r="N5" s="3" t="s">
        <v>101</v>
      </c>
      <c r="O5" s="3" t="s">
        <v>82</v>
      </c>
      <c r="P5" s="3" t="str">
        <f t="shared" si="0"/>
        <v xml:space="preserve">..       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28.98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1</v>
      </c>
      <c r="BI5" s="3">
        <v>2</v>
      </c>
      <c r="BJ5" s="3">
        <v>0.1</v>
      </c>
      <c r="BK5" s="3">
        <v>2</v>
      </c>
      <c r="BL5" s="3">
        <v>110.62</v>
      </c>
      <c r="BM5" s="3">
        <v>16.59</v>
      </c>
      <c r="BN5" s="3">
        <v>127.21</v>
      </c>
      <c r="BO5" s="3">
        <v>127.21</v>
      </c>
      <c r="BQ5" s="3" t="s">
        <v>98</v>
      </c>
      <c r="BR5" s="3" t="s">
        <v>84</v>
      </c>
      <c r="BS5" s="3" t="s">
        <v>85</v>
      </c>
      <c r="BY5" s="3">
        <v>440</v>
      </c>
      <c r="BZ5" s="3" t="s">
        <v>86</v>
      </c>
      <c r="CC5" s="3" t="s">
        <v>100</v>
      </c>
      <c r="CD5" s="3">
        <v>157</v>
      </c>
      <c r="CE5" s="3" t="s">
        <v>87</v>
      </c>
      <c r="CI5" s="3">
        <v>1</v>
      </c>
      <c r="CJ5" s="3" t="s">
        <v>85</v>
      </c>
      <c r="CK5" s="3">
        <v>31</v>
      </c>
      <c r="CL5" s="3" t="s">
        <v>88</v>
      </c>
    </row>
    <row r="6" spans="1:92" x14ac:dyDescent="0.2">
      <c r="A6" s="3" t="s">
        <v>72</v>
      </c>
      <c r="B6" s="3" t="s">
        <v>73</v>
      </c>
      <c r="C6" s="3" t="s">
        <v>74</v>
      </c>
      <c r="E6" s="3" t="str">
        <f>"009941640771"</f>
        <v>009941640771</v>
      </c>
      <c r="F6" s="4">
        <v>44589</v>
      </c>
      <c r="G6" s="3">
        <v>202207</v>
      </c>
      <c r="H6" s="3" t="s">
        <v>75</v>
      </c>
      <c r="I6" s="3" t="s">
        <v>76</v>
      </c>
      <c r="J6" s="3" t="s">
        <v>77</v>
      </c>
      <c r="K6" s="3" t="s">
        <v>78</v>
      </c>
      <c r="L6" s="3" t="s">
        <v>75</v>
      </c>
      <c r="M6" s="3" t="s">
        <v>76</v>
      </c>
      <c r="N6" s="3" t="s">
        <v>91</v>
      </c>
      <c r="O6" s="3" t="s">
        <v>82</v>
      </c>
      <c r="P6" s="3" t="str">
        <f t="shared" si="0"/>
        <v xml:space="preserve">..       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12.08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1</v>
      </c>
      <c r="BI6" s="3">
        <v>1</v>
      </c>
      <c r="BJ6" s="3">
        <v>0.2</v>
      </c>
      <c r="BK6" s="3">
        <v>1</v>
      </c>
      <c r="BL6" s="3">
        <v>46.1</v>
      </c>
      <c r="BM6" s="3">
        <v>6.92</v>
      </c>
      <c r="BN6" s="3">
        <v>53.02</v>
      </c>
      <c r="BO6" s="3">
        <v>53.02</v>
      </c>
      <c r="BQ6" s="3" t="s">
        <v>102</v>
      </c>
      <c r="BR6" s="3" t="s">
        <v>84</v>
      </c>
      <c r="BS6" s="3" t="s">
        <v>85</v>
      </c>
      <c r="BY6" s="3">
        <v>1200</v>
      </c>
      <c r="BZ6" s="3" t="s">
        <v>86</v>
      </c>
      <c r="CC6" s="3" t="s">
        <v>76</v>
      </c>
      <c r="CD6" s="3">
        <v>2195</v>
      </c>
      <c r="CE6" s="3" t="s">
        <v>87</v>
      </c>
      <c r="CI6" s="3">
        <v>1</v>
      </c>
      <c r="CJ6" s="3" t="s">
        <v>85</v>
      </c>
      <c r="CK6" s="3">
        <v>32</v>
      </c>
      <c r="CL6" s="3" t="s">
        <v>88</v>
      </c>
    </row>
    <row r="7" spans="1:92" x14ac:dyDescent="0.2">
      <c r="A7" s="3" t="s">
        <v>72</v>
      </c>
      <c r="B7" s="3" t="s">
        <v>73</v>
      </c>
      <c r="C7" s="3" t="s">
        <v>74</v>
      </c>
      <c r="E7" s="3" t="str">
        <f>"009941640772"</f>
        <v>009941640772</v>
      </c>
      <c r="F7" s="4">
        <v>44589</v>
      </c>
      <c r="G7" s="3">
        <v>202207</v>
      </c>
      <c r="H7" s="3" t="s">
        <v>75</v>
      </c>
      <c r="I7" s="3" t="s">
        <v>76</v>
      </c>
      <c r="J7" s="3" t="s">
        <v>77</v>
      </c>
      <c r="K7" s="3" t="s">
        <v>78</v>
      </c>
      <c r="L7" s="3" t="s">
        <v>75</v>
      </c>
      <c r="M7" s="3" t="s">
        <v>76</v>
      </c>
      <c r="N7" s="3" t="s">
        <v>91</v>
      </c>
      <c r="O7" s="3" t="s">
        <v>82</v>
      </c>
      <c r="P7" s="3" t="str">
        <f t="shared" si="0"/>
        <v xml:space="preserve">..       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12.08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1</v>
      </c>
      <c r="BI7" s="3">
        <v>0.5</v>
      </c>
      <c r="BJ7" s="3">
        <v>5.0999999999999996</v>
      </c>
      <c r="BK7" s="3">
        <v>6</v>
      </c>
      <c r="BL7" s="3">
        <v>46.1</v>
      </c>
      <c r="BM7" s="3">
        <v>6.92</v>
      </c>
      <c r="BN7" s="3">
        <v>53.02</v>
      </c>
      <c r="BO7" s="3">
        <v>53.02</v>
      </c>
      <c r="BQ7" s="3" t="s">
        <v>103</v>
      </c>
      <c r="BR7" s="3" t="s">
        <v>84</v>
      </c>
      <c r="BS7" s="3" t="s">
        <v>85</v>
      </c>
      <c r="BY7" s="3">
        <v>25618.32</v>
      </c>
      <c r="BZ7" s="3" t="s">
        <v>86</v>
      </c>
      <c r="CC7" s="3" t="s">
        <v>76</v>
      </c>
      <c r="CD7" s="3">
        <v>2091</v>
      </c>
      <c r="CE7" s="3" t="s">
        <v>87</v>
      </c>
      <c r="CI7" s="3">
        <v>1</v>
      </c>
      <c r="CJ7" s="3" t="s">
        <v>85</v>
      </c>
      <c r="CK7" s="3">
        <v>32</v>
      </c>
      <c r="CL7" s="3" t="s">
        <v>88</v>
      </c>
    </row>
    <row r="8" spans="1:92" x14ac:dyDescent="0.2">
      <c r="A8" s="3" t="s">
        <v>72</v>
      </c>
      <c r="B8" s="3" t="s">
        <v>73</v>
      </c>
      <c r="C8" s="3" t="s">
        <v>74</v>
      </c>
      <c r="E8" s="3" t="str">
        <f>"009941640775"</f>
        <v>009941640775</v>
      </c>
      <c r="F8" s="4">
        <v>44589</v>
      </c>
      <c r="G8" s="3">
        <v>202207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104</v>
      </c>
      <c r="M8" s="3" t="s">
        <v>105</v>
      </c>
      <c r="N8" s="3" t="s">
        <v>106</v>
      </c>
      <c r="O8" s="3" t="s">
        <v>82</v>
      </c>
      <c r="P8" s="3" t="str">
        <f t="shared" si="0"/>
        <v xml:space="preserve">..         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57.96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1</v>
      </c>
      <c r="BI8" s="3">
        <v>2.4</v>
      </c>
      <c r="BJ8" s="3">
        <v>7.9</v>
      </c>
      <c r="BK8" s="3">
        <v>8</v>
      </c>
      <c r="BL8" s="3">
        <v>221.24</v>
      </c>
      <c r="BM8" s="3">
        <v>33.19</v>
      </c>
      <c r="BN8" s="3">
        <v>254.43</v>
      </c>
      <c r="BO8" s="3">
        <v>254.43</v>
      </c>
      <c r="BQ8" s="3" t="s">
        <v>98</v>
      </c>
      <c r="BR8" s="3" t="s">
        <v>84</v>
      </c>
      <c r="BS8" s="3" t="s">
        <v>85</v>
      </c>
      <c r="BY8" s="3">
        <v>39363.32</v>
      </c>
      <c r="BZ8" s="3" t="s">
        <v>86</v>
      </c>
      <c r="CC8" s="3" t="s">
        <v>105</v>
      </c>
      <c r="CD8" s="3">
        <v>82</v>
      </c>
      <c r="CE8" s="3" t="s">
        <v>87</v>
      </c>
      <c r="CI8" s="3">
        <v>1</v>
      </c>
      <c r="CJ8" s="3" t="s">
        <v>85</v>
      </c>
      <c r="CK8" s="3">
        <v>31</v>
      </c>
      <c r="CL8" s="3" t="s">
        <v>88</v>
      </c>
    </row>
    <row r="9" spans="1:92" x14ac:dyDescent="0.2">
      <c r="A9" s="3" t="s">
        <v>72</v>
      </c>
      <c r="B9" s="3" t="s">
        <v>73</v>
      </c>
      <c r="C9" s="3" t="s">
        <v>74</v>
      </c>
      <c r="E9" s="3" t="str">
        <f>"009941640766"</f>
        <v>009941640766</v>
      </c>
      <c r="F9" s="4">
        <v>44589</v>
      </c>
      <c r="G9" s="3">
        <v>202207</v>
      </c>
      <c r="H9" s="3" t="s">
        <v>75</v>
      </c>
      <c r="I9" s="3" t="s">
        <v>76</v>
      </c>
      <c r="J9" s="3" t="s">
        <v>77</v>
      </c>
      <c r="K9" s="3" t="s">
        <v>78</v>
      </c>
      <c r="L9" s="3" t="s">
        <v>107</v>
      </c>
      <c r="M9" s="3" t="s">
        <v>107</v>
      </c>
      <c r="N9" s="3" t="s">
        <v>91</v>
      </c>
      <c r="O9" s="3" t="s">
        <v>82</v>
      </c>
      <c r="P9" s="3" t="str">
        <f t="shared" si="0"/>
        <v xml:space="preserve">..          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29.95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1</v>
      </c>
      <c r="BI9" s="3">
        <v>0.2</v>
      </c>
      <c r="BJ9" s="3">
        <v>3.4</v>
      </c>
      <c r="BK9" s="3">
        <v>4</v>
      </c>
      <c r="BL9" s="3">
        <v>114.31</v>
      </c>
      <c r="BM9" s="3">
        <v>17.149999999999999</v>
      </c>
      <c r="BN9" s="3">
        <v>131.46</v>
      </c>
      <c r="BO9" s="3">
        <v>131.46</v>
      </c>
      <c r="BQ9" s="3" t="s">
        <v>108</v>
      </c>
      <c r="BR9" s="3" t="s">
        <v>84</v>
      </c>
      <c r="BS9" s="3" t="s">
        <v>85</v>
      </c>
      <c r="BY9" s="3">
        <v>16847.599999999999</v>
      </c>
      <c r="BZ9" s="3" t="s">
        <v>86</v>
      </c>
      <c r="CC9" s="3" t="s">
        <v>107</v>
      </c>
      <c r="CD9" s="3">
        <v>7655</v>
      </c>
      <c r="CE9" s="3" t="s">
        <v>87</v>
      </c>
      <c r="CI9" s="3">
        <v>1</v>
      </c>
      <c r="CJ9" s="3" t="s">
        <v>85</v>
      </c>
      <c r="CK9" s="3">
        <v>33</v>
      </c>
      <c r="CL9" s="3" t="s">
        <v>88</v>
      </c>
    </row>
    <row r="10" spans="1:92" x14ac:dyDescent="0.2">
      <c r="A10" s="3" t="s">
        <v>72</v>
      </c>
      <c r="B10" s="3" t="s">
        <v>73</v>
      </c>
      <c r="C10" s="3" t="s">
        <v>74</v>
      </c>
      <c r="E10" s="3" t="str">
        <f>"009940130249"</f>
        <v>009940130249</v>
      </c>
      <c r="F10" s="4">
        <v>44589</v>
      </c>
      <c r="G10" s="3">
        <v>202207</v>
      </c>
      <c r="H10" s="3" t="s">
        <v>96</v>
      </c>
      <c r="I10" s="3" t="s">
        <v>97</v>
      </c>
      <c r="J10" s="3" t="s">
        <v>109</v>
      </c>
      <c r="K10" s="3" t="s">
        <v>78</v>
      </c>
      <c r="L10" s="3" t="s">
        <v>75</v>
      </c>
      <c r="M10" s="3" t="s">
        <v>76</v>
      </c>
      <c r="N10" s="3" t="s">
        <v>109</v>
      </c>
      <c r="O10" s="3" t="s">
        <v>110</v>
      </c>
      <c r="P10" s="3" t="str">
        <f>"NA                            "</f>
        <v xml:space="preserve">NA           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19.32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1</v>
      </c>
      <c r="BI10" s="3">
        <v>0.7</v>
      </c>
      <c r="BJ10" s="3">
        <v>2.5</v>
      </c>
      <c r="BK10" s="3">
        <v>2.5</v>
      </c>
      <c r="BL10" s="3">
        <v>73.739999999999995</v>
      </c>
      <c r="BM10" s="3">
        <v>11.06</v>
      </c>
      <c r="BN10" s="3">
        <v>84.8</v>
      </c>
      <c r="BO10" s="3">
        <v>84.8</v>
      </c>
      <c r="BQ10" s="3" t="s">
        <v>111</v>
      </c>
      <c r="BR10" s="3" t="s">
        <v>112</v>
      </c>
      <c r="BS10" s="4">
        <v>44592</v>
      </c>
      <c r="BT10" s="5">
        <v>0.32777777777777778</v>
      </c>
      <c r="BU10" s="3" t="s">
        <v>113</v>
      </c>
      <c r="BV10" s="3" t="s">
        <v>94</v>
      </c>
      <c r="BY10" s="3">
        <v>12519.48</v>
      </c>
      <c r="BZ10" s="3" t="s">
        <v>114</v>
      </c>
      <c r="CA10" s="3" t="s">
        <v>115</v>
      </c>
      <c r="CC10" s="3" t="s">
        <v>76</v>
      </c>
      <c r="CD10" s="3">
        <v>2013</v>
      </c>
      <c r="CE10" s="3" t="s">
        <v>87</v>
      </c>
      <c r="CI10" s="3">
        <v>1</v>
      </c>
      <c r="CJ10" s="3">
        <v>1</v>
      </c>
      <c r="CK10" s="3">
        <v>21</v>
      </c>
      <c r="CL10" s="3" t="s">
        <v>88</v>
      </c>
    </row>
    <row r="11" spans="1:92" x14ac:dyDescent="0.2">
      <c r="A11" s="3" t="s">
        <v>72</v>
      </c>
      <c r="B11" s="3" t="s">
        <v>73</v>
      </c>
      <c r="C11" s="3" t="s">
        <v>74</v>
      </c>
      <c r="E11" s="3" t="str">
        <f>"009940714847"</f>
        <v>009940714847</v>
      </c>
      <c r="F11" s="4">
        <v>44588</v>
      </c>
      <c r="G11" s="3">
        <v>202207</v>
      </c>
      <c r="H11" s="3" t="s">
        <v>116</v>
      </c>
      <c r="I11" s="3" t="s">
        <v>117</v>
      </c>
      <c r="J11" s="3" t="s">
        <v>109</v>
      </c>
      <c r="K11" s="3" t="s">
        <v>78</v>
      </c>
      <c r="L11" s="3" t="s">
        <v>75</v>
      </c>
      <c r="M11" s="3" t="s">
        <v>76</v>
      </c>
      <c r="N11" s="3" t="s">
        <v>118</v>
      </c>
      <c r="O11" s="3" t="s">
        <v>110</v>
      </c>
      <c r="P11" s="3" t="str">
        <f>"                              "</f>
        <v xml:space="preserve">            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15.46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0.5</v>
      </c>
      <c r="BJ11" s="3">
        <v>1</v>
      </c>
      <c r="BK11" s="3">
        <v>1</v>
      </c>
      <c r="BL11" s="3">
        <v>59</v>
      </c>
      <c r="BM11" s="3">
        <v>8.85</v>
      </c>
      <c r="BN11" s="3">
        <v>67.849999999999994</v>
      </c>
      <c r="BO11" s="3">
        <v>67.849999999999994</v>
      </c>
      <c r="BQ11" s="3" t="s">
        <v>119</v>
      </c>
      <c r="BR11" s="3" t="s">
        <v>120</v>
      </c>
      <c r="BS11" s="4">
        <v>44589</v>
      </c>
      <c r="BT11" s="5">
        <v>0.32083333333333336</v>
      </c>
      <c r="BU11" s="3" t="s">
        <v>113</v>
      </c>
      <c r="BV11" s="3" t="s">
        <v>94</v>
      </c>
      <c r="BY11" s="3">
        <v>4800</v>
      </c>
      <c r="BZ11" s="3" t="s">
        <v>114</v>
      </c>
      <c r="CA11" s="3" t="s">
        <v>115</v>
      </c>
      <c r="CC11" s="3" t="s">
        <v>76</v>
      </c>
      <c r="CD11" s="3">
        <v>2013</v>
      </c>
      <c r="CE11" s="3" t="s">
        <v>87</v>
      </c>
      <c r="CF11" s="4">
        <v>44590</v>
      </c>
      <c r="CI11" s="3">
        <v>1</v>
      </c>
      <c r="CJ11" s="3">
        <v>1</v>
      </c>
      <c r="CK11" s="3">
        <v>21</v>
      </c>
      <c r="CL11" s="3" t="s">
        <v>88</v>
      </c>
    </row>
    <row r="12" spans="1:92" x14ac:dyDescent="0.2">
      <c r="A12" s="3" t="s">
        <v>72</v>
      </c>
      <c r="B12" s="3" t="s">
        <v>73</v>
      </c>
      <c r="C12" s="3" t="s">
        <v>74</v>
      </c>
      <c r="E12" s="3" t="str">
        <f>"009941984002"</f>
        <v>009941984002</v>
      </c>
      <c r="F12" s="4">
        <v>44572</v>
      </c>
      <c r="G12" s="3">
        <v>202207</v>
      </c>
      <c r="H12" s="3" t="s">
        <v>121</v>
      </c>
      <c r="I12" s="3" t="s">
        <v>122</v>
      </c>
      <c r="J12" s="3" t="s">
        <v>123</v>
      </c>
      <c r="K12" s="3" t="s">
        <v>78</v>
      </c>
      <c r="L12" s="3" t="s">
        <v>75</v>
      </c>
      <c r="M12" s="3" t="s">
        <v>76</v>
      </c>
      <c r="N12" s="3" t="s">
        <v>118</v>
      </c>
      <c r="O12" s="3" t="s">
        <v>110</v>
      </c>
      <c r="P12" s="3" t="str">
        <f>"                              "</f>
        <v xml:space="preserve">            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29.95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15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1</v>
      </c>
      <c r="BJ12" s="3">
        <v>0.2</v>
      </c>
      <c r="BK12" s="3">
        <v>1</v>
      </c>
      <c r="BL12" s="3">
        <v>129.31</v>
      </c>
      <c r="BM12" s="3">
        <v>19.399999999999999</v>
      </c>
      <c r="BN12" s="3">
        <v>148.71</v>
      </c>
      <c r="BO12" s="3">
        <v>148.71</v>
      </c>
      <c r="BQ12" s="3" t="s">
        <v>124</v>
      </c>
      <c r="BR12" s="3" t="s">
        <v>125</v>
      </c>
      <c r="BS12" s="4">
        <v>44573</v>
      </c>
      <c r="BT12" s="5">
        <v>0.35902777777777778</v>
      </c>
      <c r="BU12" s="3" t="s">
        <v>113</v>
      </c>
      <c r="BV12" s="3" t="s">
        <v>94</v>
      </c>
      <c r="BY12" s="3">
        <v>1200</v>
      </c>
      <c r="BZ12" s="3" t="s">
        <v>126</v>
      </c>
      <c r="CA12" s="3" t="s">
        <v>115</v>
      </c>
      <c r="CC12" s="3" t="s">
        <v>76</v>
      </c>
      <c r="CD12" s="3">
        <v>2001</v>
      </c>
      <c r="CE12" s="3" t="s">
        <v>87</v>
      </c>
      <c r="CF12" s="4">
        <v>44574</v>
      </c>
      <c r="CI12" s="3">
        <v>1</v>
      </c>
      <c r="CJ12" s="3">
        <v>1</v>
      </c>
      <c r="CK12" s="3">
        <v>23</v>
      </c>
      <c r="CL12" s="3" t="s">
        <v>88</v>
      </c>
    </row>
    <row r="13" spans="1:92" x14ac:dyDescent="0.2">
      <c r="A13" s="3" t="s">
        <v>72</v>
      </c>
      <c r="B13" s="3" t="s">
        <v>73</v>
      </c>
      <c r="C13" s="3" t="s">
        <v>74</v>
      </c>
      <c r="E13" s="3" t="str">
        <f>"009941976886"</f>
        <v>009941976886</v>
      </c>
      <c r="F13" s="4">
        <v>44572</v>
      </c>
      <c r="G13" s="3">
        <v>202207</v>
      </c>
      <c r="H13" s="3" t="s">
        <v>127</v>
      </c>
      <c r="I13" s="3" t="s">
        <v>128</v>
      </c>
      <c r="J13" s="3" t="s">
        <v>129</v>
      </c>
      <c r="K13" s="3" t="s">
        <v>78</v>
      </c>
      <c r="L13" s="3" t="s">
        <v>75</v>
      </c>
      <c r="M13" s="3" t="s">
        <v>76</v>
      </c>
      <c r="N13" s="3" t="s">
        <v>109</v>
      </c>
      <c r="O13" s="3" t="s">
        <v>130</v>
      </c>
      <c r="P13" s="3" t="str">
        <f>"                              "</f>
        <v xml:space="preserve">                 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29.89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15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1</v>
      </c>
      <c r="BI13" s="3">
        <v>3</v>
      </c>
      <c r="BJ13" s="3">
        <v>1.6</v>
      </c>
      <c r="BK13" s="3">
        <v>3</v>
      </c>
      <c r="BL13" s="3">
        <v>134.34</v>
      </c>
      <c r="BM13" s="3">
        <v>20.149999999999999</v>
      </c>
      <c r="BN13" s="3">
        <v>154.49</v>
      </c>
      <c r="BO13" s="3">
        <v>154.49</v>
      </c>
      <c r="BQ13" s="3" t="s">
        <v>131</v>
      </c>
      <c r="BR13" s="3" t="s">
        <v>132</v>
      </c>
      <c r="BS13" s="4">
        <v>44573</v>
      </c>
      <c r="BT13" s="5">
        <v>0.3611111111111111</v>
      </c>
      <c r="BU13" s="3" t="s">
        <v>113</v>
      </c>
      <c r="BV13" s="3" t="s">
        <v>94</v>
      </c>
      <c r="BY13" s="3">
        <v>8000</v>
      </c>
      <c r="BZ13" s="3" t="s">
        <v>133</v>
      </c>
      <c r="CA13" s="3" t="s">
        <v>115</v>
      </c>
      <c r="CC13" s="3" t="s">
        <v>76</v>
      </c>
      <c r="CD13" s="3">
        <v>2001</v>
      </c>
      <c r="CE13" s="3" t="s">
        <v>87</v>
      </c>
      <c r="CF13" s="4">
        <v>44574</v>
      </c>
      <c r="CI13" s="3">
        <v>1</v>
      </c>
      <c r="CJ13" s="3">
        <v>1</v>
      </c>
      <c r="CK13" s="3">
        <v>41</v>
      </c>
      <c r="CL13" s="3" t="s">
        <v>88</v>
      </c>
    </row>
    <row r="14" spans="1:92" x14ac:dyDescent="0.2">
      <c r="A14" s="3" t="s">
        <v>72</v>
      </c>
      <c r="B14" s="3" t="s">
        <v>73</v>
      </c>
      <c r="C14" s="3" t="s">
        <v>74</v>
      </c>
      <c r="E14" s="3" t="str">
        <f>"009940432676"</f>
        <v>009940432676</v>
      </c>
      <c r="F14" s="4">
        <v>44572</v>
      </c>
      <c r="G14" s="3">
        <v>202207</v>
      </c>
      <c r="H14" s="3" t="s">
        <v>96</v>
      </c>
      <c r="I14" s="3" t="s">
        <v>97</v>
      </c>
      <c r="J14" s="3" t="s">
        <v>134</v>
      </c>
      <c r="K14" s="3" t="s">
        <v>78</v>
      </c>
      <c r="L14" s="3" t="s">
        <v>75</v>
      </c>
      <c r="M14" s="3" t="s">
        <v>76</v>
      </c>
      <c r="N14" s="3" t="s">
        <v>109</v>
      </c>
      <c r="O14" s="3" t="s">
        <v>110</v>
      </c>
      <c r="P14" s="3" t="str">
        <f>"NA                            "</f>
        <v xml:space="preserve">NA                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15.46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1</v>
      </c>
      <c r="BI14" s="3">
        <v>0.5</v>
      </c>
      <c r="BJ14" s="3">
        <v>0.2</v>
      </c>
      <c r="BK14" s="3">
        <v>0.5</v>
      </c>
      <c r="BL14" s="3">
        <v>59</v>
      </c>
      <c r="BM14" s="3">
        <v>8.85</v>
      </c>
      <c r="BN14" s="3">
        <v>67.849999999999994</v>
      </c>
      <c r="BO14" s="3">
        <v>67.849999999999994</v>
      </c>
      <c r="BR14" s="3" t="s">
        <v>135</v>
      </c>
      <c r="BS14" s="4">
        <v>44573</v>
      </c>
      <c r="BT14" s="5">
        <v>0.35972222222222222</v>
      </c>
      <c r="BU14" s="3" t="s">
        <v>113</v>
      </c>
      <c r="BV14" s="3" t="s">
        <v>94</v>
      </c>
      <c r="BY14" s="3">
        <v>1200</v>
      </c>
      <c r="BZ14" s="3" t="s">
        <v>114</v>
      </c>
      <c r="CA14" s="3" t="s">
        <v>115</v>
      </c>
      <c r="CC14" s="3" t="s">
        <v>76</v>
      </c>
      <c r="CD14" s="3">
        <v>2013</v>
      </c>
      <c r="CE14" s="3" t="s">
        <v>87</v>
      </c>
      <c r="CF14" s="4">
        <v>44574</v>
      </c>
      <c r="CI14" s="3">
        <v>1</v>
      </c>
      <c r="CJ14" s="3">
        <v>1</v>
      </c>
      <c r="CK14" s="3">
        <v>21</v>
      </c>
      <c r="CL14" s="3" t="s">
        <v>88</v>
      </c>
    </row>
    <row r="15" spans="1:92" x14ac:dyDescent="0.2">
      <c r="A15" s="3" t="s">
        <v>72</v>
      </c>
      <c r="B15" s="3" t="s">
        <v>73</v>
      </c>
      <c r="C15" s="3" t="s">
        <v>74</v>
      </c>
      <c r="E15" s="3" t="str">
        <f>"009942129706"</f>
        <v>009942129706</v>
      </c>
      <c r="F15" s="4">
        <v>44572</v>
      </c>
      <c r="G15" s="3">
        <v>202207</v>
      </c>
      <c r="H15" s="3" t="s">
        <v>75</v>
      </c>
      <c r="I15" s="3" t="s">
        <v>76</v>
      </c>
      <c r="J15" s="3" t="s">
        <v>123</v>
      </c>
      <c r="K15" s="3" t="s">
        <v>78</v>
      </c>
      <c r="L15" s="3" t="s">
        <v>75</v>
      </c>
      <c r="M15" s="3" t="s">
        <v>76</v>
      </c>
      <c r="N15" s="3" t="s">
        <v>136</v>
      </c>
      <c r="O15" s="3" t="s">
        <v>110</v>
      </c>
      <c r="P15" s="3" t="str">
        <f>"JNX2112690323                 "</f>
        <v xml:space="preserve">JNX2112690323    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12.07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1</v>
      </c>
      <c r="BI15" s="3">
        <v>1</v>
      </c>
      <c r="BJ15" s="3">
        <v>0.2</v>
      </c>
      <c r="BK15" s="3">
        <v>1</v>
      </c>
      <c r="BL15" s="3">
        <v>46.08</v>
      </c>
      <c r="BM15" s="3">
        <v>6.91</v>
      </c>
      <c r="BN15" s="3">
        <v>52.99</v>
      </c>
      <c r="BO15" s="3">
        <v>52.99</v>
      </c>
      <c r="BQ15" s="3" t="s">
        <v>98</v>
      </c>
      <c r="BR15" s="3" t="s">
        <v>137</v>
      </c>
      <c r="BS15" s="4">
        <v>44578</v>
      </c>
      <c r="BT15" s="5">
        <v>0.28472222222222221</v>
      </c>
      <c r="BU15" s="3" t="s">
        <v>113</v>
      </c>
      <c r="BV15" s="3" t="s">
        <v>88</v>
      </c>
      <c r="BW15" s="3" t="s">
        <v>138</v>
      </c>
      <c r="BX15" s="3" t="s">
        <v>139</v>
      </c>
      <c r="BY15" s="3">
        <v>1200</v>
      </c>
      <c r="BZ15" s="3" t="s">
        <v>114</v>
      </c>
      <c r="CA15" s="3" t="s">
        <v>115</v>
      </c>
      <c r="CC15" s="3" t="s">
        <v>76</v>
      </c>
      <c r="CD15" s="3">
        <v>2013</v>
      </c>
      <c r="CE15" s="3" t="s">
        <v>87</v>
      </c>
      <c r="CF15" s="4">
        <v>44579</v>
      </c>
      <c r="CI15" s="3">
        <v>1</v>
      </c>
      <c r="CJ15" s="3">
        <v>4</v>
      </c>
      <c r="CK15" s="3">
        <v>22</v>
      </c>
      <c r="CL15" s="3" t="s">
        <v>88</v>
      </c>
    </row>
    <row r="16" spans="1:92" x14ac:dyDescent="0.2">
      <c r="A16" s="3" t="s">
        <v>72</v>
      </c>
      <c r="B16" s="3" t="s">
        <v>73</v>
      </c>
      <c r="C16" s="3" t="s">
        <v>74</v>
      </c>
      <c r="E16" s="3" t="str">
        <f>"009941300313"</f>
        <v>009941300313</v>
      </c>
      <c r="F16" s="4">
        <v>44572</v>
      </c>
      <c r="G16" s="3">
        <v>202207</v>
      </c>
      <c r="H16" s="3" t="s">
        <v>140</v>
      </c>
      <c r="I16" s="3" t="s">
        <v>141</v>
      </c>
      <c r="J16" s="3" t="s">
        <v>142</v>
      </c>
      <c r="K16" s="3" t="s">
        <v>78</v>
      </c>
      <c r="L16" s="3" t="s">
        <v>75</v>
      </c>
      <c r="M16" s="3" t="s">
        <v>76</v>
      </c>
      <c r="N16" s="3" t="s">
        <v>109</v>
      </c>
      <c r="O16" s="3" t="s">
        <v>130</v>
      </c>
      <c r="P16" s="3" t="str">
        <f>"                              "</f>
        <v xml:space="preserve">                 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29.89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1</v>
      </c>
      <c r="BI16" s="3">
        <v>1</v>
      </c>
      <c r="BJ16" s="3">
        <v>0.2</v>
      </c>
      <c r="BK16" s="3">
        <v>1</v>
      </c>
      <c r="BL16" s="3">
        <v>119.34</v>
      </c>
      <c r="BM16" s="3">
        <v>17.899999999999999</v>
      </c>
      <c r="BN16" s="3">
        <v>137.24</v>
      </c>
      <c r="BO16" s="3">
        <v>137.24</v>
      </c>
      <c r="BQ16" s="3" t="s">
        <v>143</v>
      </c>
      <c r="BS16" s="4">
        <v>44573</v>
      </c>
      <c r="BT16" s="5">
        <v>0.36041666666666666</v>
      </c>
      <c r="BU16" s="3" t="s">
        <v>113</v>
      </c>
      <c r="BV16" s="3" t="s">
        <v>94</v>
      </c>
      <c r="BY16" s="3">
        <v>1200</v>
      </c>
      <c r="BZ16" s="3" t="s">
        <v>86</v>
      </c>
      <c r="CA16" s="3" t="s">
        <v>115</v>
      </c>
      <c r="CC16" s="3" t="s">
        <v>76</v>
      </c>
      <c r="CD16" s="3">
        <v>2013</v>
      </c>
      <c r="CE16" s="3" t="s">
        <v>87</v>
      </c>
      <c r="CF16" s="4">
        <v>44574</v>
      </c>
      <c r="CI16" s="3">
        <v>1</v>
      </c>
      <c r="CJ16" s="3">
        <v>1</v>
      </c>
      <c r="CK16" s="3">
        <v>41</v>
      </c>
      <c r="CL16" s="3" t="s">
        <v>88</v>
      </c>
    </row>
    <row r="17" spans="1:90" x14ac:dyDescent="0.2">
      <c r="A17" s="3" t="s">
        <v>72</v>
      </c>
      <c r="B17" s="3" t="s">
        <v>73</v>
      </c>
      <c r="C17" s="3" t="s">
        <v>74</v>
      </c>
      <c r="E17" s="3" t="str">
        <f>"009942061974"</f>
        <v>009942061974</v>
      </c>
      <c r="F17" s="4">
        <v>44572</v>
      </c>
      <c r="G17" s="3">
        <v>202207</v>
      </c>
      <c r="H17" s="3" t="s">
        <v>144</v>
      </c>
      <c r="I17" s="3" t="s">
        <v>145</v>
      </c>
      <c r="J17" s="3" t="s">
        <v>146</v>
      </c>
      <c r="K17" s="3" t="s">
        <v>78</v>
      </c>
      <c r="L17" s="3" t="s">
        <v>75</v>
      </c>
      <c r="M17" s="3" t="s">
        <v>76</v>
      </c>
      <c r="N17" s="3" t="s">
        <v>118</v>
      </c>
      <c r="O17" s="3" t="s">
        <v>110</v>
      </c>
      <c r="P17" s="3" t="str">
        <f>"                              "</f>
        <v xml:space="preserve">                     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15.46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1</v>
      </c>
      <c r="BJ17" s="3">
        <v>0.2</v>
      </c>
      <c r="BK17" s="3">
        <v>1</v>
      </c>
      <c r="BL17" s="3">
        <v>59</v>
      </c>
      <c r="BM17" s="3">
        <v>8.85</v>
      </c>
      <c r="BN17" s="3">
        <v>67.849999999999994</v>
      </c>
      <c r="BO17" s="3">
        <v>67.849999999999994</v>
      </c>
      <c r="BQ17" s="3" t="s">
        <v>147</v>
      </c>
      <c r="BR17" s="3" t="s">
        <v>148</v>
      </c>
      <c r="BS17" s="4">
        <v>44573</v>
      </c>
      <c r="BT17" s="5">
        <v>0.35972222222222222</v>
      </c>
      <c r="BU17" s="3" t="s">
        <v>113</v>
      </c>
      <c r="BV17" s="3" t="s">
        <v>94</v>
      </c>
      <c r="BY17" s="3">
        <v>1200</v>
      </c>
      <c r="BZ17" s="3" t="s">
        <v>114</v>
      </c>
      <c r="CA17" s="3" t="s">
        <v>115</v>
      </c>
      <c r="CC17" s="3" t="s">
        <v>76</v>
      </c>
      <c r="CD17" s="3">
        <v>2013</v>
      </c>
      <c r="CE17" s="3" t="s">
        <v>87</v>
      </c>
      <c r="CF17" s="4">
        <v>44574</v>
      </c>
      <c r="CI17" s="3">
        <v>1</v>
      </c>
      <c r="CJ17" s="3">
        <v>1</v>
      </c>
      <c r="CK17" s="3">
        <v>21</v>
      </c>
      <c r="CL17" s="3" t="s">
        <v>88</v>
      </c>
    </row>
    <row r="18" spans="1:90" x14ac:dyDescent="0.2">
      <c r="A18" s="3" t="s">
        <v>72</v>
      </c>
      <c r="B18" s="3" t="s">
        <v>73</v>
      </c>
      <c r="C18" s="3" t="s">
        <v>74</v>
      </c>
      <c r="E18" s="3" t="str">
        <f>"009941351876"</f>
        <v>009941351876</v>
      </c>
      <c r="F18" s="4">
        <v>44572</v>
      </c>
      <c r="G18" s="3">
        <v>202207</v>
      </c>
      <c r="H18" s="3" t="s">
        <v>116</v>
      </c>
      <c r="I18" s="3" t="s">
        <v>117</v>
      </c>
      <c r="J18" s="3" t="s">
        <v>109</v>
      </c>
      <c r="K18" s="3" t="s">
        <v>78</v>
      </c>
      <c r="L18" s="3" t="s">
        <v>149</v>
      </c>
      <c r="M18" s="3" t="s">
        <v>150</v>
      </c>
      <c r="N18" s="3" t="s">
        <v>151</v>
      </c>
      <c r="O18" s="3" t="s">
        <v>110</v>
      </c>
      <c r="P18" s="3" t="str">
        <f>"                              "</f>
        <v xml:space="preserve">            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57.94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2</v>
      </c>
      <c r="BI18" s="3">
        <v>2</v>
      </c>
      <c r="BJ18" s="3">
        <v>7.2</v>
      </c>
      <c r="BK18" s="3">
        <v>7.5</v>
      </c>
      <c r="BL18" s="3">
        <v>221.16</v>
      </c>
      <c r="BM18" s="3">
        <v>33.17</v>
      </c>
      <c r="BN18" s="3">
        <v>254.33</v>
      </c>
      <c r="BO18" s="3">
        <v>254.33</v>
      </c>
      <c r="BQ18" s="3" t="s">
        <v>152</v>
      </c>
      <c r="BR18" s="3" t="s">
        <v>153</v>
      </c>
      <c r="BS18" s="4">
        <v>44574</v>
      </c>
      <c r="BT18" s="5">
        <v>0.52013888888888882</v>
      </c>
      <c r="BU18" s="3" t="s">
        <v>154</v>
      </c>
      <c r="BV18" s="3" t="s">
        <v>88</v>
      </c>
      <c r="BW18" s="3" t="s">
        <v>155</v>
      </c>
      <c r="BX18" s="3" t="s">
        <v>156</v>
      </c>
      <c r="BY18" s="3">
        <v>36000</v>
      </c>
      <c r="BZ18" s="3" t="s">
        <v>114</v>
      </c>
      <c r="CA18" s="3" t="s">
        <v>157</v>
      </c>
      <c r="CC18" s="3" t="s">
        <v>150</v>
      </c>
      <c r="CD18" s="3">
        <v>5200</v>
      </c>
      <c r="CE18" s="3" t="s">
        <v>87</v>
      </c>
      <c r="CF18" s="4">
        <v>44574</v>
      </c>
      <c r="CI18" s="3">
        <v>1</v>
      </c>
      <c r="CJ18" s="3">
        <v>2</v>
      </c>
      <c r="CK18" s="3">
        <v>21</v>
      </c>
      <c r="CL18" s="3" t="s">
        <v>88</v>
      </c>
    </row>
    <row r="19" spans="1:90" x14ac:dyDescent="0.2">
      <c r="A19" s="3" t="s">
        <v>72</v>
      </c>
      <c r="B19" s="3" t="s">
        <v>73</v>
      </c>
      <c r="C19" s="3" t="s">
        <v>74</v>
      </c>
      <c r="E19" s="3" t="str">
        <f>"009940568067"</f>
        <v>009940568067</v>
      </c>
      <c r="F19" s="4">
        <v>44572</v>
      </c>
      <c r="G19" s="3">
        <v>202207</v>
      </c>
      <c r="H19" s="3" t="s">
        <v>96</v>
      </c>
      <c r="I19" s="3" t="s">
        <v>97</v>
      </c>
      <c r="J19" s="3" t="s">
        <v>158</v>
      </c>
      <c r="K19" s="3" t="s">
        <v>78</v>
      </c>
      <c r="L19" s="3" t="s">
        <v>75</v>
      </c>
      <c r="M19" s="3" t="s">
        <v>76</v>
      </c>
      <c r="N19" s="3" t="s">
        <v>109</v>
      </c>
      <c r="O19" s="3" t="s">
        <v>130</v>
      </c>
      <c r="P19" s="3" t="str">
        <f>"NA                            "</f>
        <v xml:space="preserve">NA           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29.89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1</v>
      </c>
      <c r="BI19" s="3">
        <v>0.3</v>
      </c>
      <c r="BJ19" s="3">
        <v>1.6</v>
      </c>
      <c r="BK19" s="3">
        <v>2</v>
      </c>
      <c r="BL19" s="3">
        <v>119.34</v>
      </c>
      <c r="BM19" s="3">
        <v>17.899999999999999</v>
      </c>
      <c r="BN19" s="3">
        <v>137.24</v>
      </c>
      <c r="BO19" s="3">
        <v>137.24</v>
      </c>
      <c r="BQ19" s="3" t="s">
        <v>159</v>
      </c>
      <c r="BR19" s="3" t="s">
        <v>160</v>
      </c>
      <c r="BS19" s="4">
        <v>44575</v>
      </c>
      <c r="BT19" s="5">
        <v>0.30069444444444443</v>
      </c>
      <c r="BU19" s="3" t="s">
        <v>113</v>
      </c>
      <c r="BV19" s="3" t="s">
        <v>88</v>
      </c>
      <c r="BW19" s="3" t="s">
        <v>138</v>
      </c>
      <c r="BX19" s="3" t="s">
        <v>139</v>
      </c>
      <c r="BY19" s="3">
        <v>7931.25</v>
      </c>
      <c r="BZ19" s="3" t="s">
        <v>86</v>
      </c>
      <c r="CA19" s="3" t="s">
        <v>115</v>
      </c>
      <c r="CC19" s="3" t="s">
        <v>76</v>
      </c>
      <c r="CD19" s="3">
        <v>2013</v>
      </c>
      <c r="CE19" s="3" t="s">
        <v>87</v>
      </c>
      <c r="CF19" s="4">
        <v>44576</v>
      </c>
      <c r="CI19" s="3">
        <v>2</v>
      </c>
      <c r="CJ19" s="3">
        <v>3</v>
      </c>
      <c r="CK19" s="3">
        <v>41</v>
      </c>
      <c r="CL19" s="3" t="s">
        <v>88</v>
      </c>
    </row>
    <row r="20" spans="1:90" x14ac:dyDescent="0.2">
      <c r="A20" s="3" t="s">
        <v>72</v>
      </c>
      <c r="B20" s="3" t="s">
        <v>73</v>
      </c>
      <c r="C20" s="3" t="s">
        <v>74</v>
      </c>
      <c r="E20" s="3" t="str">
        <f>"009941300417"</f>
        <v>009941300417</v>
      </c>
      <c r="F20" s="4">
        <v>44572</v>
      </c>
      <c r="G20" s="3">
        <v>202207</v>
      </c>
      <c r="H20" s="3" t="s">
        <v>75</v>
      </c>
      <c r="I20" s="3" t="s">
        <v>76</v>
      </c>
      <c r="J20" s="3" t="s">
        <v>161</v>
      </c>
      <c r="K20" s="3" t="s">
        <v>78</v>
      </c>
      <c r="L20" s="3" t="s">
        <v>75</v>
      </c>
      <c r="M20" s="3" t="s">
        <v>76</v>
      </c>
      <c r="N20" s="3" t="s">
        <v>136</v>
      </c>
      <c r="O20" s="3" t="s">
        <v>130</v>
      </c>
      <c r="P20" s="3" t="str">
        <f>"..                            "</f>
        <v xml:space="preserve">..                     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15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23.06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1</v>
      </c>
      <c r="BJ20" s="3">
        <v>0.2</v>
      </c>
      <c r="BK20" s="3">
        <v>1</v>
      </c>
      <c r="BL20" s="3">
        <v>108.28</v>
      </c>
      <c r="BM20" s="3">
        <v>16.239999999999998</v>
      </c>
      <c r="BN20" s="3">
        <v>124.52</v>
      </c>
      <c r="BO20" s="3">
        <v>124.52</v>
      </c>
      <c r="BQ20" s="3" t="s">
        <v>162</v>
      </c>
      <c r="BR20" s="3" t="s">
        <v>98</v>
      </c>
      <c r="BS20" s="4">
        <v>44573</v>
      </c>
      <c r="BT20" s="5">
        <v>0.3611111111111111</v>
      </c>
      <c r="BU20" s="3" t="s">
        <v>113</v>
      </c>
      <c r="BV20" s="3" t="s">
        <v>94</v>
      </c>
      <c r="BY20" s="3">
        <v>1200</v>
      </c>
      <c r="BZ20" s="3" t="s">
        <v>163</v>
      </c>
      <c r="CA20" s="3" t="s">
        <v>115</v>
      </c>
      <c r="CC20" s="3" t="s">
        <v>76</v>
      </c>
      <c r="CD20" s="3">
        <v>2013</v>
      </c>
      <c r="CE20" s="3" t="s">
        <v>87</v>
      </c>
      <c r="CF20" s="4">
        <v>44574</v>
      </c>
      <c r="CI20" s="3">
        <v>1</v>
      </c>
      <c r="CJ20" s="3">
        <v>1</v>
      </c>
      <c r="CK20" s="3">
        <v>42</v>
      </c>
      <c r="CL20" s="3" t="s">
        <v>88</v>
      </c>
    </row>
    <row r="21" spans="1:90" x14ac:dyDescent="0.2">
      <c r="A21" s="3" t="s">
        <v>72</v>
      </c>
      <c r="B21" s="3" t="s">
        <v>73</v>
      </c>
      <c r="C21" s="3" t="s">
        <v>74</v>
      </c>
      <c r="E21" s="3" t="str">
        <f>"009941640817"</f>
        <v>009941640817</v>
      </c>
      <c r="F21" s="4">
        <v>44572</v>
      </c>
      <c r="G21" s="3">
        <v>202207</v>
      </c>
      <c r="H21" s="3" t="s">
        <v>75</v>
      </c>
      <c r="I21" s="3" t="s">
        <v>76</v>
      </c>
      <c r="J21" s="3" t="s">
        <v>77</v>
      </c>
      <c r="K21" s="3" t="s">
        <v>78</v>
      </c>
      <c r="L21" s="3" t="s">
        <v>127</v>
      </c>
      <c r="M21" s="3" t="s">
        <v>128</v>
      </c>
      <c r="N21" s="3" t="s">
        <v>91</v>
      </c>
      <c r="O21" s="3" t="s">
        <v>82</v>
      </c>
      <c r="P21" s="3" t="str">
        <f>"..                            "</f>
        <v xml:space="preserve">..          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28.98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0.5</v>
      </c>
      <c r="BJ21" s="3">
        <v>1.7</v>
      </c>
      <c r="BK21" s="3">
        <v>2</v>
      </c>
      <c r="BL21" s="3">
        <v>110.62</v>
      </c>
      <c r="BM21" s="3">
        <v>16.59</v>
      </c>
      <c r="BN21" s="3">
        <v>127.21</v>
      </c>
      <c r="BO21" s="3">
        <v>127.21</v>
      </c>
      <c r="BQ21" s="3" t="s">
        <v>98</v>
      </c>
      <c r="BR21" s="3" t="s">
        <v>84</v>
      </c>
      <c r="BS21" s="4">
        <v>44574</v>
      </c>
      <c r="BT21" s="5">
        <v>0.48125000000000001</v>
      </c>
      <c r="BU21" s="3" t="s">
        <v>164</v>
      </c>
      <c r="BV21" s="3" t="s">
        <v>88</v>
      </c>
      <c r="BW21" s="3" t="s">
        <v>165</v>
      </c>
      <c r="BX21" s="3" t="s">
        <v>166</v>
      </c>
      <c r="BY21" s="3">
        <v>8364.9599999999991</v>
      </c>
      <c r="BZ21" s="3" t="s">
        <v>86</v>
      </c>
      <c r="CA21" s="3" t="s">
        <v>167</v>
      </c>
      <c r="CC21" s="3" t="s">
        <v>128</v>
      </c>
      <c r="CD21" s="3">
        <v>3610</v>
      </c>
      <c r="CE21" s="3" t="s">
        <v>87</v>
      </c>
      <c r="CF21" s="4">
        <v>44574</v>
      </c>
      <c r="CI21" s="3">
        <v>1</v>
      </c>
      <c r="CJ21" s="3">
        <v>2</v>
      </c>
      <c r="CK21" s="3">
        <v>31</v>
      </c>
      <c r="CL21" s="3" t="s">
        <v>88</v>
      </c>
    </row>
    <row r="22" spans="1:90" x14ac:dyDescent="0.2">
      <c r="A22" s="3" t="s">
        <v>72</v>
      </c>
      <c r="B22" s="3" t="s">
        <v>73</v>
      </c>
      <c r="C22" s="3" t="s">
        <v>74</v>
      </c>
      <c r="E22" s="3" t="str">
        <f>"009941551858"</f>
        <v>009941551858</v>
      </c>
      <c r="F22" s="4">
        <v>44572</v>
      </c>
      <c r="G22" s="3">
        <v>202207</v>
      </c>
      <c r="H22" s="3" t="s">
        <v>75</v>
      </c>
      <c r="I22" s="3" t="s">
        <v>76</v>
      </c>
      <c r="J22" s="3" t="s">
        <v>77</v>
      </c>
      <c r="K22" s="3" t="s">
        <v>78</v>
      </c>
      <c r="L22" s="3" t="s">
        <v>96</v>
      </c>
      <c r="M22" s="3" t="s">
        <v>97</v>
      </c>
      <c r="N22" s="3" t="s">
        <v>168</v>
      </c>
      <c r="O22" s="3" t="s">
        <v>82</v>
      </c>
      <c r="P22" s="3" t="str">
        <f>"..                            "</f>
        <v xml:space="preserve">..               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28.98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1</v>
      </c>
      <c r="BJ22" s="3">
        <v>0.2</v>
      </c>
      <c r="BK22" s="3">
        <v>1</v>
      </c>
      <c r="BL22" s="3">
        <v>110.62</v>
      </c>
      <c r="BM22" s="3">
        <v>16.59</v>
      </c>
      <c r="BN22" s="3">
        <v>127.21</v>
      </c>
      <c r="BO22" s="3">
        <v>127.21</v>
      </c>
      <c r="BQ22" s="3" t="s">
        <v>98</v>
      </c>
      <c r="BR22" s="3" t="s">
        <v>169</v>
      </c>
      <c r="BS22" s="4">
        <v>44573</v>
      </c>
      <c r="BT22" s="5">
        <v>0.34791666666666665</v>
      </c>
      <c r="BU22" s="3" t="s">
        <v>170</v>
      </c>
      <c r="BV22" s="3" t="s">
        <v>94</v>
      </c>
      <c r="BY22" s="3">
        <v>1200</v>
      </c>
      <c r="BZ22" s="3" t="s">
        <v>86</v>
      </c>
      <c r="CA22" s="3" t="s">
        <v>171</v>
      </c>
      <c r="CC22" s="3" t="s">
        <v>97</v>
      </c>
      <c r="CD22" s="3">
        <v>7560</v>
      </c>
      <c r="CE22" s="3" t="s">
        <v>87</v>
      </c>
      <c r="CF22" s="4">
        <v>44574</v>
      </c>
      <c r="CI22" s="3">
        <v>1</v>
      </c>
      <c r="CJ22" s="3">
        <v>1</v>
      </c>
      <c r="CK22" s="3">
        <v>31</v>
      </c>
      <c r="CL22" s="3" t="s">
        <v>88</v>
      </c>
    </row>
    <row r="23" spans="1:90" x14ac:dyDescent="0.2">
      <c r="A23" s="3" t="s">
        <v>72</v>
      </c>
      <c r="B23" s="3" t="s">
        <v>73</v>
      </c>
      <c r="C23" s="3" t="s">
        <v>74</v>
      </c>
      <c r="E23" s="3" t="str">
        <f>"009941300188"</f>
        <v>009941300188</v>
      </c>
      <c r="F23" s="4">
        <v>44572</v>
      </c>
      <c r="G23" s="3">
        <v>202207</v>
      </c>
      <c r="H23" s="3" t="s">
        <v>172</v>
      </c>
      <c r="I23" s="3" t="s">
        <v>173</v>
      </c>
      <c r="J23" s="3" t="s">
        <v>174</v>
      </c>
      <c r="K23" s="3" t="s">
        <v>78</v>
      </c>
      <c r="L23" s="3" t="s">
        <v>75</v>
      </c>
      <c r="M23" s="3" t="s">
        <v>76</v>
      </c>
      <c r="N23" s="3" t="s">
        <v>109</v>
      </c>
      <c r="O23" s="3" t="s">
        <v>130</v>
      </c>
      <c r="P23" s="3" t="str">
        <f>"..                            "</f>
        <v xml:space="preserve">..                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23.06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1</v>
      </c>
      <c r="BI23" s="3">
        <v>1</v>
      </c>
      <c r="BJ23" s="3">
        <v>0.2</v>
      </c>
      <c r="BK23" s="3">
        <v>1</v>
      </c>
      <c r="BL23" s="3">
        <v>93.28</v>
      </c>
      <c r="BM23" s="3">
        <v>13.99</v>
      </c>
      <c r="BN23" s="3">
        <v>107.27</v>
      </c>
      <c r="BO23" s="3">
        <v>107.27</v>
      </c>
      <c r="BQ23" s="3" t="s">
        <v>162</v>
      </c>
      <c r="BR23" s="3" t="s">
        <v>175</v>
      </c>
      <c r="BS23" s="4">
        <v>44573</v>
      </c>
      <c r="BT23" s="5">
        <v>0.36180555555555555</v>
      </c>
      <c r="BU23" s="3" t="s">
        <v>113</v>
      </c>
      <c r="BV23" s="3" t="s">
        <v>94</v>
      </c>
      <c r="BY23" s="3">
        <v>1200</v>
      </c>
      <c r="BZ23" s="3" t="s">
        <v>86</v>
      </c>
      <c r="CA23" s="3" t="s">
        <v>115</v>
      </c>
      <c r="CC23" s="3" t="s">
        <v>76</v>
      </c>
      <c r="CD23" s="3">
        <v>2013</v>
      </c>
      <c r="CE23" s="3" t="s">
        <v>87</v>
      </c>
      <c r="CF23" s="4">
        <v>44574</v>
      </c>
      <c r="CI23" s="3">
        <v>1</v>
      </c>
      <c r="CJ23" s="3">
        <v>1</v>
      </c>
      <c r="CK23" s="3">
        <v>42</v>
      </c>
      <c r="CL23" s="3" t="s">
        <v>88</v>
      </c>
    </row>
    <row r="24" spans="1:90" x14ac:dyDescent="0.2">
      <c r="A24" s="3" t="s">
        <v>72</v>
      </c>
      <c r="B24" s="3" t="s">
        <v>73</v>
      </c>
      <c r="C24" s="3" t="s">
        <v>74</v>
      </c>
      <c r="E24" s="3" t="str">
        <f>"009941351874"</f>
        <v>009941351874</v>
      </c>
      <c r="F24" s="4">
        <v>44567</v>
      </c>
      <c r="G24" s="3">
        <v>202207</v>
      </c>
      <c r="H24" s="3" t="s">
        <v>116</v>
      </c>
      <c r="I24" s="3" t="s">
        <v>117</v>
      </c>
      <c r="J24" s="3" t="s">
        <v>109</v>
      </c>
      <c r="K24" s="3" t="s">
        <v>78</v>
      </c>
      <c r="L24" s="3" t="s">
        <v>176</v>
      </c>
      <c r="M24" s="3" t="s">
        <v>177</v>
      </c>
      <c r="N24" s="3" t="s">
        <v>178</v>
      </c>
      <c r="O24" s="3" t="s">
        <v>110</v>
      </c>
      <c r="P24" s="3" t="str">
        <f>"PASTY                         "</f>
        <v xml:space="preserve">PASTY       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29.95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1</v>
      </c>
      <c r="BI24" s="3">
        <v>1</v>
      </c>
      <c r="BJ24" s="3">
        <v>0.1</v>
      </c>
      <c r="BK24" s="3">
        <v>1</v>
      </c>
      <c r="BL24" s="3">
        <v>114.31</v>
      </c>
      <c r="BM24" s="3">
        <v>17.149999999999999</v>
      </c>
      <c r="BN24" s="3">
        <v>131.46</v>
      </c>
      <c r="BO24" s="3">
        <v>131.46</v>
      </c>
      <c r="BQ24" s="3" t="s">
        <v>179</v>
      </c>
      <c r="BR24" s="3" t="s">
        <v>153</v>
      </c>
      <c r="BS24" s="4">
        <v>44568</v>
      </c>
      <c r="BT24" s="5">
        <v>0.5</v>
      </c>
      <c r="BU24" s="3" t="s">
        <v>180</v>
      </c>
      <c r="BV24" s="3" t="s">
        <v>88</v>
      </c>
      <c r="BW24" s="3" t="s">
        <v>181</v>
      </c>
      <c r="BX24" s="3" t="s">
        <v>182</v>
      </c>
      <c r="BY24" s="3">
        <v>600</v>
      </c>
      <c r="BZ24" s="3" t="s">
        <v>114</v>
      </c>
      <c r="CC24" s="3" t="s">
        <v>177</v>
      </c>
      <c r="CD24" s="3">
        <v>2940</v>
      </c>
      <c r="CE24" s="3" t="s">
        <v>87</v>
      </c>
      <c r="CF24" s="4">
        <v>44568</v>
      </c>
      <c r="CI24" s="3">
        <v>1</v>
      </c>
      <c r="CJ24" s="3">
        <v>1</v>
      </c>
      <c r="CK24" s="3">
        <v>23</v>
      </c>
      <c r="CL24" s="3" t="s">
        <v>88</v>
      </c>
    </row>
    <row r="25" spans="1:90" x14ac:dyDescent="0.2">
      <c r="A25" s="3" t="s">
        <v>72</v>
      </c>
      <c r="B25" s="3" t="s">
        <v>73</v>
      </c>
      <c r="C25" s="3" t="s">
        <v>74</v>
      </c>
      <c r="E25" s="3" t="str">
        <f>"009941985995"</f>
        <v>009941985995</v>
      </c>
      <c r="F25" s="4">
        <v>44571</v>
      </c>
      <c r="G25" s="3">
        <v>202207</v>
      </c>
      <c r="H25" s="3" t="s">
        <v>183</v>
      </c>
      <c r="I25" s="3" t="s">
        <v>184</v>
      </c>
      <c r="J25" s="3" t="s">
        <v>129</v>
      </c>
      <c r="K25" s="3" t="s">
        <v>78</v>
      </c>
      <c r="L25" s="3" t="s">
        <v>75</v>
      </c>
      <c r="M25" s="3" t="s">
        <v>76</v>
      </c>
      <c r="N25" s="3" t="s">
        <v>185</v>
      </c>
      <c r="O25" s="3" t="s">
        <v>130</v>
      </c>
      <c r="P25" s="3" t="str">
        <f>"                              "</f>
        <v xml:space="preserve">             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42.16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1</v>
      </c>
      <c r="BI25" s="3">
        <v>1</v>
      </c>
      <c r="BJ25" s="3">
        <v>0.2</v>
      </c>
      <c r="BK25" s="3">
        <v>1</v>
      </c>
      <c r="BL25" s="3">
        <v>166.16</v>
      </c>
      <c r="BM25" s="3">
        <v>24.92</v>
      </c>
      <c r="BN25" s="3">
        <v>191.08</v>
      </c>
      <c r="BO25" s="3">
        <v>191.08</v>
      </c>
      <c r="BQ25" s="3" t="s">
        <v>147</v>
      </c>
      <c r="BR25" s="3" t="s">
        <v>186</v>
      </c>
      <c r="BS25" s="4">
        <v>44572</v>
      </c>
      <c r="BT25" s="5">
        <v>0.39513888888888887</v>
      </c>
      <c r="BU25" s="3" t="s">
        <v>187</v>
      </c>
      <c r="BV25" s="3" t="s">
        <v>94</v>
      </c>
      <c r="BY25" s="3">
        <v>1200</v>
      </c>
      <c r="BZ25" s="3" t="s">
        <v>86</v>
      </c>
      <c r="CA25" s="3" t="s">
        <v>115</v>
      </c>
      <c r="CC25" s="3" t="s">
        <v>76</v>
      </c>
      <c r="CD25" s="3">
        <v>2013</v>
      </c>
      <c r="CE25" s="3" t="s">
        <v>87</v>
      </c>
      <c r="CF25" s="4">
        <v>44573</v>
      </c>
      <c r="CI25" s="3">
        <v>1</v>
      </c>
      <c r="CJ25" s="3">
        <v>1</v>
      </c>
      <c r="CK25" s="3">
        <v>43</v>
      </c>
      <c r="CL25" s="3" t="s">
        <v>88</v>
      </c>
    </row>
    <row r="26" spans="1:90" x14ac:dyDescent="0.2">
      <c r="A26" s="3" t="s">
        <v>72</v>
      </c>
      <c r="B26" s="3" t="s">
        <v>73</v>
      </c>
      <c r="C26" s="3" t="s">
        <v>74</v>
      </c>
      <c r="E26" s="3" t="str">
        <f>"009941301739"</f>
        <v>009941301739</v>
      </c>
      <c r="F26" s="4">
        <v>44572</v>
      </c>
      <c r="G26" s="3">
        <v>202207</v>
      </c>
      <c r="H26" s="3" t="s">
        <v>104</v>
      </c>
      <c r="I26" s="3" t="s">
        <v>105</v>
      </c>
      <c r="J26" s="3" t="s">
        <v>123</v>
      </c>
      <c r="K26" s="3" t="s">
        <v>78</v>
      </c>
      <c r="L26" s="3" t="s">
        <v>75</v>
      </c>
      <c r="M26" s="3" t="s">
        <v>76</v>
      </c>
      <c r="N26" s="3" t="s">
        <v>109</v>
      </c>
      <c r="O26" s="3" t="s">
        <v>110</v>
      </c>
      <c r="P26" s="3" t="str">
        <f>"NOREF                         "</f>
        <v xml:space="preserve">NOREF        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15.46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1</v>
      </c>
      <c r="BI26" s="3">
        <v>1</v>
      </c>
      <c r="BJ26" s="3">
        <v>0.2</v>
      </c>
      <c r="BK26" s="3">
        <v>1</v>
      </c>
      <c r="BL26" s="3">
        <v>59</v>
      </c>
      <c r="BM26" s="3">
        <v>8.85</v>
      </c>
      <c r="BN26" s="3">
        <v>67.849999999999994</v>
      </c>
      <c r="BO26" s="3">
        <v>67.849999999999994</v>
      </c>
      <c r="BQ26" s="3" t="s">
        <v>162</v>
      </c>
      <c r="BR26" s="3" t="s">
        <v>135</v>
      </c>
      <c r="BS26" s="4">
        <v>44573</v>
      </c>
      <c r="BT26" s="5">
        <v>0.35833333333333334</v>
      </c>
      <c r="BU26" s="3" t="s">
        <v>113</v>
      </c>
      <c r="BV26" s="3" t="s">
        <v>94</v>
      </c>
      <c r="BY26" s="3">
        <v>1200</v>
      </c>
      <c r="BZ26" s="3" t="s">
        <v>114</v>
      </c>
      <c r="CA26" s="3" t="s">
        <v>115</v>
      </c>
      <c r="CC26" s="3" t="s">
        <v>76</v>
      </c>
      <c r="CD26" s="3">
        <v>2013</v>
      </c>
      <c r="CE26" s="3" t="s">
        <v>135</v>
      </c>
      <c r="CF26" s="4">
        <v>44574</v>
      </c>
      <c r="CI26" s="3">
        <v>1</v>
      </c>
      <c r="CJ26" s="3">
        <v>1</v>
      </c>
      <c r="CK26" s="3">
        <v>21</v>
      </c>
      <c r="CL26" s="3" t="s">
        <v>88</v>
      </c>
    </row>
    <row r="27" spans="1:90" x14ac:dyDescent="0.2">
      <c r="A27" s="3" t="s">
        <v>72</v>
      </c>
      <c r="B27" s="3" t="s">
        <v>73</v>
      </c>
      <c r="C27" s="3" t="s">
        <v>74</v>
      </c>
      <c r="E27" s="3" t="str">
        <f>"009941300252"</f>
        <v>009941300252</v>
      </c>
      <c r="F27" s="4">
        <v>44573</v>
      </c>
      <c r="G27" s="3">
        <v>202207</v>
      </c>
      <c r="H27" s="3" t="s">
        <v>188</v>
      </c>
      <c r="I27" s="3" t="s">
        <v>189</v>
      </c>
      <c r="J27" s="3" t="s">
        <v>190</v>
      </c>
      <c r="K27" s="3" t="s">
        <v>78</v>
      </c>
      <c r="L27" s="3" t="s">
        <v>75</v>
      </c>
      <c r="M27" s="3" t="s">
        <v>76</v>
      </c>
      <c r="N27" s="3" t="s">
        <v>109</v>
      </c>
      <c r="O27" s="3" t="s">
        <v>130</v>
      </c>
      <c r="P27" s="3" t="str">
        <f>"N A                           "</f>
        <v xml:space="preserve">N A                    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23.06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1</v>
      </c>
      <c r="BJ27" s="3">
        <v>9.6</v>
      </c>
      <c r="BK27" s="3">
        <v>10</v>
      </c>
      <c r="BL27" s="3">
        <v>93.28</v>
      </c>
      <c r="BM27" s="3">
        <v>13.99</v>
      </c>
      <c r="BN27" s="3">
        <v>107.27</v>
      </c>
      <c r="BO27" s="3">
        <v>107.27</v>
      </c>
      <c r="BQ27" s="3" t="s">
        <v>162</v>
      </c>
      <c r="BR27" s="3" t="s">
        <v>191</v>
      </c>
      <c r="BS27" s="4">
        <v>44574</v>
      </c>
      <c r="BT27" s="5">
        <v>0.32222222222222224</v>
      </c>
      <c r="BU27" s="3" t="s">
        <v>113</v>
      </c>
      <c r="BV27" s="3" t="s">
        <v>94</v>
      </c>
      <c r="BY27" s="3">
        <v>48000</v>
      </c>
      <c r="BZ27" s="3" t="s">
        <v>86</v>
      </c>
      <c r="CA27" s="3" t="s">
        <v>115</v>
      </c>
      <c r="CC27" s="3" t="s">
        <v>76</v>
      </c>
      <c r="CD27" s="3">
        <v>2013</v>
      </c>
      <c r="CE27" s="3" t="s">
        <v>87</v>
      </c>
      <c r="CF27" s="4">
        <v>44575</v>
      </c>
      <c r="CI27" s="3">
        <v>1</v>
      </c>
      <c r="CJ27" s="3">
        <v>1</v>
      </c>
      <c r="CK27" s="3">
        <v>42</v>
      </c>
      <c r="CL27" s="3" t="s">
        <v>88</v>
      </c>
    </row>
    <row r="28" spans="1:90" x14ac:dyDescent="0.2">
      <c r="A28" s="3" t="s">
        <v>72</v>
      </c>
      <c r="B28" s="3" t="s">
        <v>73</v>
      </c>
      <c r="C28" s="3" t="s">
        <v>74</v>
      </c>
      <c r="E28" s="3" t="str">
        <f>"009941640821"</f>
        <v>009941640821</v>
      </c>
      <c r="F28" s="4">
        <v>44571</v>
      </c>
      <c r="G28" s="3">
        <v>202207</v>
      </c>
      <c r="H28" s="3" t="s">
        <v>75</v>
      </c>
      <c r="I28" s="3" t="s">
        <v>76</v>
      </c>
      <c r="J28" s="3" t="s">
        <v>77</v>
      </c>
      <c r="K28" s="3" t="s">
        <v>78</v>
      </c>
      <c r="L28" s="3" t="s">
        <v>75</v>
      </c>
      <c r="M28" s="3" t="s">
        <v>76</v>
      </c>
      <c r="N28" s="3" t="s">
        <v>192</v>
      </c>
      <c r="O28" s="3" t="s">
        <v>82</v>
      </c>
      <c r="P28" s="3" t="str">
        <f>"...                           "</f>
        <v xml:space="preserve">...              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12.08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1</v>
      </c>
      <c r="BI28" s="3">
        <v>1</v>
      </c>
      <c r="BJ28" s="3">
        <v>0.2</v>
      </c>
      <c r="BK28" s="3">
        <v>1</v>
      </c>
      <c r="BL28" s="3">
        <v>46.1</v>
      </c>
      <c r="BM28" s="3">
        <v>6.92</v>
      </c>
      <c r="BN28" s="3">
        <v>53.02</v>
      </c>
      <c r="BO28" s="3">
        <v>53.02</v>
      </c>
      <c r="BQ28" s="3" t="s">
        <v>193</v>
      </c>
      <c r="BR28" s="3" t="s">
        <v>84</v>
      </c>
      <c r="BS28" s="4">
        <v>44574</v>
      </c>
      <c r="BT28" s="5">
        <v>0.31944444444444448</v>
      </c>
      <c r="BU28" s="3" t="s">
        <v>194</v>
      </c>
      <c r="BV28" s="3" t="s">
        <v>88</v>
      </c>
      <c r="BW28" s="3" t="s">
        <v>195</v>
      </c>
      <c r="BX28" s="3" t="s">
        <v>166</v>
      </c>
      <c r="BY28" s="3">
        <v>1200</v>
      </c>
      <c r="BZ28" s="3" t="s">
        <v>86</v>
      </c>
      <c r="CA28" s="3" t="s">
        <v>196</v>
      </c>
      <c r="CC28" s="3" t="s">
        <v>76</v>
      </c>
      <c r="CD28" s="3">
        <v>2094</v>
      </c>
      <c r="CE28" s="3" t="s">
        <v>87</v>
      </c>
      <c r="CF28" s="4">
        <v>44575</v>
      </c>
      <c r="CI28" s="3">
        <v>1</v>
      </c>
      <c r="CJ28" s="3">
        <v>3</v>
      </c>
      <c r="CK28" s="3">
        <v>32</v>
      </c>
      <c r="CL28" s="3" t="s">
        <v>88</v>
      </c>
    </row>
    <row r="29" spans="1:90" x14ac:dyDescent="0.2">
      <c r="A29" s="3" t="s">
        <v>72</v>
      </c>
      <c r="B29" s="3" t="s">
        <v>73</v>
      </c>
      <c r="C29" s="3" t="s">
        <v>74</v>
      </c>
      <c r="E29" s="3" t="str">
        <f>"009941640823"</f>
        <v>009941640823</v>
      </c>
      <c r="F29" s="4">
        <v>44571</v>
      </c>
      <c r="G29" s="3">
        <v>202207</v>
      </c>
      <c r="H29" s="3" t="s">
        <v>75</v>
      </c>
      <c r="I29" s="3" t="s">
        <v>76</v>
      </c>
      <c r="J29" s="3" t="s">
        <v>77</v>
      </c>
      <c r="K29" s="3" t="s">
        <v>78</v>
      </c>
      <c r="L29" s="3" t="s">
        <v>197</v>
      </c>
      <c r="M29" s="3" t="s">
        <v>198</v>
      </c>
      <c r="N29" s="3" t="s">
        <v>199</v>
      </c>
      <c r="O29" s="3" t="s">
        <v>82</v>
      </c>
      <c r="P29" s="3" t="str">
        <f>"...                           "</f>
        <v xml:space="preserve">...              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29.95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1</v>
      </c>
      <c r="BI29" s="3">
        <v>0.2</v>
      </c>
      <c r="BJ29" s="3">
        <v>1</v>
      </c>
      <c r="BK29" s="3">
        <v>1</v>
      </c>
      <c r="BL29" s="3">
        <v>114.31</v>
      </c>
      <c r="BM29" s="3">
        <v>17.149999999999999</v>
      </c>
      <c r="BN29" s="3">
        <v>131.46</v>
      </c>
      <c r="BO29" s="3">
        <v>131.46</v>
      </c>
      <c r="BQ29" s="3" t="s">
        <v>200</v>
      </c>
      <c r="BR29" s="3" t="s">
        <v>84</v>
      </c>
      <c r="BS29" s="4">
        <v>44572</v>
      </c>
      <c r="BT29" s="5">
        <v>0.67708333333333337</v>
      </c>
      <c r="BU29" s="3" t="s">
        <v>201</v>
      </c>
      <c r="BV29" s="3" t="s">
        <v>94</v>
      </c>
      <c r="BY29" s="3">
        <v>4778.7299999999996</v>
      </c>
      <c r="BZ29" s="3" t="s">
        <v>86</v>
      </c>
      <c r="CA29" s="3" t="s">
        <v>202</v>
      </c>
      <c r="CC29" s="3" t="s">
        <v>198</v>
      </c>
      <c r="CD29" s="3">
        <v>1120</v>
      </c>
      <c r="CE29" s="3" t="s">
        <v>87</v>
      </c>
      <c r="CF29" s="4">
        <v>44572</v>
      </c>
      <c r="CI29" s="3">
        <v>1</v>
      </c>
      <c r="CJ29" s="3">
        <v>1</v>
      </c>
      <c r="CK29" s="3">
        <v>33</v>
      </c>
      <c r="CL29" s="3" t="s">
        <v>88</v>
      </c>
    </row>
    <row r="30" spans="1:90" x14ac:dyDescent="0.2">
      <c r="A30" s="3" t="s">
        <v>72</v>
      </c>
      <c r="B30" s="3" t="s">
        <v>73</v>
      </c>
      <c r="C30" s="3" t="s">
        <v>74</v>
      </c>
      <c r="E30" s="3" t="str">
        <f>"009941640820"</f>
        <v>009941640820</v>
      </c>
      <c r="F30" s="4">
        <v>44571</v>
      </c>
      <c r="G30" s="3">
        <v>202207</v>
      </c>
      <c r="H30" s="3" t="s">
        <v>75</v>
      </c>
      <c r="I30" s="3" t="s">
        <v>76</v>
      </c>
      <c r="J30" s="3" t="s">
        <v>77</v>
      </c>
      <c r="K30" s="3" t="s">
        <v>78</v>
      </c>
      <c r="L30" s="3" t="s">
        <v>96</v>
      </c>
      <c r="M30" s="3" t="s">
        <v>97</v>
      </c>
      <c r="N30" s="3" t="s">
        <v>203</v>
      </c>
      <c r="O30" s="3" t="s">
        <v>82</v>
      </c>
      <c r="P30" s="3" t="str">
        <f>"...                           "</f>
        <v xml:space="preserve">...              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28.98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0.2</v>
      </c>
      <c r="BJ30" s="3">
        <v>0.8</v>
      </c>
      <c r="BK30" s="3">
        <v>1</v>
      </c>
      <c r="BL30" s="3">
        <v>110.62</v>
      </c>
      <c r="BM30" s="3">
        <v>16.59</v>
      </c>
      <c r="BN30" s="3">
        <v>127.21</v>
      </c>
      <c r="BO30" s="3">
        <v>127.21</v>
      </c>
      <c r="BQ30" s="3" t="s">
        <v>204</v>
      </c>
      <c r="BR30" s="3" t="s">
        <v>84</v>
      </c>
      <c r="BS30" s="4">
        <v>44572</v>
      </c>
      <c r="BT30" s="5">
        <v>0.41666666666666669</v>
      </c>
      <c r="BU30" s="3" t="s">
        <v>204</v>
      </c>
      <c r="BV30" s="3" t="s">
        <v>94</v>
      </c>
      <c r="BY30" s="3">
        <v>4032.73</v>
      </c>
      <c r="BZ30" s="3" t="s">
        <v>86</v>
      </c>
      <c r="CC30" s="3" t="s">
        <v>97</v>
      </c>
      <c r="CD30" s="3">
        <v>7945</v>
      </c>
      <c r="CE30" s="3" t="s">
        <v>87</v>
      </c>
      <c r="CF30" s="4">
        <v>44573</v>
      </c>
      <c r="CI30" s="3">
        <v>1</v>
      </c>
      <c r="CJ30" s="3">
        <v>1</v>
      </c>
      <c r="CK30" s="3">
        <v>31</v>
      </c>
      <c r="CL30" s="3" t="s">
        <v>88</v>
      </c>
    </row>
    <row r="31" spans="1:90" x14ac:dyDescent="0.2">
      <c r="A31" s="3" t="s">
        <v>72</v>
      </c>
      <c r="B31" s="3" t="s">
        <v>73</v>
      </c>
      <c r="C31" s="3" t="s">
        <v>74</v>
      </c>
      <c r="E31" s="3" t="str">
        <f>"009941300491"</f>
        <v>009941300491</v>
      </c>
      <c r="F31" s="4">
        <v>44572</v>
      </c>
      <c r="G31" s="3">
        <v>202207</v>
      </c>
      <c r="H31" s="3" t="s">
        <v>104</v>
      </c>
      <c r="I31" s="3" t="s">
        <v>105</v>
      </c>
      <c r="J31" s="3" t="s">
        <v>205</v>
      </c>
      <c r="K31" s="3" t="s">
        <v>78</v>
      </c>
      <c r="L31" s="3" t="s">
        <v>75</v>
      </c>
      <c r="M31" s="3" t="s">
        <v>76</v>
      </c>
      <c r="N31" s="3" t="s">
        <v>109</v>
      </c>
      <c r="O31" s="3" t="s">
        <v>130</v>
      </c>
      <c r="P31" s="3" t="str">
        <f>"NOREF                         "</f>
        <v xml:space="preserve">NOREF                     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29.89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1</v>
      </c>
      <c r="BJ31" s="3">
        <v>0.2</v>
      </c>
      <c r="BK31" s="3">
        <v>1</v>
      </c>
      <c r="BL31" s="3">
        <v>119.34</v>
      </c>
      <c r="BM31" s="3">
        <v>17.899999999999999</v>
      </c>
      <c r="BN31" s="3">
        <v>137.24</v>
      </c>
      <c r="BO31" s="3">
        <v>137.24</v>
      </c>
      <c r="BQ31" s="3" t="s">
        <v>162</v>
      </c>
      <c r="BR31" s="3" t="s">
        <v>135</v>
      </c>
      <c r="BS31" s="4">
        <v>44573</v>
      </c>
      <c r="BT31" s="5">
        <v>0.32291666666666669</v>
      </c>
      <c r="BU31" s="3" t="s">
        <v>206</v>
      </c>
      <c r="BV31" s="3" t="s">
        <v>94</v>
      </c>
      <c r="BY31" s="3">
        <v>1200</v>
      </c>
      <c r="BZ31" s="3" t="s">
        <v>207</v>
      </c>
      <c r="CC31" s="3" t="s">
        <v>76</v>
      </c>
      <c r="CD31" s="3">
        <v>2013</v>
      </c>
      <c r="CF31" s="4">
        <v>44574</v>
      </c>
      <c r="CI31" s="3">
        <v>1</v>
      </c>
      <c r="CJ31" s="3">
        <v>1</v>
      </c>
      <c r="CK31" s="3">
        <v>41</v>
      </c>
      <c r="CL31" s="3" t="s">
        <v>88</v>
      </c>
    </row>
    <row r="32" spans="1:90" x14ac:dyDescent="0.2">
      <c r="A32" s="3" t="s">
        <v>72</v>
      </c>
      <c r="B32" s="3" t="s">
        <v>73</v>
      </c>
      <c r="C32" s="3" t="s">
        <v>74</v>
      </c>
      <c r="E32" s="3" t="str">
        <f>"009941300429"</f>
        <v>009941300429</v>
      </c>
      <c r="F32" s="4">
        <v>44572</v>
      </c>
      <c r="G32" s="3">
        <v>202207</v>
      </c>
      <c r="H32" s="3" t="s">
        <v>104</v>
      </c>
      <c r="I32" s="3" t="s">
        <v>105</v>
      </c>
      <c r="J32" s="3" t="s">
        <v>208</v>
      </c>
      <c r="K32" s="3" t="s">
        <v>78</v>
      </c>
      <c r="L32" s="3" t="s">
        <v>75</v>
      </c>
      <c r="M32" s="3" t="s">
        <v>76</v>
      </c>
      <c r="N32" s="3" t="s">
        <v>109</v>
      </c>
      <c r="O32" s="3" t="s">
        <v>130</v>
      </c>
      <c r="P32" s="3" t="str">
        <f>"NOREF                         "</f>
        <v xml:space="preserve">NOREF            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29.89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</v>
      </c>
      <c r="BI32" s="3">
        <v>1</v>
      </c>
      <c r="BJ32" s="3">
        <v>0.2</v>
      </c>
      <c r="BK32" s="3">
        <v>1</v>
      </c>
      <c r="BL32" s="3">
        <v>119.34</v>
      </c>
      <c r="BM32" s="3">
        <v>17.899999999999999</v>
      </c>
      <c r="BN32" s="3">
        <v>137.24</v>
      </c>
      <c r="BO32" s="3">
        <v>137.24</v>
      </c>
      <c r="BQ32" s="3" t="s">
        <v>162</v>
      </c>
      <c r="BR32" s="3" t="s">
        <v>135</v>
      </c>
      <c r="BS32" s="4">
        <v>44573</v>
      </c>
      <c r="BT32" s="5">
        <v>0.32291666666666669</v>
      </c>
      <c r="BU32" s="3" t="s">
        <v>206</v>
      </c>
      <c r="BV32" s="3" t="s">
        <v>94</v>
      </c>
      <c r="BY32" s="3">
        <v>1200</v>
      </c>
      <c r="BZ32" s="3" t="s">
        <v>207</v>
      </c>
      <c r="CC32" s="3" t="s">
        <v>76</v>
      </c>
      <c r="CD32" s="3">
        <v>2013</v>
      </c>
      <c r="CF32" s="4">
        <v>44574</v>
      </c>
      <c r="CI32" s="3">
        <v>1</v>
      </c>
      <c r="CJ32" s="3">
        <v>1</v>
      </c>
      <c r="CK32" s="3">
        <v>41</v>
      </c>
      <c r="CL32" s="3" t="s">
        <v>88</v>
      </c>
    </row>
    <row r="33" spans="1:90" x14ac:dyDescent="0.2">
      <c r="A33" s="3" t="s">
        <v>72</v>
      </c>
      <c r="B33" s="3" t="s">
        <v>73</v>
      </c>
      <c r="C33" s="3" t="s">
        <v>74</v>
      </c>
      <c r="E33" s="3" t="str">
        <f>"009941300137"</f>
        <v>009941300137</v>
      </c>
      <c r="F33" s="4">
        <v>44572</v>
      </c>
      <c r="G33" s="3">
        <v>202207</v>
      </c>
      <c r="H33" s="3" t="s">
        <v>75</v>
      </c>
      <c r="I33" s="3" t="s">
        <v>76</v>
      </c>
      <c r="J33" s="3" t="s">
        <v>209</v>
      </c>
      <c r="K33" s="3" t="s">
        <v>78</v>
      </c>
      <c r="L33" s="3" t="s">
        <v>75</v>
      </c>
      <c r="M33" s="3" t="s">
        <v>76</v>
      </c>
      <c r="N33" s="3" t="s">
        <v>109</v>
      </c>
      <c r="O33" s="3" t="s">
        <v>110</v>
      </c>
      <c r="P33" s="3" t="str">
        <f>"N A                           "</f>
        <v xml:space="preserve">N A              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12.07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1</v>
      </c>
      <c r="BJ33" s="3">
        <v>7.2</v>
      </c>
      <c r="BK33" s="3">
        <v>7.5</v>
      </c>
      <c r="BL33" s="3">
        <v>46.08</v>
      </c>
      <c r="BM33" s="3">
        <v>6.91</v>
      </c>
      <c r="BN33" s="3">
        <v>52.99</v>
      </c>
      <c r="BO33" s="3">
        <v>52.99</v>
      </c>
      <c r="BQ33" s="3" t="s">
        <v>162</v>
      </c>
      <c r="BR33" s="3" t="s">
        <v>175</v>
      </c>
      <c r="BS33" s="4">
        <v>44573</v>
      </c>
      <c r="BT33" s="5">
        <v>0.36041666666666666</v>
      </c>
      <c r="BU33" s="3" t="s">
        <v>113</v>
      </c>
      <c r="BV33" s="3" t="s">
        <v>94</v>
      </c>
      <c r="BY33" s="3">
        <v>36000</v>
      </c>
      <c r="BZ33" s="3" t="s">
        <v>114</v>
      </c>
      <c r="CA33" s="3" t="s">
        <v>115</v>
      </c>
      <c r="CC33" s="3" t="s">
        <v>76</v>
      </c>
      <c r="CD33" s="3">
        <v>2013</v>
      </c>
      <c r="CE33" s="3" t="s">
        <v>87</v>
      </c>
      <c r="CF33" s="4">
        <v>44574</v>
      </c>
      <c r="CI33" s="3">
        <v>1</v>
      </c>
      <c r="CJ33" s="3">
        <v>1</v>
      </c>
      <c r="CK33" s="3">
        <v>22</v>
      </c>
      <c r="CL33" s="3" t="s">
        <v>88</v>
      </c>
    </row>
    <row r="34" spans="1:90" x14ac:dyDescent="0.2">
      <c r="A34" s="3" t="s">
        <v>72</v>
      </c>
      <c r="B34" s="3" t="s">
        <v>73</v>
      </c>
      <c r="C34" s="3" t="s">
        <v>74</v>
      </c>
      <c r="E34" s="3" t="str">
        <f>"009941640818"</f>
        <v>009941640818</v>
      </c>
      <c r="F34" s="4">
        <v>44572</v>
      </c>
      <c r="G34" s="3">
        <v>202207</v>
      </c>
      <c r="H34" s="3" t="s">
        <v>75</v>
      </c>
      <c r="I34" s="3" t="s">
        <v>76</v>
      </c>
      <c r="J34" s="3" t="s">
        <v>77</v>
      </c>
      <c r="K34" s="3" t="s">
        <v>78</v>
      </c>
      <c r="L34" s="3" t="s">
        <v>188</v>
      </c>
      <c r="M34" s="3" t="s">
        <v>189</v>
      </c>
      <c r="N34" s="3" t="s">
        <v>91</v>
      </c>
      <c r="O34" s="3" t="s">
        <v>82</v>
      </c>
      <c r="P34" s="3" t="str">
        <f>"..                            "</f>
        <v xml:space="preserve">..               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12.08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15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1</v>
      </c>
      <c r="BJ34" s="3">
        <v>7.2</v>
      </c>
      <c r="BK34" s="3">
        <v>8</v>
      </c>
      <c r="BL34" s="3">
        <v>61.1</v>
      </c>
      <c r="BM34" s="3">
        <v>9.17</v>
      </c>
      <c r="BN34" s="3">
        <v>70.27</v>
      </c>
      <c r="BO34" s="3">
        <v>70.27</v>
      </c>
      <c r="BQ34" s="3" t="s">
        <v>210</v>
      </c>
      <c r="BR34" s="3" t="s">
        <v>84</v>
      </c>
      <c r="BS34" s="4">
        <v>44573</v>
      </c>
      <c r="BT34" s="5">
        <v>0.3743055555555555</v>
      </c>
      <c r="BU34" s="3" t="s">
        <v>211</v>
      </c>
      <c r="BV34" s="3" t="s">
        <v>94</v>
      </c>
      <c r="BY34" s="3">
        <v>36000</v>
      </c>
      <c r="BZ34" s="3" t="s">
        <v>133</v>
      </c>
      <c r="CA34" s="3" t="s">
        <v>212</v>
      </c>
      <c r="CC34" s="3" t="s">
        <v>189</v>
      </c>
      <c r="CD34" s="3">
        <v>1685</v>
      </c>
      <c r="CE34" s="3" t="s">
        <v>87</v>
      </c>
      <c r="CF34" s="4">
        <v>44574</v>
      </c>
      <c r="CI34" s="3">
        <v>1</v>
      </c>
      <c r="CJ34" s="3">
        <v>1</v>
      </c>
      <c r="CK34" s="3">
        <v>32</v>
      </c>
      <c r="CL34" s="3" t="s">
        <v>88</v>
      </c>
    </row>
    <row r="35" spans="1:90" x14ac:dyDescent="0.2">
      <c r="A35" s="3" t="s">
        <v>72</v>
      </c>
      <c r="B35" s="3" t="s">
        <v>73</v>
      </c>
      <c r="C35" s="3" t="s">
        <v>74</v>
      </c>
      <c r="E35" s="3" t="str">
        <f>"009941640806"</f>
        <v>009941640806</v>
      </c>
      <c r="F35" s="4">
        <v>44574</v>
      </c>
      <c r="G35" s="3">
        <v>202207</v>
      </c>
      <c r="H35" s="3" t="s">
        <v>75</v>
      </c>
      <c r="I35" s="3" t="s">
        <v>76</v>
      </c>
      <c r="J35" s="3" t="s">
        <v>77</v>
      </c>
      <c r="K35" s="3" t="s">
        <v>78</v>
      </c>
      <c r="L35" s="3" t="s">
        <v>213</v>
      </c>
      <c r="M35" s="3" t="s">
        <v>214</v>
      </c>
      <c r="N35" s="3" t="s">
        <v>91</v>
      </c>
      <c r="O35" s="3" t="s">
        <v>82</v>
      </c>
      <c r="P35" s="3" t="str">
        <f>"..                            "</f>
        <v xml:space="preserve">..                           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12.08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1</v>
      </c>
      <c r="BI35" s="3">
        <v>1</v>
      </c>
      <c r="BJ35" s="3">
        <v>0.2</v>
      </c>
      <c r="BK35" s="3">
        <v>1</v>
      </c>
      <c r="BL35" s="3">
        <v>46.1</v>
      </c>
      <c r="BM35" s="3">
        <v>6.92</v>
      </c>
      <c r="BN35" s="3">
        <v>53.02</v>
      </c>
      <c r="BO35" s="3">
        <v>53.02</v>
      </c>
      <c r="BQ35" s="3" t="s">
        <v>215</v>
      </c>
      <c r="BR35" s="3" t="s">
        <v>84</v>
      </c>
      <c r="BS35" s="4">
        <v>44575</v>
      </c>
      <c r="BT35" s="5">
        <v>0.45277777777777778</v>
      </c>
      <c r="BU35" s="3" t="s">
        <v>216</v>
      </c>
      <c r="BV35" s="3" t="s">
        <v>94</v>
      </c>
      <c r="BY35" s="3">
        <v>1200</v>
      </c>
      <c r="BZ35" s="3" t="s">
        <v>86</v>
      </c>
      <c r="CA35" s="3" t="s">
        <v>217</v>
      </c>
      <c r="CC35" s="3" t="s">
        <v>214</v>
      </c>
      <c r="CD35" s="3">
        <v>1616</v>
      </c>
      <c r="CE35" s="3" t="s">
        <v>87</v>
      </c>
      <c r="CF35" s="4">
        <v>44578</v>
      </c>
      <c r="CI35" s="3">
        <v>1</v>
      </c>
      <c r="CJ35" s="3">
        <v>1</v>
      </c>
      <c r="CK35" s="3">
        <v>32</v>
      </c>
      <c r="CL35" s="3" t="s">
        <v>88</v>
      </c>
    </row>
    <row r="36" spans="1:90" x14ac:dyDescent="0.2">
      <c r="A36" s="3" t="s">
        <v>72</v>
      </c>
      <c r="B36" s="3" t="s">
        <v>73</v>
      </c>
      <c r="C36" s="3" t="s">
        <v>74</v>
      </c>
      <c r="E36" s="3" t="str">
        <f>"009941640803"</f>
        <v>009941640803</v>
      </c>
      <c r="F36" s="4">
        <v>44574</v>
      </c>
      <c r="G36" s="3">
        <v>202207</v>
      </c>
      <c r="H36" s="3" t="s">
        <v>75</v>
      </c>
      <c r="I36" s="3" t="s">
        <v>76</v>
      </c>
      <c r="J36" s="3" t="s">
        <v>77</v>
      </c>
      <c r="K36" s="3" t="s">
        <v>78</v>
      </c>
      <c r="L36" s="3" t="s">
        <v>116</v>
      </c>
      <c r="M36" s="3" t="s">
        <v>117</v>
      </c>
      <c r="N36" s="3" t="s">
        <v>91</v>
      </c>
      <c r="O36" s="3" t="s">
        <v>82</v>
      </c>
      <c r="P36" s="3" t="str">
        <f>"..                            "</f>
        <v xml:space="preserve">..               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28.98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1</v>
      </c>
      <c r="BI36" s="3">
        <v>0.5</v>
      </c>
      <c r="BJ36" s="3">
        <v>2.5</v>
      </c>
      <c r="BK36" s="3">
        <v>3</v>
      </c>
      <c r="BL36" s="3">
        <v>110.62</v>
      </c>
      <c r="BM36" s="3">
        <v>16.59</v>
      </c>
      <c r="BN36" s="3">
        <v>127.21</v>
      </c>
      <c r="BO36" s="3">
        <v>127.21</v>
      </c>
      <c r="BQ36" s="3" t="s">
        <v>98</v>
      </c>
      <c r="BR36" s="3" t="s">
        <v>84</v>
      </c>
      <c r="BS36" s="4">
        <v>44579</v>
      </c>
      <c r="BT36" s="5">
        <v>0.33402777777777781</v>
      </c>
      <c r="BU36" s="3" t="s">
        <v>218</v>
      </c>
      <c r="BV36" s="3" t="s">
        <v>88</v>
      </c>
      <c r="BW36" s="3" t="s">
        <v>165</v>
      </c>
      <c r="BX36" s="3" t="s">
        <v>166</v>
      </c>
      <c r="BY36" s="3">
        <v>12446.63</v>
      </c>
      <c r="BZ36" s="3" t="s">
        <v>86</v>
      </c>
      <c r="CA36" s="3" t="s">
        <v>219</v>
      </c>
      <c r="CC36" s="3" t="s">
        <v>117</v>
      </c>
      <c r="CD36" s="3">
        <v>4000</v>
      </c>
      <c r="CE36" s="3" t="s">
        <v>87</v>
      </c>
      <c r="CF36" s="4">
        <v>44580</v>
      </c>
      <c r="CI36" s="3">
        <v>1</v>
      </c>
      <c r="CJ36" s="3">
        <v>3</v>
      </c>
      <c r="CK36" s="3">
        <v>31</v>
      </c>
      <c r="CL36" s="3" t="s">
        <v>88</v>
      </c>
    </row>
    <row r="37" spans="1:90" x14ac:dyDescent="0.2">
      <c r="A37" s="3" t="s">
        <v>72</v>
      </c>
      <c r="B37" s="3" t="s">
        <v>73</v>
      </c>
      <c r="C37" s="3" t="s">
        <v>74</v>
      </c>
      <c r="E37" s="3" t="str">
        <f>"009941640804"</f>
        <v>009941640804</v>
      </c>
      <c r="F37" s="4">
        <v>44574</v>
      </c>
      <c r="G37" s="3">
        <v>202207</v>
      </c>
      <c r="H37" s="3" t="s">
        <v>75</v>
      </c>
      <c r="I37" s="3" t="s">
        <v>76</v>
      </c>
      <c r="J37" s="3" t="s">
        <v>77</v>
      </c>
      <c r="K37" s="3" t="s">
        <v>78</v>
      </c>
      <c r="L37" s="3" t="s">
        <v>75</v>
      </c>
      <c r="M37" s="3" t="s">
        <v>76</v>
      </c>
      <c r="N37" s="3" t="s">
        <v>220</v>
      </c>
      <c r="O37" s="3" t="s">
        <v>82</v>
      </c>
      <c r="P37" s="3" t="str">
        <f>"..                            "</f>
        <v xml:space="preserve">..               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17.5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1</v>
      </c>
      <c r="BI37" s="3">
        <v>1.1000000000000001</v>
      </c>
      <c r="BJ37" s="3">
        <v>11.1</v>
      </c>
      <c r="BK37" s="3">
        <v>12</v>
      </c>
      <c r="BL37" s="3">
        <v>66.8</v>
      </c>
      <c r="BM37" s="3">
        <v>10.02</v>
      </c>
      <c r="BN37" s="3">
        <v>76.819999999999993</v>
      </c>
      <c r="BO37" s="3">
        <v>76.819999999999993</v>
      </c>
      <c r="BQ37" s="3" t="s">
        <v>221</v>
      </c>
      <c r="BR37" s="3" t="s">
        <v>84</v>
      </c>
      <c r="BS37" s="4">
        <v>44575</v>
      </c>
      <c r="BT37" s="5">
        <v>0.3527777777777778</v>
      </c>
      <c r="BU37" s="3" t="s">
        <v>222</v>
      </c>
      <c r="BV37" s="3" t="s">
        <v>94</v>
      </c>
      <c r="BY37" s="3">
        <v>55296.65</v>
      </c>
      <c r="BZ37" s="3" t="s">
        <v>86</v>
      </c>
      <c r="CA37" s="3" t="s">
        <v>223</v>
      </c>
      <c r="CC37" s="3" t="s">
        <v>76</v>
      </c>
      <c r="CD37" s="3">
        <v>2192</v>
      </c>
      <c r="CE37" s="3" t="s">
        <v>87</v>
      </c>
      <c r="CF37" s="4">
        <v>44575</v>
      </c>
      <c r="CI37" s="3">
        <v>1</v>
      </c>
      <c r="CJ37" s="3">
        <v>1</v>
      </c>
      <c r="CK37" s="3">
        <v>32</v>
      </c>
      <c r="CL37" s="3" t="s">
        <v>88</v>
      </c>
    </row>
    <row r="38" spans="1:90" x14ac:dyDescent="0.2">
      <c r="A38" s="3" t="s">
        <v>72</v>
      </c>
      <c r="B38" s="3" t="s">
        <v>73</v>
      </c>
      <c r="C38" s="3" t="s">
        <v>74</v>
      </c>
      <c r="E38" s="3" t="str">
        <f>"009941300004"</f>
        <v>009941300004</v>
      </c>
      <c r="F38" s="4">
        <v>44573</v>
      </c>
      <c r="G38" s="3">
        <v>202207</v>
      </c>
      <c r="H38" s="3" t="s">
        <v>224</v>
      </c>
      <c r="I38" s="3" t="s">
        <v>225</v>
      </c>
      <c r="J38" s="3" t="s">
        <v>226</v>
      </c>
      <c r="K38" s="3" t="s">
        <v>78</v>
      </c>
      <c r="L38" s="3" t="s">
        <v>75</v>
      </c>
      <c r="M38" s="3" t="s">
        <v>76</v>
      </c>
      <c r="N38" s="3" t="s">
        <v>109</v>
      </c>
      <c r="O38" s="3" t="s">
        <v>130</v>
      </c>
      <c r="P38" s="3" t="str">
        <f>"..                            "</f>
        <v xml:space="preserve">..                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23.06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1</v>
      </c>
      <c r="BI38" s="3">
        <v>1</v>
      </c>
      <c r="BJ38" s="3">
        <v>0.2</v>
      </c>
      <c r="BK38" s="3">
        <v>1</v>
      </c>
      <c r="BL38" s="3">
        <v>93.28</v>
      </c>
      <c r="BM38" s="3">
        <v>13.99</v>
      </c>
      <c r="BN38" s="3">
        <v>107.27</v>
      </c>
      <c r="BO38" s="3">
        <v>107.27</v>
      </c>
      <c r="BQ38" s="3" t="s">
        <v>98</v>
      </c>
      <c r="BR38" s="3" t="s">
        <v>98</v>
      </c>
      <c r="BS38" s="4">
        <v>44574</v>
      </c>
      <c r="BT38" s="5">
        <v>0.3215277777777778</v>
      </c>
      <c r="BU38" s="3" t="s">
        <v>113</v>
      </c>
      <c r="BV38" s="3" t="s">
        <v>94</v>
      </c>
      <c r="BY38" s="3">
        <v>1200</v>
      </c>
      <c r="BZ38" s="3" t="s">
        <v>86</v>
      </c>
      <c r="CA38" s="3" t="s">
        <v>115</v>
      </c>
      <c r="CC38" s="3" t="s">
        <v>76</v>
      </c>
      <c r="CD38" s="3">
        <v>2013</v>
      </c>
      <c r="CE38" s="3" t="s">
        <v>87</v>
      </c>
      <c r="CF38" s="4">
        <v>44575</v>
      </c>
      <c r="CI38" s="3">
        <v>1</v>
      </c>
      <c r="CJ38" s="3">
        <v>1</v>
      </c>
      <c r="CK38" s="3">
        <v>42</v>
      </c>
      <c r="CL38" s="3" t="s">
        <v>88</v>
      </c>
    </row>
    <row r="39" spans="1:90" x14ac:dyDescent="0.2">
      <c r="A39" s="3" t="s">
        <v>72</v>
      </c>
      <c r="B39" s="3" t="s">
        <v>73</v>
      </c>
      <c r="C39" s="3" t="s">
        <v>74</v>
      </c>
      <c r="E39" s="3" t="str">
        <f>"009941301835"</f>
        <v>009941301835</v>
      </c>
      <c r="F39" s="4">
        <v>44573</v>
      </c>
      <c r="G39" s="3">
        <v>202207</v>
      </c>
      <c r="H39" s="3" t="s">
        <v>227</v>
      </c>
      <c r="I39" s="3" t="s">
        <v>228</v>
      </c>
      <c r="J39" s="3" t="s">
        <v>229</v>
      </c>
      <c r="K39" s="3" t="s">
        <v>78</v>
      </c>
      <c r="L39" s="3" t="s">
        <v>75</v>
      </c>
      <c r="M39" s="3" t="s">
        <v>76</v>
      </c>
      <c r="N39" s="3" t="s">
        <v>109</v>
      </c>
      <c r="O39" s="3" t="s">
        <v>130</v>
      </c>
      <c r="P39" s="3" t="str">
        <f>"NA                            "</f>
        <v xml:space="preserve">NA                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33.01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1</v>
      </c>
      <c r="BI39" s="3">
        <v>1</v>
      </c>
      <c r="BJ39" s="3">
        <v>0.2</v>
      </c>
      <c r="BK39" s="3">
        <v>1</v>
      </c>
      <c r="BL39" s="3">
        <v>131.25</v>
      </c>
      <c r="BM39" s="3">
        <v>19.690000000000001</v>
      </c>
      <c r="BN39" s="3">
        <v>150.94</v>
      </c>
      <c r="BO39" s="3">
        <v>150.94</v>
      </c>
      <c r="BQ39" s="3" t="s">
        <v>230</v>
      </c>
      <c r="BR39" s="3" t="s">
        <v>98</v>
      </c>
      <c r="BS39" s="4">
        <v>44574</v>
      </c>
      <c r="BT39" s="5">
        <v>0.32013888888888892</v>
      </c>
      <c r="BU39" s="3" t="s">
        <v>113</v>
      </c>
      <c r="BV39" s="3" t="s">
        <v>94</v>
      </c>
      <c r="BY39" s="3">
        <v>1200</v>
      </c>
      <c r="BZ39" s="3" t="s">
        <v>86</v>
      </c>
      <c r="CA39" s="3" t="s">
        <v>115</v>
      </c>
      <c r="CC39" s="3" t="s">
        <v>76</v>
      </c>
      <c r="CD39" s="3">
        <v>2013</v>
      </c>
      <c r="CE39" s="3" t="s">
        <v>87</v>
      </c>
      <c r="CF39" s="4">
        <v>44575</v>
      </c>
      <c r="CI39" s="3">
        <v>1</v>
      </c>
      <c r="CJ39" s="3">
        <v>1</v>
      </c>
      <c r="CK39" s="3">
        <v>44</v>
      </c>
      <c r="CL39" s="3" t="s">
        <v>88</v>
      </c>
    </row>
    <row r="40" spans="1:90" x14ac:dyDescent="0.2">
      <c r="A40" s="3" t="s">
        <v>72</v>
      </c>
      <c r="B40" s="3" t="s">
        <v>73</v>
      </c>
      <c r="C40" s="3" t="s">
        <v>74</v>
      </c>
      <c r="E40" s="3" t="str">
        <f>"080010364148"</f>
        <v>080010364148</v>
      </c>
      <c r="F40" s="4">
        <v>44573</v>
      </c>
      <c r="G40" s="3">
        <v>202207</v>
      </c>
      <c r="H40" s="3" t="s">
        <v>213</v>
      </c>
      <c r="I40" s="3" t="s">
        <v>214</v>
      </c>
      <c r="J40" s="3" t="s">
        <v>231</v>
      </c>
      <c r="K40" s="3" t="s">
        <v>78</v>
      </c>
      <c r="L40" s="3" t="s">
        <v>75</v>
      </c>
      <c r="M40" s="3" t="s">
        <v>76</v>
      </c>
      <c r="N40" s="3" t="s">
        <v>232</v>
      </c>
      <c r="O40" s="3" t="s">
        <v>130</v>
      </c>
      <c r="P40" s="3" t="str">
        <f>"-                             "</f>
        <v xml:space="preserve">-                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24.41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5.3</v>
      </c>
      <c r="BJ40" s="3">
        <v>16.3</v>
      </c>
      <c r="BK40" s="3">
        <v>17</v>
      </c>
      <c r="BL40" s="3">
        <v>98.43</v>
      </c>
      <c r="BM40" s="3">
        <v>14.76</v>
      </c>
      <c r="BN40" s="3">
        <v>113.19</v>
      </c>
      <c r="BO40" s="3">
        <v>113.19</v>
      </c>
      <c r="BP40" s="3" t="s">
        <v>85</v>
      </c>
      <c r="BQ40" s="3" t="s">
        <v>137</v>
      </c>
      <c r="BR40" s="3" t="s">
        <v>233</v>
      </c>
      <c r="BS40" s="4">
        <v>44574</v>
      </c>
      <c r="BT40" s="5">
        <v>0.42569444444444443</v>
      </c>
      <c r="BU40" s="3" t="s">
        <v>234</v>
      </c>
      <c r="BV40" s="3" t="s">
        <v>94</v>
      </c>
      <c r="BY40" s="3">
        <v>81383.929999999993</v>
      </c>
      <c r="BZ40" s="3" t="s">
        <v>86</v>
      </c>
      <c r="CA40" s="3" t="s">
        <v>235</v>
      </c>
      <c r="CC40" s="3" t="s">
        <v>76</v>
      </c>
      <c r="CD40" s="3">
        <v>2021</v>
      </c>
      <c r="CE40" s="3" t="s">
        <v>236</v>
      </c>
      <c r="CF40" s="4">
        <v>44574</v>
      </c>
      <c r="CI40" s="3">
        <v>1</v>
      </c>
      <c r="CJ40" s="3">
        <v>1</v>
      </c>
      <c r="CK40" s="3">
        <v>42</v>
      </c>
      <c r="CL40" s="3" t="s">
        <v>88</v>
      </c>
    </row>
    <row r="41" spans="1:90" x14ac:dyDescent="0.2">
      <c r="A41" s="3" t="s">
        <v>72</v>
      </c>
      <c r="B41" s="3" t="s">
        <v>73</v>
      </c>
      <c r="C41" s="3" t="s">
        <v>74</v>
      </c>
      <c r="E41" s="3" t="str">
        <f>"009941351882"</f>
        <v>009941351882</v>
      </c>
      <c r="F41" s="4">
        <v>44573</v>
      </c>
      <c r="G41" s="3">
        <v>202207</v>
      </c>
      <c r="H41" s="3" t="s">
        <v>116</v>
      </c>
      <c r="I41" s="3" t="s">
        <v>117</v>
      </c>
      <c r="J41" s="3" t="s">
        <v>109</v>
      </c>
      <c r="K41" s="3" t="s">
        <v>78</v>
      </c>
      <c r="L41" s="3" t="s">
        <v>75</v>
      </c>
      <c r="M41" s="3" t="s">
        <v>76</v>
      </c>
      <c r="N41" s="3" t="s">
        <v>118</v>
      </c>
      <c r="O41" s="3" t="s">
        <v>110</v>
      </c>
      <c r="P41" s="3" t="str">
        <f>"                              "</f>
        <v xml:space="preserve">                              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15.46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1</v>
      </c>
      <c r="BI41" s="3">
        <v>0.5</v>
      </c>
      <c r="BJ41" s="3">
        <v>1</v>
      </c>
      <c r="BK41" s="3">
        <v>1</v>
      </c>
      <c r="BL41" s="3">
        <v>59</v>
      </c>
      <c r="BM41" s="3">
        <v>8.85</v>
      </c>
      <c r="BN41" s="3">
        <v>67.849999999999994</v>
      </c>
      <c r="BO41" s="3">
        <v>67.849999999999994</v>
      </c>
      <c r="BQ41" s="3" t="s">
        <v>237</v>
      </c>
      <c r="BR41" s="3" t="s">
        <v>238</v>
      </c>
      <c r="BS41" s="4">
        <v>44574</v>
      </c>
      <c r="BT41" s="5">
        <v>0.32291666666666669</v>
      </c>
      <c r="BU41" s="3" t="s">
        <v>113</v>
      </c>
      <c r="BV41" s="3" t="s">
        <v>94</v>
      </c>
      <c r="BY41" s="3">
        <v>4800</v>
      </c>
      <c r="BZ41" s="3" t="s">
        <v>114</v>
      </c>
      <c r="CA41" s="3" t="s">
        <v>115</v>
      </c>
      <c r="CC41" s="3" t="s">
        <v>76</v>
      </c>
      <c r="CD41" s="3">
        <v>2013</v>
      </c>
      <c r="CE41" s="3" t="s">
        <v>87</v>
      </c>
      <c r="CF41" s="4">
        <v>44575</v>
      </c>
      <c r="CI41" s="3">
        <v>1</v>
      </c>
      <c r="CJ41" s="3">
        <v>1</v>
      </c>
      <c r="CK41" s="3">
        <v>21</v>
      </c>
      <c r="CL41" s="3" t="s">
        <v>88</v>
      </c>
    </row>
    <row r="42" spans="1:90" x14ac:dyDescent="0.2">
      <c r="A42" s="3" t="s">
        <v>72</v>
      </c>
      <c r="B42" s="3" t="s">
        <v>73</v>
      </c>
      <c r="C42" s="3" t="s">
        <v>74</v>
      </c>
      <c r="E42" s="3" t="str">
        <f>"080010364086"</f>
        <v>080010364086</v>
      </c>
      <c r="F42" s="4">
        <v>44573</v>
      </c>
      <c r="G42" s="3">
        <v>202207</v>
      </c>
      <c r="H42" s="3" t="s">
        <v>213</v>
      </c>
      <c r="I42" s="3" t="s">
        <v>214</v>
      </c>
      <c r="J42" s="3" t="s">
        <v>231</v>
      </c>
      <c r="K42" s="3" t="s">
        <v>78</v>
      </c>
      <c r="L42" s="3" t="s">
        <v>75</v>
      </c>
      <c r="M42" s="3" t="s">
        <v>76</v>
      </c>
      <c r="N42" s="3" t="s">
        <v>239</v>
      </c>
      <c r="O42" s="3" t="s">
        <v>130</v>
      </c>
      <c r="P42" s="3" t="str">
        <f>"-                             "</f>
        <v xml:space="preserve">-                             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24.41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1</v>
      </c>
      <c r="BI42" s="3">
        <v>4.2</v>
      </c>
      <c r="BJ42" s="3">
        <v>17</v>
      </c>
      <c r="BK42" s="3">
        <v>17</v>
      </c>
      <c r="BL42" s="3">
        <v>98.43</v>
      </c>
      <c r="BM42" s="3">
        <v>14.76</v>
      </c>
      <c r="BN42" s="3">
        <v>113.19</v>
      </c>
      <c r="BO42" s="3">
        <v>113.19</v>
      </c>
      <c r="BP42" s="3" t="s">
        <v>85</v>
      </c>
      <c r="BQ42" s="3" t="s">
        <v>137</v>
      </c>
      <c r="BR42" s="3" t="s">
        <v>233</v>
      </c>
      <c r="BS42" s="4">
        <v>44574</v>
      </c>
      <c r="BT42" s="5">
        <v>0.3743055555555555</v>
      </c>
      <c r="BU42" s="3" t="s">
        <v>240</v>
      </c>
      <c r="BV42" s="3" t="s">
        <v>94</v>
      </c>
      <c r="BY42" s="3">
        <v>85231.87</v>
      </c>
      <c r="BZ42" s="3" t="s">
        <v>86</v>
      </c>
      <c r="CA42" s="3" t="s">
        <v>196</v>
      </c>
      <c r="CC42" s="3" t="s">
        <v>76</v>
      </c>
      <c r="CD42" s="3">
        <v>2007</v>
      </c>
      <c r="CE42" s="3" t="s">
        <v>236</v>
      </c>
      <c r="CF42" s="4">
        <v>44575</v>
      </c>
      <c r="CI42" s="3">
        <v>1</v>
      </c>
      <c r="CJ42" s="3">
        <v>1</v>
      </c>
      <c r="CK42" s="3">
        <v>42</v>
      </c>
      <c r="CL42" s="3" t="s">
        <v>88</v>
      </c>
    </row>
    <row r="43" spans="1:90" x14ac:dyDescent="0.2">
      <c r="A43" s="3" t="s">
        <v>72</v>
      </c>
      <c r="B43" s="3" t="s">
        <v>73</v>
      </c>
      <c r="C43" s="3" t="s">
        <v>74</v>
      </c>
      <c r="E43" s="3" t="str">
        <f>"009941300070"</f>
        <v>009941300070</v>
      </c>
      <c r="F43" s="4">
        <v>44573</v>
      </c>
      <c r="G43" s="3">
        <v>202207</v>
      </c>
      <c r="H43" s="3" t="s">
        <v>241</v>
      </c>
      <c r="I43" s="3" t="s">
        <v>242</v>
      </c>
      <c r="J43" s="3" t="s">
        <v>243</v>
      </c>
      <c r="K43" s="3" t="s">
        <v>78</v>
      </c>
      <c r="L43" s="3" t="s">
        <v>75</v>
      </c>
      <c r="M43" s="3" t="s">
        <v>76</v>
      </c>
      <c r="N43" s="3" t="s">
        <v>109</v>
      </c>
      <c r="O43" s="3" t="s">
        <v>130</v>
      </c>
      <c r="P43" s="3" t="str">
        <f>"                              "</f>
        <v xml:space="preserve">                              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23.06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1</v>
      </c>
      <c r="BI43" s="3">
        <v>1</v>
      </c>
      <c r="BJ43" s="3">
        <v>0.2</v>
      </c>
      <c r="BK43" s="3">
        <v>1</v>
      </c>
      <c r="BL43" s="3">
        <v>93.28</v>
      </c>
      <c r="BM43" s="3">
        <v>13.99</v>
      </c>
      <c r="BN43" s="3">
        <v>107.27</v>
      </c>
      <c r="BO43" s="3">
        <v>107.27</v>
      </c>
      <c r="BQ43" s="3" t="s">
        <v>162</v>
      </c>
      <c r="BS43" s="4">
        <v>44574</v>
      </c>
      <c r="BT43" s="5">
        <v>0.32083333333333336</v>
      </c>
      <c r="BU43" s="3" t="s">
        <v>113</v>
      </c>
      <c r="BV43" s="3" t="s">
        <v>94</v>
      </c>
      <c r="BY43" s="3">
        <v>1200</v>
      </c>
      <c r="BZ43" s="3" t="s">
        <v>86</v>
      </c>
      <c r="CA43" s="3" t="s">
        <v>115</v>
      </c>
      <c r="CC43" s="3" t="s">
        <v>76</v>
      </c>
      <c r="CD43" s="3">
        <v>2013</v>
      </c>
      <c r="CE43" s="3" t="s">
        <v>87</v>
      </c>
      <c r="CF43" s="4">
        <v>44575</v>
      </c>
      <c r="CI43" s="3">
        <v>1</v>
      </c>
      <c r="CJ43" s="3">
        <v>1</v>
      </c>
      <c r="CK43" s="3">
        <v>42</v>
      </c>
      <c r="CL43" s="3" t="s">
        <v>88</v>
      </c>
    </row>
    <row r="44" spans="1:90" x14ac:dyDescent="0.2">
      <c r="A44" s="3" t="s">
        <v>72</v>
      </c>
      <c r="B44" s="3" t="s">
        <v>73</v>
      </c>
      <c r="C44" s="3" t="s">
        <v>74</v>
      </c>
      <c r="E44" s="3" t="str">
        <f>"080010364167"</f>
        <v>080010364167</v>
      </c>
      <c r="F44" s="4">
        <v>44573</v>
      </c>
      <c r="G44" s="3">
        <v>202207</v>
      </c>
      <c r="H44" s="3" t="s">
        <v>213</v>
      </c>
      <c r="I44" s="3" t="s">
        <v>214</v>
      </c>
      <c r="J44" s="3" t="s">
        <v>231</v>
      </c>
      <c r="K44" s="3" t="s">
        <v>78</v>
      </c>
      <c r="L44" s="3" t="s">
        <v>75</v>
      </c>
      <c r="M44" s="3" t="s">
        <v>76</v>
      </c>
      <c r="N44" s="3" t="s">
        <v>244</v>
      </c>
      <c r="O44" s="3" t="s">
        <v>130</v>
      </c>
      <c r="P44" s="3" t="str">
        <f>"-                             "</f>
        <v xml:space="preserve">-                             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25.09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1</v>
      </c>
      <c r="BI44" s="3">
        <v>5.3</v>
      </c>
      <c r="BJ44" s="3">
        <v>17.899999999999999</v>
      </c>
      <c r="BK44" s="3">
        <v>18</v>
      </c>
      <c r="BL44" s="3">
        <v>101.01</v>
      </c>
      <c r="BM44" s="3">
        <v>15.15</v>
      </c>
      <c r="BN44" s="3">
        <v>116.16</v>
      </c>
      <c r="BO44" s="3">
        <v>116.16</v>
      </c>
      <c r="BP44" s="3" t="s">
        <v>85</v>
      </c>
      <c r="BQ44" s="3" t="s">
        <v>137</v>
      </c>
      <c r="BR44" s="3" t="s">
        <v>233</v>
      </c>
      <c r="BS44" s="4">
        <v>44574</v>
      </c>
      <c r="BT44" s="5">
        <v>0.44027777777777777</v>
      </c>
      <c r="BU44" s="3" t="s">
        <v>245</v>
      </c>
      <c r="BV44" s="3" t="s">
        <v>94</v>
      </c>
      <c r="BY44" s="3">
        <v>89470.92</v>
      </c>
      <c r="BZ44" s="3" t="s">
        <v>86</v>
      </c>
      <c r="CA44" s="3" t="s">
        <v>246</v>
      </c>
      <c r="CC44" s="3" t="s">
        <v>76</v>
      </c>
      <c r="CD44" s="3">
        <v>2196</v>
      </c>
      <c r="CE44" s="3" t="s">
        <v>236</v>
      </c>
      <c r="CF44" s="4">
        <v>44574</v>
      </c>
      <c r="CI44" s="3">
        <v>1</v>
      </c>
      <c r="CJ44" s="3">
        <v>1</v>
      </c>
      <c r="CK44" s="3">
        <v>42</v>
      </c>
      <c r="CL44" s="3" t="s">
        <v>88</v>
      </c>
    </row>
    <row r="45" spans="1:90" x14ac:dyDescent="0.2">
      <c r="A45" s="3" t="s">
        <v>72</v>
      </c>
      <c r="B45" s="3" t="s">
        <v>73</v>
      </c>
      <c r="C45" s="3" t="s">
        <v>74</v>
      </c>
      <c r="E45" s="3" t="str">
        <f>"080010364139"</f>
        <v>080010364139</v>
      </c>
      <c r="F45" s="4">
        <v>44573</v>
      </c>
      <c r="G45" s="3">
        <v>202207</v>
      </c>
      <c r="H45" s="3" t="s">
        <v>213</v>
      </c>
      <c r="I45" s="3" t="s">
        <v>214</v>
      </c>
      <c r="J45" s="3" t="s">
        <v>231</v>
      </c>
      <c r="K45" s="3" t="s">
        <v>78</v>
      </c>
      <c r="L45" s="3" t="s">
        <v>104</v>
      </c>
      <c r="M45" s="3" t="s">
        <v>105</v>
      </c>
      <c r="N45" s="3" t="s">
        <v>208</v>
      </c>
      <c r="O45" s="3" t="s">
        <v>130</v>
      </c>
      <c r="P45" s="3" t="str">
        <f>"-                             "</f>
        <v xml:space="preserve">-                             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32.35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1</v>
      </c>
      <c r="BI45" s="3">
        <v>4.2</v>
      </c>
      <c r="BJ45" s="3">
        <v>16.5</v>
      </c>
      <c r="BK45" s="3">
        <v>17</v>
      </c>
      <c r="BL45" s="3">
        <v>128.74</v>
      </c>
      <c r="BM45" s="3">
        <v>19.309999999999999</v>
      </c>
      <c r="BN45" s="3">
        <v>148.05000000000001</v>
      </c>
      <c r="BO45" s="3">
        <v>148.05000000000001</v>
      </c>
      <c r="BP45" s="3" t="s">
        <v>85</v>
      </c>
      <c r="BQ45" s="3" t="s">
        <v>137</v>
      </c>
      <c r="BR45" s="3" t="s">
        <v>233</v>
      </c>
      <c r="BS45" s="4">
        <v>44574</v>
      </c>
      <c r="BT45" s="5">
        <v>0.58680555555555558</v>
      </c>
      <c r="BU45" s="3" t="s">
        <v>247</v>
      </c>
      <c r="BV45" s="3" t="s">
        <v>94</v>
      </c>
      <c r="BY45" s="3">
        <v>82274.81</v>
      </c>
      <c r="BZ45" s="3" t="s">
        <v>86</v>
      </c>
      <c r="CA45" s="3" t="s">
        <v>248</v>
      </c>
      <c r="CC45" s="3" t="s">
        <v>105</v>
      </c>
      <c r="CD45" s="3">
        <v>81</v>
      </c>
      <c r="CE45" s="3" t="s">
        <v>236</v>
      </c>
      <c r="CF45" s="4">
        <v>44574</v>
      </c>
      <c r="CI45" s="3">
        <v>1</v>
      </c>
      <c r="CJ45" s="3">
        <v>1</v>
      </c>
      <c r="CK45" s="3">
        <v>41</v>
      </c>
      <c r="CL45" s="3" t="s">
        <v>88</v>
      </c>
    </row>
    <row r="46" spans="1:90" x14ac:dyDescent="0.2">
      <c r="A46" s="3" t="s">
        <v>72</v>
      </c>
      <c r="B46" s="3" t="s">
        <v>73</v>
      </c>
      <c r="C46" s="3" t="s">
        <v>74</v>
      </c>
      <c r="E46" s="3" t="str">
        <f>"080010364181"</f>
        <v>080010364181</v>
      </c>
      <c r="F46" s="4">
        <v>44573</v>
      </c>
      <c r="G46" s="3">
        <v>202207</v>
      </c>
      <c r="H46" s="3" t="s">
        <v>213</v>
      </c>
      <c r="I46" s="3" t="s">
        <v>214</v>
      </c>
      <c r="J46" s="3" t="s">
        <v>231</v>
      </c>
      <c r="K46" s="3" t="s">
        <v>78</v>
      </c>
      <c r="L46" s="3" t="s">
        <v>227</v>
      </c>
      <c r="M46" s="3" t="s">
        <v>228</v>
      </c>
      <c r="N46" s="3" t="s">
        <v>249</v>
      </c>
      <c r="O46" s="3" t="s">
        <v>130</v>
      </c>
      <c r="P46" s="3" t="str">
        <f>"-                             "</f>
        <v xml:space="preserve">-                             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34.729999999999997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1</v>
      </c>
      <c r="BI46" s="3">
        <v>4.2</v>
      </c>
      <c r="BJ46" s="3">
        <v>16.600000000000001</v>
      </c>
      <c r="BK46" s="3">
        <v>17</v>
      </c>
      <c r="BL46" s="3">
        <v>137.81</v>
      </c>
      <c r="BM46" s="3">
        <v>20.67</v>
      </c>
      <c r="BN46" s="3">
        <v>158.47999999999999</v>
      </c>
      <c r="BO46" s="3">
        <v>158.47999999999999</v>
      </c>
      <c r="BP46" s="3" t="s">
        <v>85</v>
      </c>
      <c r="BQ46" s="3" t="s">
        <v>137</v>
      </c>
      <c r="BR46" s="3" t="s">
        <v>233</v>
      </c>
      <c r="BS46" s="4">
        <v>44574</v>
      </c>
      <c r="BT46" s="5">
        <v>0.48958333333333331</v>
      </c>
      <c r="BU46" s="3" t="s">
        <v>250</v>
      </c>
      <c r="BV46" s="3" t="s">
        <v>94</v>
      </c>
      <c r="BY46" s="3">
        <v>83019.09</v>
      </c>
      <c r="BZ46" s="3" t="s">
        <v>86</v>
      </c>
      <c r="CA46" s="3" t="s">
        <v>251</v>
      </c>
      <c r="CC46" s="3" t="s">
        <v>228</v>
      </c>
      <c r="CD46" s="3">
        <v>1900</v>
      </c>
      <c r="CE46" s="3" t="s">
        <v>236</v>
      </c>
      <c r="CF46" s="4">
        <v>44575</v>
      </c>
      <c r="CI46" s="3">
        <v>1</v>
      </c>
      <c r="CJ46" s="3">
        <v>1</v>
      </c>
      <c r="CK46" s="3">
        <v>44</v>
      </c>
      <c r="CL46" s="3" t="s">
        <v>88</v>
      </c>
    </row>
    <row r="47" spans="1:90" x14ac:dyDescent="0.2">
      <c r="A47" s="3" t="s">
        <v>72</v>
      </c>
      <c r="B47" s="3" t="s">
        <v>73</v>
      </c>
      <c r="C47" s="3" t="s">
        <v>74</v>
      </c>
      <c r="E47" s="3" t="str">
        <f>"080010364162"</f>
        <v>080010364162</v>
      </c>
      <c r="F47" s="4">
        <v>44573</v>
      </c>
      <c r="G47" s="3">
        <v>202207</v>
      </c>
      <c r="H47" s="3" t="s">
        <v>213</v>
      </c>
      <c r="I47" s="3" t="s">
        <v>214</v>
      </c>
      <c r="J47" s="3" t="s">
        <v>231</v>
      </c>
      <c r="K47" s="3" t="s">
        <v>78</v>
      </c>
      <c r="L47" s="3" t="s">
        <v>75</v>
      </c>
      <c r="M47" s="3" t="s">
        <v>76</v>
      </c>
      <c r="N47" s="3" t="s">
        <v>252</v>
      </c>
      <c r="O47" s="3" t="s">
        <v>130</v>
      </c>
      <c r="P47" s="3" t="str">
        <f>"-                             "</f>
        <v xml:space="preserve">-                             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15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24.41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1</v>
      </c>
      <c r="BI47" s="3">
        <v>4.2</v>
      </c>
      <c r="BJ47" s="3">
        <v>16.399999999999999</v>
      </c>
      <c r="BK47" s="3">
        <v>17</v>
      </c>
      <c r="BL47" s="3">
        <v>113.43</v>
      </c>
      <c r="BM47" s="3">
        <v>17.010000000000002</v>
      </c>
      <c r="BN47" s="3">
        <v>130.44</v>
      </c>
      <c r="BO47" s="3">
        <v>130.44</v>
      </c>
      <c r="BP47" s="3" t="s">
        <v>85</v>
      </c>
      <c r="BQ47" s="3" t="s">
        <v>137</v>
      </c>
      <c r="BR47" s="3" t="s">
        <v>233</v>
      </c>
      <c r="BS47" s="4">
        <v>44574</v>
      </c>
      <c r="BT47" s="5">
        <v>0.46180555555555558</v>
      </c>
      <c r="BU47" s="3" t="s">
        <v>253</v>
      </c>
      <c r="BV47" s="3" t="s">
        <v>94</v>
      </c>
      <c r="BY47" s="3">
        <v>81921.84</v>
      </c>
      <c r="BZ47" s="3" t="s">
        <v>163</v>
      </c>
      <c r="CA47" s="3" t="s">
        <v>254</v>
      </c>
      <c r="CC47" s="3" t="s">
        <v>76</v>
      </c>
      <c r="CD47" s="3">
        <v>2196</v>
      </c>
      <c r="CE47" s="3" t="s">
        <v>236</v>
      </c>
      <c r="CF47" s="4">
        <v>44575</v>
      </c>
      <c r="CI47" s="3">
        <v>1</v>
      </c>
      <c r="CJ47" s="3">
        <v>1</v>
      </c>
      <c r="CK47" s="3">
        <v>42</v>
      </c>
      <c r="CL47" s="3" t="s">
        <v>88</v>
      </c>
    </row>
    <row r="48" spans="1:90" x14ac:dyDescent="0.2">
      <c r="A48" s="3" t="s">
        <v>72</v>
      </c>
      <c r="B48" s="3" t="s">
        <v>73</v>
      </c>
      <c r="C48" s="3" t="s">
        <v>74</v>
      </c>
      <c r="E48" s="3" t="str">
        <f>"080010364179"</f>
        <v>080010364179</v>
      </c>
      <c r="F48" s="4">
        <v>44573</v>
      </c>
      <c r="G48" s="3">
        <v>202207</v>
      </c>
      <c r="H48" s="3" t="s">
        <v>213</v>
      </c>
      <c r="I48" s="3" t="s">
        <v>214</v>
      </c>
      <c r="J48" s="3" t="s">
        <v>231</v>
      </c>
      <c r="K48" s="3" t="s">
        <v>78</v>
      </c>
      <c r="L48" s="3" t="s">
        <v>96</v>
      </c>
      <c r="M48" s="3" t="s">
        <v>97</v>
      </c>
      <c r="N48" s="3" t="s">
        <v>255</v>
      </c>
      <c r="O48" s="3" t="s">
        <v>130</v>
      </c>
      <c r="P48" s="3" t="str">
        <f>"-                             "</f>
        <v xml:space="preserve">-                             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15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32.35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1</v>
      </c>
      <c r="BI48" s="3">
        <v>5.3</v>
      </c>
      <c r="BJ48" s="3">
        <v>16.2</v>
      </c>
      <c r="BK48" s="3">
        <v>17</v>
      </c>
      <c r="BL48" s="3">
        <v>143.74</v>
      </c>
      <c r="BM48" s="3">
        <v>21.56</v>
      </c>
      <c r="BN48" s="3">
        <v>165.3</v>
      </c>
      <c r="BO48" s="3">
        <v>165.3</v>
      </c>
      <c r="BP48" s="3" t="s">
        <v>85</v>
      </c>
      <c r="BQ48" s="3" t="s">
        <v>137</v>
      </c>
      <c r="BR48" s="3" t="s">
        <v>233</v>
      </c>
      <c r="BS48" s="4">
        <v>44575</v>
      </c>
      <c r="BT48" s="5">
        <v>0.56597222222222221</v>
      </c>
      <c r="BU48" s="3" t="s">
        <v>256</v>
      </c>
      <c r="BV48" s="3" t="s">
        <v>94</v>
      </c>
      <c r="BY48" s="3">
        <v>80997.84</v>
      </c>
      <c r="BZ48" s="3" t="s">
        <v>163</v>
      </c>
      <c r="CA48" s="3" t="s">
        <v>257</v>
      </c>
      <c r="CC48" s="3" t="s">
        <v>97</v>
      </c>
      <c r="CD48" s="3">
        <v>7530</v>
      </c>
      <c r="CE48" s="3" t="s">
        <v>236</v>
      </c>
      <c r="CF48" s="4">
        <v>44578</v>
      </c>
      <c r="CI48" s="3">
        <v>2</v>
      </c>
      <c r="CJ48" s="3">
        <v>2</v>
      </c>
      <c r="CK48" s="3">
        <v>41</v>
      </c>
      <c r="CL48" s="3" t="s">
        <v>88</v>
      </c>
    </row>
    <row r="49" spans="1:90" x14ac:dyDescent="0.2">
      <c r="A49" s="3" t="s">
        <v>72</v>
      </c>
      <c r="B49" s="3" t="s">
        <v>73</v>
      </c>
      <c r="C49" s="3" t="s">
        <v>74</v>
      </c>
      <c r="E49" s="3" t="str">
        <f>"009941301490"</f>
        <v>009941301490</v>
      </c>
      <c r="F49" s="4">
        <v>44573</v>
      </c>
      <c r="G49" s="3">
        <v>202207</v>
      </c>
      <c r="H49" s="3" t="s">
        <v>75</v>
      </c>
      <c r="I49" s="3" t="s">
        <v>76</v>
      </c>
      <c r="J49" s="3" t="s">
        <v>239</v>
      </c>
      <c r="K49" s="3" t="s">
        <v>78</v>
      </c>
      <c r="L49" s="3" t="s">
        <v>75</v>
      </c>
      <c r="M49" s="3" t="s">
        <v>76</v>
      </c>
      <c r="N49" s="3" t="s">
        <v>109</v>
      </c>
      <c r="O49" s="3" t="s">
        <v>110</v>
      </c>
      <c r="P49" s="3" t="str">
        <f>"..                            "</f>
        <v xml:space="preserve">..                            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12.07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1</v>
      </c>
      <c r="BI49" s="3">
        <v>1</v>
      </c>
      <c r="BJ49" s="3">
        <v>0.2</v>
      </c>
      <c r="BK49" s="3">
        <v>1</v>
      </c>
      <c r="BL49" s="3">
        <v>46.08</v>
      </c>
      <c r="BM49" s="3">
        <v>6.91</v>
      </c>
      <c r="BN49" s="3">
        <v>52.99</v>
      </c>
      <c r="BO49" s="3">
        <v>52.99</v>
      </c>
      <c r="BQ49" s="3" t="s">
        <v>162</v>
      </c>
      <c r="BR49" s="3" t="s">
        <v>175</v>
      </c>
      <c r="BS49" s="4">
        <v>44574</v>
      </c>
      <c r="BT49" s="5">
        <v>0.32083333333333336</v>
      </c>
      <c r="BU49" s="3" t="s">
        <v>113</v>
      </c>
      <c r="BV49" s="3" t="s">
        <v>94</v>
      </c>
      <c r="BY49" s="3">
        <v>1200</v>
      </c>
      <c r="BZ49" s="3" t="s">
        <v>114</v>
      </c>
      <c r="CA49" s="3" t="s">
        <v>115</v>
      </c>
      <c r="CC49" s="3" t="s">
        <v>76</v>
      </c>
      <c r="CD49" s="3">
        <v>2013</v>
      </c>
      <c r="CE49" s="3" t="s">
        <v>87</v>
      </c>
      <c r="CF49" s="4">
        <v>44575</v>
      </c>
      <c r="CI49" s="3">
        <v>1</v>
      </c>
      <c r="CJ49" s="3">
        <v>1</v>
      </c>
      <c r="CK49" s="3">
        <v>22</v>
      </c>
      <c r="CL49" s="3" t="s">
        <v>88</v>
      </c>
    </row>
    <row r="50" spans="1:90" x14ac:dyDescent="0.2">
      <c r="A50" s="3" t="s">
        <v>72</v>
      </c>
      <c r="B50" s="3" t="s">
        <v>73</v>
      </c>
      <c r="C50" s="3" t="s">
        <v>74</v>
      </c>
      <c r="E50" s="3" t="str">
        <f>"080010364101"</f>
        <v>080010364101</v>
      </c>
      <c r="F50" s="4">
        <v>44573</v>
      </c>
      <c r="G50" s="3">
        <v>202207</v>
      </c>
      <c r="H50" s="3" t="s">
        <v>213</v>
      </c>
      <c r="I50" s="3" t="s">
        <v>214</v>
      </c>
      <c r="J50" s="3" t="s">
        <v>231</v>
      </c>
      <c r="K50" s="3" t="s">
        <v>78</v>
      </c>
      <c r="L50" s="3" t="s">
        <v>96</v>
      </c>
      <c r="M50" s="3" t="s">
        <v>97</v>
      </c>
      <c r="N50" s="3" t="s">
        <v>258</v>
      </c>
      <c r="O50" s="3" t="s">
        <v>130</v>
      </c>
      <c r="P50" s="3" t="str">
        <f t="shared" ref="P50:P61" si="1">"-                             "</f>
        <v xml:space="preserve">-                             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32.35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1</v>
      </c>
      <c r="BI50" s="3">
        <v>4.2</v>
      </c>
      <c r="BJ50" s="3">
        <v>16.7</v>
      </c>
      <c r="BK50" s="3">
        <v>17</v>
      </c>
      <c r="BL50" s="3">
        <v>128.74</v>
      </c>
      <c r="BM50" s="3">
        <v>19.309999999999999</v>
      </c>
      <c r="BN50" s="3">
        <v>148.05000000000001</v>
      </c>
      <c r="BO50" s="3">
        <v>148.05000000000001</v>
      </c>
      <c r="BP50" s="3" t="s">
        <v>85</v>
      </c>
      <c r="BQ50" s="3" t="s">
        <v>137</v>
      </c>
      <c r="BR50" s="3" t="s">
        <v>233</v>
      </c>
      <c r="BS50" s="4">
        <v>44575</v>
      </c>
      <c r="BT50" s="5">
        <v>0.4694444444444445</v>
      </c>
      <c r="BU50" s="3" t="s">
        <v>259</v>
      </c>
      <c r="BV50" s="3" t="s">
        <v>94</v>
      </c>
      <c r="BY50" s="3">
        <v>83289.45</v>
      </c>
      <c r="BZ50" s="3" t="s">
        <v>86</v>
      </c>
      <c r="CA50" s="3" t="s">
        <v>260</v>
      </c>
      <c r="CC50" s="3" t="s">
        <v>97</v>
      </c>
      <c r="CD50" s="3">
        <v>7708</v>
      </c>
      <c r="CE50" s="3" t="s">
        <v>236</v>
      </c>
      <c r="CF50" s="4">
        <v>44578</v>
      </c>
      <c r="CI50" s="3">
        <v>2</v>
      </c>
      <c r="CJ50" s="3">
        <v>2</v>
      </c>
      <c r="CK50" s="3">
        <v>41</v>
      </c>
      <c r="CL50" s="3" t="s">
        <v>88</v>
      </c>
    </row>
    <row r="51" spans="1:90" x14ac:dyDescent="0.2">
      <c r="A51" s="3" t="s">
        <v>72</v>
      </c>
      <c r="B51" s="3" t="s">
        <v>73</v>
      </c>
      <c r="C51" s="3" t="s">
        <v>74</v>
      </c>
      <c r="E51" s="3" t="str">
        <f>"080010364069"</f>
        <v>080010364069</v>
      </c>
      <c r="F51" s="4">
        <v>44573</v>
      </c>
      <c r="G51" s="3">
        <v>202207</v>
      </c>
      <c r="H51" s="3" t="s">
        <v>213</v>
      </c>
      <c r="I51" s="3" t="s">
        <v>214</v>
      </c>
      <c r="J51" s="3" t="s">
        <v>231</v>
      </c>
      <c r="K51" s="3" t="s">
        <v>78</v>
      </c>
      <c r="L51" s="3" t="s">
        <v>121</v>
      </c>
      <c r="M51" s="3" t="s">
        <v>122</v>
      </c>
      <c r="N51" s="3" t="s">
        <v>261</v>
      </c>
      <c r="O51" s="3" t="s">
        <v>130</v>
      </c>
      <c r="P51" s="3" t="str">
        <f t="shared" si="1"/>
        <v xml:space="preserve">-                             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48.62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1</v>
      </c>
      <c r="BI51" s="3">
        <v>4.2</v>
      </c>
      <c r="BJ51" s="3">
        <v>17.3</v>
      </c>
      <c r="BK51" s="3">
        <v>18</v>
      </c>
      <c r="BL51" s="3">
        <v>190.83</v>
      </c>
      <c r="BM51" s="3">
        <v>28.62</v>
      </c>
      <c r="BN51" s="3">
        <v>219.45</v>
      </c>
      <c r="BO51" s="3">
        <v>219.45</v>
      </c>
      <c r="BP51" s="3" t="s">
        <v>85</v>
      </c>
      <c r="BQ51" s="3" t="s">
        <v>137</v>
      </c>
      <c r="BR51" s="3" t="s">
        <v>233</v>
      </c>
      <c r="BS51" s="4">
        <v>44575</v>
      </c>
      <c r="BT51" s="5">
        <v>0.65347222222222223</v>
      </c>
      <c r="BU51" s="3" t="s">
        <v>262</v>
      </c>
      <c r="BV51" s="3" t="s">
        <v>88</v>
      </c>
      <c r="BW51" s="3" t="s">
        <v>138</v>
      </c>
      <c r="BX51" s="3" t="s">
        <v>263</v>
      </c>
      <c r="BY51" s="3">
        <v>86507.08</v>
      </c>
      <c r="BZ51" s="3" t="s">
        <v>86</v>
      </c>
      <c r="CA51" s="3" t="s">
        <v>264</v>
      </c>
      <c r="CC51" s="3" t="s">
        <v>122</v>
      </c>
      <c r="CD51" s="3">
        <v>4420</v>
      </c>
      <c r="CE51" s="3" t="s">
        <v>236</v>
      </c>
      <c r="CF51" s="4">
        <v>44578</v>
      </c>
      <c r="CI51" s="3">
        <v>1</v>
      </c>
      <c r="CJ51" s="3">
        <v>2</v>
      </c>
      <c r="CK51" s="3">
        <v>43</v>
      </c>
      <c r="CL51" s="3" t="s">
        <v>88</v>
      </c>
    </row>
    <row r="52" spans="1:90" x14ac:dyDescent="0.2">
      <c r="A52" s="3" t="s">
        <v>72</v>
      </c>
      <c r="B52" s="3" t="s">
        <v>73</v>
      </c>
      <c r="C52" s="3" t="s">
        <v>74</v>
      </c>
      <c r="E52" s="3" t="str">
        <f>"080010364172"</f>
        <v>080010364172</v>
      </c>
      <c r="F52" s="4">
        <v>44573</v>
      </c>
      <c r="G52" s="3">
        <v>202207</v>
      </c>
      <c r="H52" s="3" t="s">
        <v>213</v>
      </c>
      <c r="I52" s="3" t="s">
        <v>214</v>
      </c>
      <c r="J52" s="3" t="s">
        <v>231</v>
      </c>
      <c r="K52" s="3" t="s">
        <v>78</v>
      </c>
      <c r="L52" s="3" t="s">
        <v>183</v>
      </c>
      <c r="M52" s="3" t="s">
        <v>184</v>
      </c>
      <c r="N52" s="3" t="s">
        <v>265</v>
      </c>
      <c r="O52" s="3" t="s">
        <v>130</v>
      </c>
      <c r="P52" s="3" t="str">
        <f t="shared" si="1"/>
        <v xml:space="preserve">-                             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46.47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1</v>
      </c>
      <c r="BI52" s="3">
        <v>4.2</v>
      </c>
      <c r="BJ52" s="3">
        <v>16.2</v>
      </c>
      <c r="BK52" s="3">
        <v>17</v>
      </c>
      <c r="BL52" s="3">
        <v>182.61</v>
      </c>
      <c r="BM52" s="3">
        <v>27.39</v>
      </c>
      <c r="BN52" s="3">
        <v>210</v>
      </c>
      <c r="BO52" s="3">
        <v>210</v>
      </c>
      <c r="BP52" s="3" t="s">
        <v>85</v>
      </c>
      <c r="BQ52" s="3" t="s">
        <v>137</v>
      </c>
      <c r="BR52" s="3" t="s">
        <v>233</v>
      </c>
      <c r="BS52" s="4">
        <v>44578</v>
      </c>
      <c r="BT52" s="5">
        <v>0.6381944444444444</v>
      </c>
      <c r="BU52" s="3" t="s">
        <v>266</v>
      </c>
      <c r="BV52" s="3" t="s">
        <v>88</v>
      </c>
      <c r="BW52" s="3" t="s">
        <v>138</v>
      </c>
      <c r="BX52" s="3" t="s">
        <v>166</v>
      </c>
      <c r="BY52" s="3">
        <v>81020.94</v>
      </c>
      <c r="BZ52" s="3" t="s">
        <v>86</v>
      </c>
      <c r="CA52" s="3" t="s">
        <v>267</v>
      </c>
      <c r="CC52" s="3" t="s">
        <v>184</v>
      </c>
      <c r="CD52" s="3">
        <v>4265</v>
      </c>
      <c r="CE52" s="3" t="s">
        <v>236</v>
      </c>
      <c r="CF52" s="4">
        <v>44579</v>
      </c>
      <c r="CI52" s="3">
        <v>2</v>
      </c>
      <c r="CJ52" s="3">
        <v>3</v>
      </c>
      <c r="CK52" s="3">
        <v>43</v>
      </c>
      <c r="CL52" s="3" t="s">
        <v>88</v>
      </c>
    </row>
    <row r="53" spans="1:90" x14ac:dyDescent="0.2">
      <c r="A53" s="3" t="s">
        <v>72</v>
      </c>
      <c r="B53" s="3" t="s">
        <v>73</v>
      </c>
      <c r="C53" s="3" t="s">
        <v>74</v>
      </c>
      <c r="E53" s="3" t="str">
        <f>"080010364132"</f>
        <v>080010364132</v>
      </c>
      <c r="F53" s="4">
        <v>44573</v>
      </c>
      <c r="G53" s="3">
        <v>202207</v>
      </c>
      <c r="H53" s="3" t="s">
        <v>213</v>
      </c>
      <c r="I53" s="3" t="s">
        <v>214</v>
      </c>
      <c r="J53" s="3" t="s">
        <v>231</v>
      </c>
      <c r="K53" s="3" t="s">
        <v>78</v>
      </c>
      <c r="L53" s="3" t="s">
        <v>140</v>
      </c>
      <c r="M53" s="3" t="s">
        <v>141</v>
      </c>
      <c r="N53" s="3" t="s">
        <v>142</v>
      </c>
      <c r="O53" s="3" t="s">
        <v>130</v>
      </c>
      <c r="P53" s="3" t="str">
        <f t="shared" si="1"/>
        <v xml:space="preserve">-                             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33.590000000000003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1</v>
      </c>
      <c r="BI53" s="3">
        <v>4.2</v>
      </c>
      <c r="BJ53" s="3">
        <v>17.100000000000001</v>
      </c>
      <c r="BK53" s="3">
        <v>18</v>
      </c>
      <c r="BL53" s="3">
        <v>133.44999999999999</v>
      </c>
      <c r="BM53" s="3">
        <v>20.02</v>
      </c>
      <c r="BN53" s="3">
        <v>153.47</v>
      </c>
      <c r="BO53" s="3">
        <v>153.47</v>
      </c>
      <c r="BP53" s="3" t="s">
        <v>85</v>
      </c>
      <c r="BQ53" s="3" t="s">
        <v>137</v>
      </c>
      <c r="BR53" s="3" t="s">
        <v>233</v>
      </c>
      <c r="BS53" s="4">
        <v>44574</v>
      </c>
      <c r="BT53" s="5">
        <v>0.46736111111111112</v>
      </c>
      <c r="BU53" s="3" t="s">
        <v>268</v>
      </c>
      <c r="BV53" s="3" t="s">
        <v>94</v>
      </c>
      <c r="BY53" s="3">
        <v>85580.88</v>
      </c>
      <c r="BZ53" s="3" t="s">
        <v>86</v>
      </c>
      <c r="CA53" s="3" t="s">
        <v>269</v>
      </c>
      <c r="CC53" s="3" t="s">
        <v>141</v>
      </c>
      <c r="CD53" s="3">
        <v>700</v>
      </c>
      <c r="CE53" s="3" t="s">
        <v>236</v>
      </c>
      <c r="CF53" s="4">
        <v>44574</v>
      </c>
      <c r="CI53" s="3">
        <v>1</v>
      </c>
      <c r="CJ53" s="3">
        <v>1</v>
      </c>
      <c r="CK53" s="3">
        <v>41</v>
      </c>
      <c r="CL53" s="3" t="s">
        <v>88</v>
      </c>
    </row>
    <row r="54" spans="1:90" x14ac:dyDescent="0.2">
      <c r="A54" s="3" t="s">
        <v>72</v>
      </c>
      <c r="B54" s="3" t="s">
        <v>73</v>
      </c>
      <c r="C54" s="3" t="s">
        <v>74</v>
      </c>
      <c r="E54" s="3" t="str">
        <f>"080010364099"</f>
        <v>080010364099</v>
      </c>
      <c r="F54" s="4">
        <v>44573</v>
      </c>
      <c r="G54" s="3">
        <v>202207</v>
      </c>
      <c r="H54" s="3" t="s">
        <v>213</v>
      </c>
      <c r="I54" s="3" t="s">
        <v>214</v>
      </c>
      <c r="J54" s="3" t="s">
        <v>231</v>
      </c>
      <c r="K54" s="3" t="s">
        <v>78</v>
      </c>
      <c r="L54" s="3" t="s">
        <v>96</v>
      </c>
      <c r="M54" s="3" t="s">
        <v>97</v>
      </c>
      <c r="N54" s="3" t="s">
        <v>270</v>
      </c>
      <c r="O54" s="3" t="s">
        <v>130</v>
      </c>
      <c r="P54" s="3" t="str">
        <f t="shared" si="1"/>
        <v xml:space="preserve">-                             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31.12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1</v>
      </c>
      <c r="BI54" s="3">
        <v>4.2</v>
      </c>
      <c r="BJ54" s="3">
        <v>15.9</v>
      </c>
      <c r="BK54" s="3">
        <v>16</v>
      </c>
      <c r="BL54" s="3">
        <v>124.04</v>
      </c>
      <c r="BM54" s="3">
        <v>18.61</v>
      </c>
      <c r="BN54" s="3">
        <v>142.65</v>
      </c>
      <c r="BO54" s="3">
        <v>142.65</v>
      </c>
      <c r="BP54" s="3" t="s">
        <v>85</v>
      </c>
      <c r="BQ54" s="3" t="s">
        <v>137</v>
      </c>
      <c r="BR54" s="3" t="s">
        <v>233</v>
      </c>
      <c r="BS54" s="4">
        <v>44575</v>
      </c>
      <c r="BT54" s="5">
        <v>0.69236111111111109</v>
      </c>
      <c r="BU54" s="3" t="s">
        <v>271</v>
      </c>
      <c r="BV54" s="3" t="s">
        <v>94</v>
      </c>
      <c r="BY54" s="3">
        <v>79683.89</v>
      </c>
      <c r="BZ54" s="3" t="s">
        <v>86</v>
      </c>
      <c r="CA54" s="3" t="s">
        <v>257</v>
      </c>
      <c r="CC54" s="3" t="s">
        <v>97</v>
      </c>
      <c r="CD54" s="3">
        <v>7560</v>
      </c>
      <c r="CE54" s="3" t="s">
        <v>236</v>
      </c>
      <c r="CF54" s="4">
        <v>44578</v>
      </c>
      <c r="CI54" s="3">
        <v>2</v>
      </c>
      <c r="CJ54" s="3">
        <v>2</v>
      </c>
      <c r="CK54" s="3">
        <v>41</v>
      </c>
      <c r="CL54" s="3" t="s">
        <v>88</v>
      </c>
    </row>
    <row r="55" spans="1:90" x14ac:dyDescent="0.2">
      <c r="A55" s="3" t="s">
        <v>72</v>
      </c>
      <c r="B55" s="3" t="s">
        <v>73</v>
      </c>
      <c r="C55" s="3" t="s">
        <v>74</v>
      </c>
      <c r="E55" s="3" t="str">
        <f>"080010364096"</f>
        <v>080010364096</v>
      </c>
      <c r="F55" s="4">
        <v>44573</v>
      </c>
      <c r="G55" s="3">
        <v>202207</v>
      </c>
      <c r="H55" s="3" t="s">
        <v>213</v>
      </c>
      <c r="I55" s="3" t="s">
        <v>214</v>
      </c>
      <c r="J55" s="3" t="s">
        <v>231</v>
      </c>
      <c r="K55" s="3" t="s">
        <v>78</v>
      </c>
      <c r="L55" s="3" t="s">
        <v>96</v>
      </c>
      <c r="M55" s="3" t="s">
        <v>97</v>
      </c>
      <c r="N55" s="3" t="s">
        <v>158</v>
      </c>
      <c r="O55" s="3" t="s">
        <v>130</v>
      </c>
      <c r="P55" s="3" t="str">
        <f t="shared" si="1"/>
        <v xml:space="preserve">-                             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32.35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1</v>
      </c>
      <c r="BI55" s="3">
        <v>5.2</v>
      </c>
      <c r="BJ55" s="3">
        <v>17</v>
      </c>
      <c r="BK55" s="3">
        <v>17</v>
      </c>
      <c r="BL55" s="3">
        <v>128.74</v>
      </c>
      <c r="BM55" s="3">
        <v>19.309999999999999</v>
      </c>
      <c r="BN55" s="3">
        <v>148.05000000000001</v>
      </c>
      <c r="BO55" s="3">
        <v>148.05000000000001</v>
      </c>
      <c r="BP55" s="3" t="s">
        <v>85</v>
      </c>
      <c r="BQ55" s="3" t="s">
        <v>137</v>
      </c>
      <c r="BR55" s="3" t="s">
        <v>233</v>
      </c>
      <c r="BS55" s="4">
        <v>44575</v>
      </c>
      <c r="BT55" s="5">
        <v>0.47430555555555554</v>
      </c>
      <c r="BU55" s="3" t="s">
        <v>272</v>
      </c>
      <c r="BV55" s="3" t="s">
        <v>94</v>
      </c>
      <c r="BY55" s="3">
        <v>85231.87</v>
      </c>
      <c r="BZ55" s="3" t="s">
        <v>86</v>
      </c>
      <c r="CA55" s="3" t="s">
        <v>273</v>
      </c>
      <c r="CC55" s="3" t="s">
        <v>97</v>
      </c>
      <c r="CD55" s="3">
        <v>7441</v>
      </c>
      <c r="CE55" s="3" t="s">
        <v>236</v>
      </c>
      <c r="CF55" s="4">
        <v>44578</v>
      </c>
      <c r="CI55" s="3">
        <v>2</v>
      </c>
      <c r="CJ55" s="3">
        <v>2</v>
      </c>
      <c r="CK55" s="3">
        <v>41</v>
      </c>
      <c r="CL55" s="3" t="s">
        <v>88</v>
      </c>
    </row>
    <row r="56" spans="1:90" x14ac:dyDescent="0.2">
      <c r="A56" s="3" t="s">
        <v>72</v>
      </c>
      <c r="B56" s="3" t="s">
        <v>73</v>
      </c>
      <c r="C56" s="3" t="s">
        <v>74</v>
      </c>
      <c r="E56" s="3" t="str">
        <f>"080010364142"</f>
        <v>080010364142</v>
      </c>
      <c r="F56" s="4">
        <v>44573</v>
      </c>
      <c r="G56" s="3">
        <v>202207</v>
      </c>
      <c r="H56" s="3" t="s">
        <v>213</v>
      </c>
      <c r="I56" s="3" t="s">
        <v>214</v>
      </c>
      <c r="J56" s="3" t="s">
        <v>231</v>
      </c>
      <c r="K56" s="3" t="s">
        <v>78</v>
      </c>
      <c r="L56" s="3" t="s">
        <v>116</v>
      </c>
      <c r="M56" s="3" t="s">
        <v>117</v>
      </c>
      <c r="N56" s="3" t="s">
        <v>274</v>
      </c>
      <c r="O56" s="3" t="s">
        <v>130</v>
      </c>
      <c r="P56" s="3" t="str">
        <f t="shared" si="1"/>
        <v xml:space="preserve">-                             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32.35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1</v>
      </c>
      <c r="BI56" s="3">
        <v>4.0999999999999996</v>
      </c>
      <c r="BJ56" s="3">
        <v>16.399999999999999</v>
      </c>
      <c r="BK56" s="3">
        <v>17</v>
      </c>
      <c r="BL56" s="3">
        <v>128.74</v>
      </c>
      <c r="BM56" s="3">
        <v>19.309999999999999</v>
      </c>
      <c r="BN56" s="3">
        <v>148.05000000000001</v>
      </c>
      <c r="BO56" s="3">
        <v>148.05000000000001</v>
      </c>
      <c r="BP56" s="3" t="s">
        <v>85</v>
      </c>
      <c r="BQ56" s="3" t="s">
        <v>137</v>
      </c>
      <c r="BR56" s="3" t="s">
        <v>233</v>
      </c>
      <c r="BS56" s="4">
        <v>44575</v>
      </c>
      <c r="BT56" s="5">
        <v>0.60138888888888886</v>
      </c>
      <c r="BU56" s="3" t="s">
        <v>275</v>
      </c>
      <c r="BV56" s="3" t="s">
        <v>88</v>
      </c>
      <c r="BW56" s="3" t="s">
        <v>138</v>
      </c>
      <c r="BX56" s="3" t="s">
        <v>263</v>
      </c>
      <c r="BY56" s="3">
        <v>81767.070000000007</v>
      </c>
      <c r="BZ56" s="3" t="s">
        <v>86</v>
      </c>
      <c r="CA56" s="3" t="s">
        <v>276</v>
      </c>
      <c r="CC56" s="3" t="s">
        <v>117</v>
      </c>
      <c r="CD56" s="3">
        <v>4001</v>
      </c>
      <c r="CE56" s="3" t="s">
        <v>236</v>
      </c>
      <c r="CF56" s="4">
        <v>44578</v>
      </c>
      <c r="CI56" s="3">
        <v>1</v>
      </c>
      <c r="CJ56" s="3">
        <v>2</v>
      </c>
      <c r="CK56" s="3">
        <v>41</v>
      </c>
      <c r="CL56" s="3" t="s">
        <v>88</v>
      </c>
    </row>
    <row r="57" spans="1:90" x14ac:dyDescent="0.2">
      <c r="A57" s="3" t="s">
        <v>72</v>
      </c>
      <c r="B57" s="3" t="s">
        <v>73</v>
      </c>
      <c r="C57" s="3" t="s">
        <v>74</v>
      </c>
      <c r="E57" s="3" t="str">
        <f>"080010364151"</f>
        <v>080010364151</v>
      </c>
      <c r="F57" s="4">
        <v>44573</v>
      </c>
      <c r="G57" s="3">
        <v>202207</v>
      </c>
      <c r="H57" s="3" t="s">
        <v>213</v>
      </c>
      <c r="I57" s="3" t="s">
        <v>214</v>
      </c>
      <c r="J57" s="3" t="s">
        <v>231</v>
      </c>
      <c r="K57" s="3" t="s">
        <v>78</v>
      </c>
      <c r="L57" s="3" t="s">
        <v>116</v>
      </c>
      <c r="M57" s="3" t="s">
        <v>117</v>
      </c>
      <c r="N57" s="3" t="s">
        <v>277</v>
      </c>
      <c r="O57" s="3" t="s">
        <v>130</v>
      </c>
      <c r="P57" s="3" t="str">
        <f t="shared" si="1"/>
        <v xml:space="preserve">-                             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32.35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1</v>
      </c>
      <c r="BI57" s="3">
        <v>5.3</v>
      </c>
      <c r="BJ57" s="3">
        <v>16.5</v>
      </c>
      <c r="BK57" s="3">
        <v>17</v>
      </c>
      <c r="BL57" s="3">
        <v>128.74</v>
      </c>
      <c r="BM57" s="3">
        <v>19.309999999999999</v>
      </c>
      <c r="BN57" s="3">
        <v>148.05000000000001</v>
      </c>
      <c r="BO57" s="3">
        <v>148.05000000000001</v>
      </c>
      <c r="BP57" s="3" t="s">
        <v>85</v>
      </c>
      <c r="BQ57" s="3" t="s">
        <v>137</v>
      </c>
      <c r="BR57" s="3" t="s">
        <v>233</v>
      </c>
      <c r="BS57" s="4">
        <v>44575</v>
      </c>
      <c r="BT57" s="5">
        <v>0.48888888888888887</v>
      </c>
      <c r="BU57" s="3" t="s">
        <v>278</v>
      </c>
      <c r="BV57" s="3" t="s">
        <v>88</v>
      </c>
      <c r="BW57" s="3" t="s">
        <v>138</v>
      </c>
      <c r="BX57" s="3" t="s">
        <v>263</v>
      </c>
      <c r="BY57" s="3">
        <v>82531.679999999993</v>
      </c>
      <c r="BZ57" s="3" t="s">
        <v>86</v>
      </c>
      <c r="CA57" s="3" t="s">
        <v>279</v>
      </c>
      <c r="CC57" s="3" t="s">
        <v>117</v>
      </c>
      <c r="CD57" s="3">
        <v>3630</v>
      </c>
      <c r="CE57" s="3" t="s">
        <v>236</v>
      </c>
      <c r="CF57" s="4">
        <v>44578</v>
      </c>
      <c r="CI57" s="3">
        <v>1</v>
      </c>
      <c r="CJ57" s="3">
        <v>2</v>
      </c>
      <c r="CK57" s="3">
        <v>41</v>
      </c>
      <c r="CL57" s="3" t="s">
        <v>88</v>
      </c>
    </row>
    <row r="58" spans="1:90" x14ac:dyDescent="0.2">
      <c r="A58" s="3" t="s">
        <v>72</v>
      </c>
      <c r="B58" s="3" t="s">
        <v>73</v>
      </c>
      <c r="C58" s="3" t="s">
        <v>74</v>
      </c>
      <c r="E58" s="3" t="str">
        <f>"080010364137"</f>
        <v>080010364137</v>
      </c>
      <c r="F58" s="4">
        <v>44573</v>
      </c>
      <c r="G58" s="3">
        <v>202207</v>
      </c>
      <c r="H58" s="3" t="s">
        <v>213</v>
      </c>
      <c r="I58" s="3" t="s">
        <v>214</v>
      </c>
      <c r="J58" s="3" t="s">
        <v>231</v>
      </c>
      <c r="K58" s="3" t="s">
        <v>78</v>
      </c>
      <c r="L58" s="3" t="s">
        <v>104</v>
      </c>
      <c r="M58" s="3" t="s">
        <v>105</v>
      </c>
      <c r="N58" s="3" t="s">
        <v>280</v>
      </c>
      <c r="O58" s="3" t="s">
        <v>130</v>
      </c>
      <c r="P58" s="3" t="str">
        <f t="shared" si="1"/>
        <v xml:space="preserve">-                             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32.35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1</v>
      </c>
      <c r="BI58" s="3">
        <v>4.0999999999999996</v>
      </c>
      <c r="BJ58" s="3">
        <v>16.8</v>
      </c>
      <c r="BK58" s="3">
        <v>17</v>
      </c>
      <c r="BL58" s="3">
        <v>128.74</v>
      </c>
      <c r="BM58" s="3">
        <v>19.309999999999999</v>
      </c>
      <c r="BN58" s="3">
        <v>148.05000000000001</v>
      </c>
      <c r="BO58" s="3">
        <v>148.05000000000001</v>
      </c>
      <c r="BP58" s="3" t="s">
        <v>85</v>
      </c>
      <c r="BQ58" s="3" t="s">
        <v>137</v>
      </c>
      <c r="BR58" s="3" t="s">
        <v>233</v>
      </c>
      <c r="BS58" s="4">
        <v>44574</v>
      </c>
      <c r="BT58" s="5">
        <v>0.5541666666666667</v>
      </c>
      <c r="BU58" s="3" t="s">
        <v>281</v>
      </c>
      <c r="BV58" s="3" t="s">
        <v>94</v>
      </c>
      <c r="BY58" s="3">
        <v>84219.37</v>
      </c>
      <c r="BZ58" s="3" t="s">
        <v>86</v>
      </c>
      <c r="CA58" s="3" t="s">
        <v>248</v>
      </c>
      <c r="CC58" s="3" t="s">
        <v>105</v>
      </c>
      <c r="CD58" s="3">
        <v>181</v>
      </c>
      <c r="CE58" s="3" t="s">
        <v>236</v>
      </c>
      <c r="CF58" s="4">
        <v>44574</v>
      </c>
      <c r="CI58" s="3">
        <v>1</v>
      </c>
      <c r="CJ58" s="3">
        <v>1</v>
      </c>
      <c r="CK58" s="3">
        <v>41</v>
      </c>
      <c r="CL58" s="3" t="s">
        <v>88</v>
      </c>
    </row>
    <row r="59" spans="1:90" x14ac:dyDescent="0.2">
      <c r="A59" s="3" t="s">
        <v>72</v>
      </c>
      <c r="B59" s="3" t="s">
        <v>73</v>
      </c>
      <c r="C59" s="3" t="s">
        <v>74</v>
      </c>
      <c r="E59" s="3" t="str">
        <f>"080010364129"</f>
        <v>080010364129</v>
      </c>
      <c r="F59" s="4">
        <v>44573</v>
      </c>
      <c r="G59" s="3">
        <v>202207</v>
      </c>
      <c r="H59" s="3" t="s">
        <v>213</v>
      </c>
      <c r="I59" s="3" t="s">
        <v>214</v>
      </c>
      <c r="J59" s="3" t="s">
        <v>231</v>
      </c>
      <c r="K59" s="3" t="s">
        <v>78</v>
      </c>
      <c r="L59" s="3" t="s">
        <v>188</v>
      </c>
      <c r="M59" s="3" t="s">
        <v>189</v>
      </c>
      <c r="N59" s="3" t="s">
        <v>190</v>
      </c>
      <c r="O59" s="3" t="s">
        <v>130</v>
      </c>
      <c r="P59" s="3" t="str">
        <f t="shared" si="1"/>
        <v xml:space="preserve">-                             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24.41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1</v>
      </c>
      <c r="BI59" s="3">
        <v>5.3</v>
      </c>
      <c r="BJ59" s="3">
        <v>16.600000000000001</v>
      </c>
      <c r="BK59" s="3">
        <v>17</v>
      </c>
      <c r="BL59" s="3">
        <v>98.43</v>
      </c>
      <c r="BM59" s="3">
        <v>14.76</v>
      </c>
      <c r="BN59" s="3">
        <v>113.19</v>
      </c>
      <c r="BO59" s="3">
        <v>113.19</v>
      </c>
      <c r="BP59" s="3" t="s">
        <v>85</v>
      </c>
      <c r="BQ59" s="3" t="s">
        <v>137</v>
      </c>
      <c r="BR59" s="3" t="s">
        <v>233</v>
      </c>
      <c r="BS59" s="4">
        <v>44574</v>
      </c>
      <c r="BT59" s="5">
        <v>0.62430555555555556</v>
      </c>
      <c r="BU59" s="3" t="s">
        <v>282</v>
      </c>
      <c r="BV59" s="3" t="s">
        <v>94</v>
      </c>
      <c r="BY59" s="3">
        <v>82983.100000000006</v>
      </c>
      <c r="BZ59" s="3" t="s">
        <v>86</v>
      </c>
      <c r="CA59" s="3" t="s">
        <v>212</v>
      </c>
      <c r="CC59" s="3" t="s">
        <v>189</v>
      </c>
      <c r="CD59" s="3">
        <v>1682</v>
      </c>
      <c r="CE59" s="3" t="s">
        <v>236</v>
      </c>
      <c r="CF59" s="4">
        <v>44575</v>
      </c>
      <c r="CI59" s="3">
        <v>1</v>
      </c>
      <c r="CJ59" s="3">
        <v>1</v>
      </c>
      <c r="CK59" s="3">
        <v>42</v>
      </c>
      <c r="CL59" s="3" t="s">
        <v>88</v>
      </c>
    </row>
    <row r="60" spans="1:90" x14ac:dyDescent="0.2">
      <c r="A60" s="3" t="s">
        <v>72</v>
      </c>
      <c r="B60" s="3" t="s">
        <v>73</v>
      </c>
      <c r="C60" s="3" t="s">
        <v>74</v>
      </c>
      <c r="E60" s="3" t="str">
        <f>"080010364122"</f>
        <v>080010364122</v>
      </c>
      <c r="F60" s="4">
        <v>44573</v>
      </c>
      <c r="G60" s="3">
        <v>202207</v>
      </c>
      <c r="H60" s="3" t="s">
        <v>213</v>
      </c>
      <c r="I60" s="3" t="s">
        <v>214</v>
      </c>
      <c r="J60" s="3" t="s">
        <v>231</v>
      </c>
      <c r="K60" s="3" t="s">
        <v>78</v>
      </c>
      <c r="L60" s="3" t="s">
        <v>172</v>
      </c>
      <c r="M60" s="3" t="s">
        <v>173</v>
      </c>
      <c r="N60" s="3" t="s">
        <v>174</v>
      </c>
      <c r="O60" s="3" t="s">
        <v>130</v>
      </c>
      <c r="P60" s="3" t="str">
        <f t="shared" si="1"/>
        <v xml:space="preserve">-                             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24.41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1</v>
      </c>
      <c r="BI60" s="3">
        <v>4.2</v>
      </c>
      <c r="BJ60" s="3">
        <v>16.8</v>
      </c>
      <c r="BK60" s="3">
        <v>17</v>
      </c>
      <c r="BL60" s="3">
        <v>98.43</v>
      </c>
      <c r="BM60" s="3">
        <v>14.76</v>
      </c>
      <c r="BN60" s="3">
        <v>113.19</v>
      </c>
      <c r="BO60" s="3">
        <v>113.19</v>
      </c>
      <c r="BP60" s="3" t="s">
        <v>85</v>
      </c>
      <c r="BQ60" s="3" t="s">
        <v>137</v>
      </c>
      <c r="BR60" s="3" t="s">
        <v>233</v>
      </c>
      <c r="BS60" s="4">
        <v>44574</v>
      </c>
      <c r="BT60" s="5">
        <v>0.41597222222222219</v>
      </c>
      <c r="BU60" s="3" t="s">
        <v>283</v>
      </c>
      <c r="BV60" s="3" t="s">
        <v>94</v>
      </c>
      <c r="BY60" s="3">
        <v>84219.37</v>
      </c>
      <c r="BZ60" s="3" t="s">
        <v>86</v>
      </c>
      <c r="CA60" s="3" t="s">
        <v>284</v>
      </c>
      <c r="CC60" s="3" t="s">
        <v>173</v>
      </c>
      <c r="CD60" s="3">
        <v>1459</v>
      </c>
      <c r="CE60" s="3" t="s">
        <v>236</v>
      </c>
      <c r="CF60" s="4">
        <v>44574</v>
      </c>
      <c r="CI60" s="3">
        <v>1</v>
      </c>
      <c r="CJ60" s="3">
        <v>1</v>
      </c>
      <c r="CK60" s="3">
        <v>42</v>
      </c>
      <c r="CL60" s="3" t="s">
        <v>88</v>
      </c>
    </row>
    <row r="61" spans="1:90" x14ac:dyDescent="0.2">
      <c r="A61" s="3" t="s">
        <v>72</v>
      </c>
      <c r="B61" s="3" t="s">
        <v>73</v>
      </c>
      <c r="C61" s="3" t="s">
        <v>74</v>
      </c>
      <c r="E61" s="3" t="str">
        <f>"080010364135"</f>
        <v>080010364135</v>
      </c>
      <c r="F61" s="4">
        <v>44573</v>
      </c>
      <c r="G61" s="3">
        <v>202207</v>
      </c>
      <c r="H61" s="3" t="s">
        <v>213</v>
      </c>
      <c r="I61" s="3" t="s">
        <v>214</v>
      </c>
      <c r="J61" s="3" t="s">
        <v>231</v>
      </c>
      <c r="K61" s="3" t="s">
        <v>78</v>
      </c>
      <c r="L61" s="3" t="s">
        <v>75</v>
      </c>
      <c r="M61" s="3" t="s">
        <v>76</v>
      </c>
      <c r="N61" s="3" t="s">
        <v>285</v>
      </c>
      <c r="O61" s="3" t="s">
        <v>130</v>
      </c>
      <c r="P61" s="3" t="str">
        <f t="shared" si="1"/>
        <v xml:space="preserve">-                             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24.41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1</v>
      </c>
      <c r="BI61" s="3">
        <v>4.2</v>
      </c>
      <c r="BJ61" s="3">
        <v>16.399999999999999</v>
      </c>
      <c r="BK61" s="3">
        <v>17</v>
      </c>
      <c r="BL61" s="3">
        <v>98.43</v>
      </c>
      <c r="BM61" s="3">
        <v>14.76</v>
      </c>
      <c r="BN61" s="3">
        <v>113.19</v>
      </c>
      <c r="BO61" s="3">
        <v>113.19</v>
      </c>
      <c r="BP61" s="3" t="s">
        <v>85</v>
      </c>
      <c r="BQ61" s="3" t="s">
        <v>137</v>
      </c>
      <c r="BR61" s="3" t="s">
        <v>233</v>
      </c>
      <c r="BS61" s="4">
        <v>44574</v>
      </c>
      <c r="BT61" s="5">
        <v>0.48749999999999999</v>
      </c>
      <c r="BU61" s="3" t="s">
        <v>286</v>
      </c>
      <c r="BV61" s="3" t="s">
        <v>94</v>
      </c>
      <c r="BY61" s="3">
        <v>82046.58</v>
      </c>
      <c r="BZ61" s="3" t="s">
        <v>86</v>
      </c>
      <c r="CC61" s="3" t="s">
        <v>76</v>
      </c>
      <c r="CD61" s="3">
        <v>2059</v>
      </c>
      <c r="CE61" s="3" t="s">
        <v>236</v>
      </c>
      <c r="CF61" s="4">
        <v>44575</v>
      </c>
      <c r="CI61" s="3">
        <v>1</v>
      </c>
      <c r="CJ61" s="3">
        <v>1</v>
      </c>
      <c r="CK61" s="3">
        <v>42</v>
      </c>
      <c r="CL61" s="3" t="s">
        <v>88</v>
      </c>
    </row>
    <row r="62" spans="1:90" x14ac:dyDescent="0.2">
      <c r="A62" s="3" t="s">
        <v>72</v>
      </c>
      <c r="B62" s="3" t="s">
        <v>73</v>
      </c>
      <c r="C62" s="3" t="s">
        <v>74</v>
      </c>
      <c r="E62" s="3" t="str">
        <f>"009941351885"</f>
        <v>009941351885</v>
      </c>
      <c r="F62" s="4">
        <v>44573</v>
      </c>
      <c r="G62" s="3">
        <v>202207</v>
      </c>
      <c r="H62" s="3" t="s">
        <v>116</v>
      </c>
      <c r="I62" s="3" t="s">
        <v>117</v>
      </c>
      <c r="J62" s="3" t="s">
        <v>109</v>
      </c>
      <c r="K62" s="3" t="s">
        <v>78</v>
      </c>
      <c r="L62" s="3" t="s">
        <v>75</v>
      </c>
      <c r="M62" s="3" t="s">
        <v>76</v>
      </c>
      <c r="N62" s="3" t="s">
        <v>287</v>
      </c>
      <c r="O62" s="3" t="s">
        <v>110</v>
      </c>
      <c r="P62" s="3" t="str">
        <f>"                              "</f>
        <v xml:space="preserve">                              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15.46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15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1</v>
      </c>
      <c r="BI62" s="3">
        <v>0.5</v>
      </c>
      <c r="BJ62" s="3">
        <v>1</v>
      </c>
      <c r="BK62" s="3">
        <v>1</v>
      </c>
      <c r="BL62" s="3">
        <v>74</v>
      </c>
      <c r="BM62" s="3">
        <v>11.1</v>
      </c>
      <c r="BN62" s="3">
        <v>85.1</v>
      </c>
      <c r="BO62" s="3">
        <v>85.1</v>
      </c>
      <c r="BQ62" s="3" t="s">
        <v>288</v>
      </c>
      <c r="BR62" s="3" t="s">
        <v>238</v>
      </c>
      <c r="BS62" s="4">
        <v>44574</v>
      </c>
      <c r="BT62" s="5">
        <v>0.43055555555555558</v>
      </c>
      <c r="BU62" s="3" t="s">
        <v>289</v>
      </c>
      <c r="BV62" s="3" t="s">
        <v>94</v>
      </c>
      <c r="BY62" s="3">
        <v>4800</v>
      </c>
      <c r="BZ62" s="3" t="s">
        <v>126</v>
      </c>
      <c r="CA62" s="3" t="s">
        <v>290</v>
      </c>
      <c r="CC62" s="3" t="s">
        <v>76</v>
      </c>
      <c r="CD62" s="3">
        <v>1425</v>
      </c>
      <c r="CE62" s="3" t="s">
        <v>87</v>
      </c>
      <c r="CF62" s="4">
        <v>44574</v>
      </c>
      <c r="CI62" s="3">
        <v>1</v>
      </c>
      <c r="CJ62" s="3">
        <v>1</v>
      </c>
      <c r="CK62" s="3">
        <v>21</v>
      </c>
      <c r="CL62" s="3" t="s">
        <v>88</v>
      </c>
    </row>
    <row r="63" spans="1:90" x14ac:dyDescent="0.2">
      <c r="A63" s="3" t="s">
        <v>72</v>
      </c>
      <c r="B63" s="3" t="s">
        <v>73</v>
      </c>
      <c r="C63" s="3" t="s">
        <v>74</v>
      </c>
      <c r="E63" s="3" t="str">
        <f>"080010364108"</f>
        <v>080010364108</v>
      </c>
      <c r="F63" s="4">
        <v>44573</v>
      </c>
      <c r="G63" s="3">
        <v>202207</v>
      </c>
      <c r="H63" s="3" t="s">
        <v>213</v>
      </c>
      <c r="I63" s="3" t="s">
        <v>214</v>
      </c>
      <c r="J63" s="3" t="s">
        <v>231</v>
      </c>
      <c r="K63" s="3" t="s">
        <v>78</v>
      </c>
      <c r="L63" s="3" t="s">
        <v>96</v>
      </c>
      <c r="M63" s="3" t="s">
        <v>97</v>
      </c>
      <c r="N63" s="3" t="s">
        <v>291</v>
      </c>
      <c r="O63" s="3" t="s">
        <v>130</v>
      </c>
      <c r="P63" s="3" t="str">
        <f t="shared" ref="P63:P68" si="2">"-                             "</f>
        <v xml:space="preserve">-                             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32.35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1</v>
      </c>
      <c r="BI63" s="3">
        <v>4.2</v>
      </c>
      <c r="BJ63" s="3">
        <v>16.3</v>
      </c>
      <c r="BK63" s="3">
        <v>17</v>
      </c>
      <c r="BL63" s="3">
        <v>128.74</v>
      </c>
      <c r="BM63" s="3">
        <v>19.309999999999999</v>
      </c>
      <c r="BN63" s="3">
        <v>148.05000000000001</v>
      </c>
      <c r="BO63" s="3">
        <v>148.05000000000001</v>
      </c>
      <c r="BP63" s="3" t="s">
        <v>85</v>
      </c>
      <c r="BQ63" s="3" t="s">
        <v>137</v>
      </c>
      <c r="BR63" s="3" t="s">
        <v>233</v>
      </c>
      <c r="BS63" s="4">
        <v>44575</v>
      </c>
      <c r="BT63" s="5">
        <v>0.53611111111111109</v>
      </c>
      <c r="BU63" s="3" t="s">
        <v>292</v>
      </c>
      <c r="BV63" s="3" t="s">
        <v>94</v>
      </c>
      <c r="BY63" s="3">
        <v>81385.3</v>
      </c>
      <c r="BZ63" s="3" t="s">
        <v>86</v>
      </c>
      <c r="CA63" s="3" t="s">
        <v>293</v>
      </c>
      <c r="CC63" s="3" t="s">
        <v>97</v>
      </c>
      <c r="CD63" s="3">
        <v>7806</v>
      </c>
      <c r="CE63" s="3" t="s">
        <v>236</v>
      </c>
      <c r="CF63" s="4">
        <v>44578</v>
      </c>
      <c r="CI63" s="3">
        <v>2</v>
      </c>
      <c r="CJ63" s="3">
        <v>2</v>
      </c>
      <c r="CK63" s="3">
        <v>41</v>
      </c>
      <c r="CL63" s="3" t="s">
        <v>88</v>
      </c>
    </row>
    <row r="64" spans="1:90" x14ac:dyDescent="0.2">
      <c r="A64" s="3" t="s">
        <v>72</v>
      </c>
      <c r="B64" s="3" t="s">
        <v>73</v>
      </c>
      <c r="C64" s="3" t="s">
        <v>74</v>
      </c>
      <c r="E64" s="3" t="str">
        <f>"080010364178"</f>
        <v>080010364178</v>
      </c>
      <c r="F64" s="4">
        <v>44573</v>
      </c>
      <c r="G64" s="3">
        <v>202207</v>
      </c>
      <c r="H64" s="3" t="s">
        <v>213</v>
      </c>
      <c r="I64" s="3" t="s">
        <v>214</v>
      </c>
      <c r="J64" s="3" t="s">
        <v>231</v>
      </c>
      <c r="K64" s="3" t="s">
        <v>78</v>
      </c>
      <c r="L64" s="3" t="s">
        <v>99</v>
      </c>
      <c r="M64" s="3" t="s">
        <v>100</v>
      </c>
      <c r="N64" s="3" t="s">
        <v>294</v>
      </c>
      <c r="O64" s="3" t="s">
        <v>130</v>
      </c>
      <c r="P64" s="3" t="str">
        <f t="shared" si="2"/>
        <v xml:space="preserve">-                             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32.35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1</v>
      </c>
      <c r="BI64" s="3">
        <v>4.2</v>
      </c>
      <c r="BJ64" s="3">
        <v>16.399999999999999</v>
      </c>
      <c r="BK64" s="3">
        <v>17</v>
      </c>
      <c r="BL64" s="3">
        <v>128.74</v>
      </c>
      <c r="BM64" s="3">
        <v>19.309999999999999</v>
      </c>
      <c r="BN64" s="3">
        <v>148.05000000000001</v>
      </c>
      <c r="BO64" s="3">
        <v>148.05000000000001</v>
      </c>
      <c r="BP64" s="3" t="s">
        <v>85</v>
      </c>
      <c r="BQ64" s="3" t="s">
        <v>137</v>
      </c>
      <c r="BR64" s="3" t="s">
        <v>233</v>
      </c>
      <c r="BS64" s="4">
        <v>44574</v>
      </c>
      <c r="BT64" s="5">
        <v>0.35833333333333334</v>
      </c>
      <c r="BU64" s="3" t="s">
        <v>295</v>
      </c>
      <c r="BV64" s="3" t="s">
        <v>94</v>
      </c>
      <c r="BY64" s="3">
        <v>82008.7</v>
      </c>
      <c r="BZ64" s="3" t="s">
        <v>86</v>
      </c>
      <c r="CA64" s="3" t="s">
        <v>296</v>
      </c>
      <c r="CC64" s="3" t="s">
        <v>100</v>
      </c>
      <c r="CD64" s="3">
        <v>157</v>
      </c>
      <c r="CE64" s="3" t="s">
        <v>236</v>
      </c>
      <c r="CF64" s="4">
        <v>44575</v>
      </c>
      <c r="CI64" s="3">
        <v>1</v>
      </c>
      <c r="CJ64" s="3">
        <v>1</v>
      </c>
      <c r="CK64" s="3">
        <v>41</v>
      </c>
      <c r="CL64" s="3" t="s">
        <v>88</v>
      </c>
    </row>
    <row r="65" spans="1:90" x14ac:dyDescent="0.2">
      <c r="A65" s="3" t="s">
        <v>72</v>
      </c>
      <c r="B65" s="3" t="s">
        <v>73</v>
      </c>
      <c r="C65" s="3" t="s">
        <v>74</v>
      </c>
      <c r="E65" s="3" t="str">
        <f>"080010364081"</f>
        <v>080010364081</v>
      </c>
      <c r="F65" s="4">
        <v>44573</v>
      </c>
      <c r="G65" s="3">
        <v>202207</v>
      </c>
      <c r="H65" s="3" t="s">
        <v>213</v>
      </c>
      <c r="I65" s="3" t="s">
        <v>214</v>
      </c>
      <c r="J65" s="3" t="s">
        <v>231</v>
      </c>
      <c r="K65" s="3" t="s">
        <v>78</v>
      </c>
      <c r="L65" s="3" t="s">
        <v>144</v>
      </c>
      <c r="M65" s="3" t="s">
        <v>145</v>
      </c>
      <c r="N65" s="3" t="s">
        <v>297</v>
      </c>
      <c r="O65" s="3" t="s">
        <v>130</v>
      </c>
      <c r="P65" s="3" t="str">
        <f t="shared" si="2"/>
        <v xml:space="preserve">-                             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15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39.75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1</v>
      </c>
      <c r="BI65" s="3">
        <v>8</v>
      </c>
      <c r="BJ65" s="3">
        <v>22.3</v>
      </c>
      <c r="BK65" s="3">
        <v>23</v>
      </c>
      <c r="BL65" s="3">
        <v>171.96</v>
      </c>
      <c r="BM65" s="3">
        <v>25.79</v>
      </c>
      <c r="BN65" s="3">
        <v>197.75</v>
      </c>
      <c r="BO65" s="3">
        <v>197.75</v>
      </c>
      <c r="BP65" s="3" t="s">
        <v>85</v>
      </c>
      <c r="BQ65" s="3" t="s">
        <v>137</v>
      </c>
      <c r="BR65" s="3" t="s">
        <v>233</v>
      </c>
      <c r="BS65" s="4">
        <v>44575</v>
      </c>
      <c r="BT65" s="5">
        <v>0.43263888888888885</v>
      </c>
      <c r="BU65" s="3" t="s">
        <v>298</v>
      </c>
      <c r="BV65" s="3" t="s">
        <v>94</v>
      </c>
      <c r="BY65" s="3">
        <v>111375</v>
      </c>
      <c r="BZ65" s="3" t="s">
        <v>163</v>
      </c>
      <c r="CA65" s="3" t="s">
        <v>299</v>
      </c>
      <c r="CC65" s="3" t="s">
        <v>145</v>
      </c>
      <c r="CD65" s="3">
        <v>6000</v>
      </c>
      <c r="CE65" s="3" t="s">
        <v>236</v>
      </c>
      <c r="CF65" s="4">
        <v>44578</v>
      </c>
      <c r="CI65" s="3">
        <v>2</v>
      </c>
      <c r="CJ65" s="3">
        <v>2</v>
      </c>
      <c r="CK65" s="3">
        <v>41</v>
      </c>
      <c r="CL65" s="3" t="s">
        <v>88</v>
      </c>
    </row>
    <row r="66" spans="1:90" x14ac:dyDescent="0.2">
      <c r="A66" s="3" t="s">
        <v>72</v>
      </c>
      <c r="B66" s="3" t="s">
        <v>73</v>
      </c>
      <c r="C66" s="3" t="s">
        <v>74</v>
      </c>
      <c r="E66" s="3" t="str">
        <f>"080010364113"</f>
        <v>080010364113</v>
      </c>
      <c r="F66" s="4">
        <v>44573</v>
      </c>
      <c r="G66" s="3">
        <v>202207</v>
      </c>
      <c r="H66" s="3" t="s">
        <v>213</v>
      </c>
      <c r="I66" s="3" t="s">
        <v>214</v>
      </c>
      <c r="J66" s="3" t="s">
        <v>231</v>
      </c>
      <c r="K66" s="3" t="s">
        <v>78</v>
      </c>
      <c r="L66" s="3" t="s">
        <v>224</v>
      </c>
      <c r="M66" s="3" t="s">
        <v>225</v>
      </c>
      <c r="N66" s="3" t="s">
        <v>226</v>
      </c>
      <c r="O66" s="3" t="s">
        <v>130</v>
      </c>
      <c r="P66" s="3" t="str">
        <f t="shared" si="2"/>
        <v xml:space="preserve">-                             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24.41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1</v>
      </c>
      <c r="BI66" s="3">
        <v>4.2</v>
      </c>
      <c r="BJ66" s="3">
        <v>16.2</v>
      </c>
      <c r="BK66" s="3">
        <v>17</v>
      </c>
      <c r="BL66" s="3">
        <v>98.43</v>
      </c>
      <c r="BM66" s="3">
        <v>14.76</v>
      </c>
      <c r="BN66" s="3">
        <v>113.19</v>
      </c>
      <c r="BO66" s="3">
        <v>113.19</v>
      </c>
      <c r="BP66" s="3" t="s">
        <v>85</v>
      </c>
      <c r="BQ66" s="3" t="s">
        <v>137</v>
      </c>
      <c r="BR66" s="3" t="s">
        <v>233</v>
      </c>
      <c r="BS66" s="4">
        <v>44574</v>
      </c>
      <c r="BT66" s="5">
        <v>0.60763888888888895</v>
      </c>
      <c r="BU66" s="3" t="s">
        <v>300</v>
      </c>
      <c r="BV66" s="3" t="s">
        <v>94</v>
      </c>
      <c r="BY66" s="3">
        <v>80834.16</v>
      </c>
      <c r="BZ66" s="3" t="s">
        <v>86</v>
      </c>
      <c r="CA66" s="3" t="s">
        <v>301</v>
      </c>
      <c r="CC66" s="3" t="s">
        <v>225</v>
      </c>
      <c r="CD66" s="3">
        <v>1724</v>
      </c>
      <c r="CE66" s="3" t="s">
        <v>236</v>
      </c>
      <c r="CF66" s="4">
        <v>44575</v>
      </c>
      <c r="CI66" s="3">
        <v>1</v>
      </c>
      <c r="CJ66" s="3">
        <v>1</v>
      </c>
      <c r="CK66" s="3">
        <v>42</v>
      </c>
      <c r="CL66" s="3" t="s">
        <v>88</v>
      </c>
    </row>
    <row r="67" spans="1:90" x14ac:dyDescent="0.2">
      <c r="A67" s="3" t="s">
        <v>72</v>
      </c>
      <c r="B67" s="3" t="s">
        <v>73</v>
      </c>
      <c r="C67" s="3" t="s">
        <v>74</v>
      </c>
      <c r="E67" s="3" t="str">
        <f>"080010364118"</f>
        <v>080010364118</v>
      </c>
      <c r="F67" s="4">
        <v>44573</v>
      </c>
      <c r="G67" s="3">
        <v>202207</v>
      </c>
      <c r="H67" s="3" t="s">
        <v>213</v>
      </c>
      <c r="I67" s="3" t="s">
        <v>214</v>
      </c>
      <c r="J67" s="3" t="s">
        <v>231</v>
      </c>
      <c r="K67" s="3" t="s">
        <v>78</v>
      </c>
      <c r="L67" s="3" t="s">
        <v>241</v>
      </c>
      <c r="M67" s="3" t="s">
        <v>242</v>
      </c>
      <c r="N67" s="3" t="s">
        <v>302</v>
      </c>
      <c r="O67" s="3" t="s">
        <v>130</v>
      </c>
      <c r="P67" s="3" t="str">
        <f t="shared" si="2"/>
        <v xml:space="preserve">-                             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24.41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1</v>
      </c>
      <c r="BI67" s="3">
        <v>4.2</v>
      </c>
      <c r="BJ67" s="3">
        <v>16.3</v>
      </c>
      <c r="BK67" s="3">
        <v>17</v>
      </c>
      <c r="BL67" s="3">
        <v>98.43</v>
      </c>
      <c r="BM67" s="3">
        <v>14.76</v>
      </c>
      <c r="BN67" s="3">
        <v>113.19</v>
      </c>
      <c r="BO67" s="3">
        <v>113.19</v>
      </c>
      <c r="BP67" s="3" t="s">
        <v>85</v>
      </c>
      <c r="BQ67" s="3" t="s">
        <v>137</v>
      </c>
      <c r="BR67" s="3" t="s">
        <v>233</v>
      </c>
      <c r="BS67" s="4">
        <v>44574</v>
      </c>
      <c r="BT67" s="5">
        <v>0.38125000000000003</v>
      </c>
      <c r="BU67" s="3" t="s">
        <v>303</v>
      </c>
      <c r="BV67" s="3" t="s">
        <v>94</v>
      </c>
      <c r="BY67" s="3">
        <v>81549.47</v>
      </c>
      <c r="BZ67" s="3" t="s">
        <v>86</v>
      </c>
      <c r="CC67" s="3" t="s">
        <v>242</v>
      </c>
      <c r="CD67" s="3">
        <v>2194</v>
      </c>
      <c r="CE67" s="3" t="s">
        <v>236</v>
      </c>
      <c r="CF67" s="4">
        <v>44574</v>
      </c>
      <c r="CI67" s="3">
        <v>1</v>
      </c>
      <c r="CJ67" s="3">
        <v>1</v>
      </c>
      <c r="CK67" s="3">
        <v>42</v>
      </c>
      <c r="CL67" s="3" t="s">
        <v>88</v>
      </c>
    </row>
    <row r="68" spans="1:90" x14ac:dyDescent="0.2">
      <c r="A68" s="3" t="s">
        <v>72</v>
      </c>
      <c r="B68" s="3" t="s">
        <v>73</v>
      </c>
      <c r="C68" s="3" t="s">
        <v>74</v>
      </c>
      <c r="E68" s="3" t="str">
        <f>"080010364091"</f>
        <v>080010364091</v>
      </c>
      <c r="F68" s="4">
        <v>44573</v>
      </c>
      <c r="G68" s="3">
        <v>202207</v>
      </c>
      <c r="H68" s="3" t="s">
        <v>213</v>
      </c>
      <c r="I68" s="3" t="s">
        <v>214</v>
      </c>
      <c r="J68" s="3" t="s">
        <v>231</v>
      </c>
      <c r="K68" s="3" t="s">
        <v>78</v>
      </c>
      <c r="L68" s="3" t="s">
        <v>96</v>
      </c>
      <c r="M68" s="3" t="s">
        <v>97</v>
      </c>
      <c r="N68" s="3" t="s">
        <v>304</v>
      </c>
      <c r="O68" s="3" t="s">
        <v>130</v>
      </c>
      <c r="P68" s="3" t="str">
        <f t="shared" si="2"/>
        <v xml:space="preserve">-                             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33.590000000000003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1</v>
      </c>
      <c r="BI68" s="3">
        <v>4.0999999999999996</v>
      </c>
      <c r="BJ68" s="3">
        <v>17.600000000000001</v>
      </c>
      <c r="BK68" s="3">
        <v>18</v>
      </c>
      <c r="BL68" s="3">
        <v>133.44999999999999</v>
      </c>
      <c r="BM68" s="3">
        <v>20.02</v>
      </c>
      <c r="BN68" s="3">
        <v>153.47</v>
      </c>
      <c r="BO68" s="3">
        <v>153.47</v>
      </c>
      <c r="BP68" s="3" t="s">
        <v>85</v>
      </c>
      <c r="BQ68" s="3" t="s">
        <v>137</v>
      </c>
      <c r="BR68" s="3" t="s">
        <v>233</v>
      </c>
      <c r="BS68" s="4">
        <v>44575</v>
      </c>
      <c r="BT68" s="5">
        <v>0.41666666666666669</v>
      </c>
      <c r="BU68" s="3" t="s">
        <v>305</v>
      </c>
      <c r="BV68" s="3" t="s">
        <v>94</v>
      </c>
      <c r="BY68" s="3">
        <v>87865.23</v>
      </c>
      <c r="BZ68" s="3" t="s">
        <v>86</v>
      </c>
      <c r="CC68" s="3" t="s">
        <v>97</v>
      </c>
      <c r="CD68" s="3">
        <v>7945</v>
      </c>
      <c r="CE68" s="3" t="s">
        <v>236</v>
      </c>
      <c r="CF68" s="4">
        <v>44578</v>
      </c>
      <c r="CI68" s="3">
        <v>2</v>
      </c>
      <c r="CJ68" s="3">
        <v>2</v>
      </c>
      <c r="CK68" s="3">
        <v>41</v>
      </c>
      <c r="CL68" s="3" t="s">
        <v>88</v>
      </c>
    </row>
    <row r="69" spans="1:90" x14ac:dyDescent="0.2">
      <c r="A69" s="3" t="s">
        <v>72</v>
      </c>
      <c r="B69" s="3" t="s">
        <v>73</v>
      </c>
      <c r="C69" s="3" t="s">
        <v>74</v>
      </c>
      <c r="E69" s="3" t="str">
        <f>"009942411063"</f>
        <v>009942411063</v>
      </c>
      <c r="F69" s="4">
        <v>44573</v>
      </c>
      <c r="G69" s="3">
        <v>202207</v>
      </c>
      <c r="H69" s="3" t="s">
        <v>96</v>
      </c>
      <c r="I69" s="3" t="s">
        <v>97</v>
      </c>
      <c r="J69" s="3" t="s">
        <v>255</v>
      </c>
      <c r="K69" s="3" t="s">
        <v>78</v>
      </c>
      <c r="L69" s="3" t="s">
        <v>75</v>
      </c>
      <c r="M69" s="3" t="s">
        <v>76</v>
      </c>
      <c r="N69" s="3" t="s">
        <v>109</v>
      </c>
      <c r="O69" s="3" t="s">
        <v>110</v>
      </c>
      <c r="P69" s="3" t="str">
        <f>"                              "</f>
        <v xml:space="preserve">                              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19.32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1</v>
      </c>
      <c r="BI69" s="3">
        <v>0.8</v>
      </c>
      <c r="BJ69" s="3">
        <v>2.1</v>
      </c>
      <c r="BK69" s="3">
        <v>2.5</v>
      </c>
      <c r="BL69" s="3">
        <v>73.739999999999995</v>
      </c>
      <c r="BM69" s="3">
        <v>11.06</v>
      </c>
      <c r="BN69" s="3">
        <v>84.8</v>
      </c>
      <c r="BO69" s="3">
        <v>84.8</v>
      </c>
      <c r="BQ69" s="3" t="s">
        <v>306</v>
      </c>
      <c r="BR69" s="3" t="s">
        <v>307</v>
      </c>
      <c r="BS69" s="4">
        <v>44574</v>
      </c>
      <c r="BT69" s="5">
        <v>0.31736111111111115</v>
      </c>
      <c r="BU69" s="3" t="s">
        <v>113</v>
      </c>
      <c r="BV69" s="3" t="s">
        <v>94</v>
      </c>
      <c r="BY69" s="3">
        <v>10656</v>
      </c>
      <c r="BZ69" s="3" t="s">
        <v>114</v>
      </c>
      <c r="CA69" s="3" t="s">
        <v>115</v>
      </c>
      <c r="CC69" s="3" t="s">
        <v>76</v>
      </c>
      <c r="CD69" s="3">
        <v>2016</v>
      </c>
      <c r="CE69" s="3" t="s">
        <v>87</v>
      </c>
      <c r="CF69" s="4">
        <v>44575</v>
      </c>
      <c r="CI69" s="3">
        <v>1</v>
      </c>
      <c r="CJ69" s="3">
        <v>1</v>
      </c>
      <c r="CK69" s="3">
        <v>21</v>
      </c>
      <c r="CL69" s="3" t="s">
        <v>88</v>
      </c>
    </row>
    <row r="70" spans="1:90" x14ac:dyDescent="0.2">
      <c r="A70" s="3" t="s">
        <v>72</v>
      </c>
      <c r="B70" s="3" t="s">
        <v>73</v>
      </c>
      <c r="C70" s="3" t="s">
        <v>74</v>
      </c>
      <c r="E70" s="3" t="str">
        <f>"009941301595"</f>
        <v>009941301595</v>
      </c>
      <c r="F70" s="4">
        <v>44573</v>
      </c>
      <c r="G70" s="3">
        <v>202207</v>
      </c>
      <c r="H70" s="3" t="s">
        <v>75</v>
      </c>
      <c r="I70" s="3" t="s">
        <v>76</v>
      </c>
      <c r="J70" s="3" t="s">
        <v>232</v>
      </c>
      <c r="K70" s="3" t="s">
        <v>78</v>
      </c>
      <c r="L70" s="3" t="s">
        <v>75</v>
      </c>
      <c r="M70" s="3" t="s">
        <v>76</v>
      </c>
      <c r="N70" s="3" t="s">
        <v>109</v>
      </c>
      <c r="O70" s="3" t="s">
        <v>110</v>
      </c>
      <c r="P70" s="3" t="str">
        <f>"..                            "</f>
        <v xml:space="preserve">..                            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12.07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1</v>
      </c>
      <c r="BI70" s="3">
        <v>1</v>
      </c>
      <c r="BJ70" s="3">
        <v>0.2</v>
      </c>
      <c r="BK70" s="3">
        <v>1</v>
      </c>
      <c r="BL70" s="3">
        <v>46.08</v>
      </c>
      <c r="BM70" s="3">
        <v>6.91</v>
      </c>
      <c r="BN70" s="3">
        <v>52.99</v>
      </c>
      <c r="BO70" s="3">
        <v>52.99</v>
      </c>
      <c r="BQ70" s="3" t="s">
        <v>162</v>
      </c>
      <c r="BR70" s="3" t="s">
        <v>175</v>
      </c>
      <c r="BS70" s="4">
        <v>44574</v>
      </c>
      <c r="BT70" s="5">
        <v>0.31944444444444448</v>
      </c>
      <c r="BU70" s="3" t="s">
        <v>113</v>
      </c>
      <c r="BV70" s="3" t="s">
        <v>94</v>
      </c>
      <c r="BY70" s="3">
        <v>1200</v>
      </c>
      <c r="BZ70" s="3" t="s">
        <v>114</v>
      </c>
      <c r="CA70" s="3" t="s">
        <v>115</v>
      </c>
      <c r="CC70" s="3" t="s">
        <v>76</v>
      </c>
      <c r="CD70" s="3">
        <v>2013</v>
      </c>
      <c r="CE70" s="3" t="s">
        <v>87</v>
      </c>
      <c r="CF70" s="4">
        <v>44575</v>
      </c>
      <c r="CI70" s="3">
        <v>1</v>
      </c>
      <c r="CJ70" s="3">
        <v>1</v>
      </c>
      <c r="CK70" s="3">
        <v>22</v>
      </c>
      <c r="CL70" s="3" t="s">
        <v>88</v>
      </c>
    </row>
    <row r="71" spans="1:90" x14ac:dyDescent="0.2">
      <c r="A71" s="3" t="s">
        <v>72</v>
      </c>
      <c r="B71" s="3" t="s">
        <v>73</v>
      </c>
      <c r="C71" s="3" t="s">
        <v>74</v>
      </c>
      <c r="E71" s="3" t="str">
        <f>"009941640815"</f>
        <v>009941640815</v>
      </c>
      <c r="F71" s="4">
        <v>44573</v>
      </c>
      <c r="G71" s="3">
        <v>202207</v>
      </c>
      <c r="H71" s="3" t="s">
        <v>75</v>
      </c>
      <c r="I71" s="3" t="s">
        <v>76</v>
      </c>
      <c r="J71" s="3" t="s">
        <v>77</v>
      </c>
      <c r="K71" s="3" t="s">
        <v>78</v>
      </c>
      <c r="L71" s="3" t="s">
        <v>99</v>
      </c>
      <c r="M71" s="3" t="s">
        <v>100</v>
      </c>
      <c r="N71" s="3" t="s">
        <v>78</v>
      </c>
      <c r="O71" s="3" t="s">
        <v>82</v>
      </c>
      <c r="P71" s="3" t="str">
        <f>"..                            "</f>
        <v xml:space="preserve">..                            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57.96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1</v>
      </c>
      <c r="BI71" s="3">
        <v>1.5</v>
      </c>
      <c r="BJ71" s="3">
        <v>8</v>
      </c>
      <c r="BK71" s="3">
        <v>8</v>
      </c>
      <c r="BL71" s="3">
        <v>221.24</v>
      </c>
      <c r="BM71" s="3">
        <v>33.19</v>
      </c>
      <c r="BN71" s="3">
        <v>254.43</v>
      </c>
      <c r="BO71" s="3">
        <v>254.43</v>
      </c>
      <c r="BQ71" s="3" t="s">
        <v>308</v>
      </c>
      <c r="BR71" s="3" t="s">
        <v>84</v>
      </c>
      <c r="BS71" s="4">
        <v>44574</v>
      </c>
      <c r="BT71" s="5">
        <v>0.44861111111111113</v>
      </c>
      <c r="BU71" s="3" t="s">
        <v>309</v>
      </c>
      <c r="BV71" s="3" t="s">
        <v>94</v>
      </c>
      <c r="BY71" s="3">
        <v>40209.33</v>
      </c>
      <c r="BZ71" s="3" t="s">
        <v>86</v>
      </c>
      <c r="CA71" s="3" t="s">
        <v>296</v>
      </c>
      <c r="CC71" s="3" t="s">
        <v>100</v>
      </c>
      <c r="CD71" s="3">
        <v>157</v>
      </c>
      <c r="CE71" s="3" t="s">
        <v>87</v>
      </c>
      <c r="CF71" s="4">
        <v>44574</v>
      </c>
      <c r="CI71" s="3">
        <v>1</v>
      </c>
      <c r="CJ71" s="3">
        <v>1</v>
      </c>
      <c r="CK71" s="3">
        <v>31</v>
      </c>
      <c r="CL71" s="3" t="s">
        <v>88</v>
      </c>
    </row>
    <row r="72" spans="1:90" x14ac:dyDescent="0.2">
      <c r="A72" s="3" t="s">
        <v>72</v>
      </c>
      <c r="B72" s="3" t="s">
        <v>73</v>
      </c>
      <c r="C72" s="3" t="s">
        <v>74</v>
      </c>
      <c r="E72" s="3" t="str">
        <f>"080010364074"</f>
        <v>080010364074</v>
      </c>
      <c r="F72" s="4">
        <v>44573</v>
      </c>
      <c r="G72" s="3">
        <v>202207</v>
      </c>
      <c r="H72" s="3" t="s">
        <v>213</v>
      </c>
      <c r="I72" s="3" t="s">
        <v>214</v>
      </c>
      <c r="J72" s="3" t="s">
        <v>231</v>
      </c>
      <c r="K72" s="3" t="s">
        <v>78</v>
      </c>
      <c r="L72" s="3" t="s">
        <v>96</v>
      </c>
      <c r="M72" s="3" t="s">
        <v>97</v>
      </c>
      <c r="N72" s="3" t="s">
        <v>134</v>
      </c>
      <c r="O72" s="3" t="s">
        <v>130</v>
      </c>
      <c r="P72" s="3" t="str">
        <f>"-                             "</f>
        <v xml:space="preserve">-                             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33.590000000000003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1</v>
      </c>
      <c r="BI72" s="3">
        <v>4.2</v>
      </c>
      <c r="BJ72" s="3">
        <v>17.3</v>
      </c>
      <c r="BK72" s="3">
        <v>18</v>
      </c>
      <c r="BL72" s="3">
        <v>133.44999999999999</v>
      </c>
      <c r="BM72" s="3">
        <v>20.02</v>
      </c>
      <c r="BN72" s="3">
        <v>153.47</v>
      </c>
      <c r="BO72" s="3">
        <v>153.47</v>
      </c>
      <c r="BP72" s="3" t="s">
        <v>85</v>
      </c>
      <c r="BQ72" s="3" t="s">
        <v>137</v>
      </c>
      <c r="BR72" s="3" t="s">
        <v>233</v>
      </c>
      <c r="BS72" s="4">
        <v>44575</v>
      </c>
      <c r="BT72" s="5">
        <v>0.63888888888888895</v>
      </c>
      <c r="BU72" s="3" t="s">
        <v>310</v>
      </c>
      <c r="BV72" s="3" t="s">
        <v>94</v>
      </c>
      <c r="BY72" s="3">
        <v>86278.5</v>
      </c>
      <c r="BZ72" s="3" t="s">
        <v>86</v>
      </c>
      <c r="CA72" s="3" t="s">
        <v>311</v>
      </c>
      <c r="CC72" s="3" t="s">
        <v>97</v>
      </c>
      <c r="CD72" s="3">
        <v>7441</v>
      </c>
      <c r="CE72" s="3" t="s">
        <v>312</v>
      </c>
      <c r="CF72" s="4">
        <v>44578</v>
      </c>
      <c r="CI72" s="3">
        <v>2</v>
      </c>
      <c r="CJ72" s="3">
        <v>2</v>
      </c>
      <c r="CK72" s="3">
        <v>41</v>
      </c>
      <c r="CL72" s="3" t="s">
        <v>88</v>
      </c>
    </row>
    <row r="73" spans="1:90" x14ac:dyDescent="0.2">
      <c r="A73" s="3" t="s">
        <v>72</v>
      </c>
      <c r="B73" s="3" t="s">
        <v>73</v>
      </c>
      <c r="C73" s="3" t="s">
        <v>74</v>
      </c>
      <c r="E73" s="3" t="str">
        <f>"009941133123"</f>
        <v>009941133123</v>
      </c>
      <c r="F73" s="4">
        <v>44573</v>
      </c>
      <c r="G73" s="3">
        <v>202207</v>
      </c>
      <c r="H73" s="3" t="s">
        <v>116</v>
      </c>
      <c r="I73" s="3" t="s">
        <v>117</v>
      </c>
      <c r="J73" s="3" t="s">
        <v>123</v>
      </c>
      <c r="K73" s="3" t="s">
        <v>78</v>
      </c>
      <c r="L73" s="3" t="s">
        <v>75</v>
      </c>
      <c r="M73" s="3" t="s">
        <v>76</v>
      </c>
      <c r="N73" s="3" t="s">
        <v>109</v>
      </c>
      <c r="O73" s="3" t="s">
        <v>110</v>
      </c>
      <c r="P73" s="3" t="str">
        <f>"                              "</f>
        <v xml:space="preserve">                              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15.46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1</v>
      </c>
      <c r="BI73" s="3">
        <v>1</v>
      </c>
      <c r="BJ73" s="3">
        <v>0.2</v>
      </c>
      <c r="BK73" s="3">
        <v>1</v>
      </c>
      <c r="BL73" s="3">
        <v>59</v>
      </c>
      <c r="BM73" s="3">
        <v>8.85</v>
      </c>
      <c r="BN73" s="3">
        <v>67.849999999999994</v>
      </c>
      <c r="BO73" s="3">
        <v>67.849999999999994</v>
      </c>
      <c r="BR73" s="3" t="s">
        <v>137</v>
      </c>
      <c r="BS73" s="4">
        <v>44574</v>
      </c>
      <c r="BT73" s="5">
        <v>0.32291666666666669</v>
      </c>
      <c r="BU73" s="3" t="s">
        <v>113</v>
      </c>
      <c r="BV73" s="3" t="s">
        <v>94</v>
      </c>
      <c r="BY73" s="3">
        <v>1200</v>
      </c>
      <c r="BZ73" s="3" t="s">
        <v>114</v>
      </c>
      <c r="CA73" s="3" t="s">
        <v>115</v>
      </c>
      <c r="CC73" s="3" t="s">
        <v>76</v>
      </c>
      <c r="CD73" s="3">
        <v>2013</v>
      </c>
      <c r="CE73" s="3" t="s">
        <v>87</v>
      </c>
      <c r="CF73" s="4">
        <v>44575</v>
      </c>
      <c r="CI73" s="3">
        <v>1</v>
      </c>
      <c r="CJ73" s="3">
        <v>1</v>
      </c>
      <c r="CK73" s="3">
        <v>21</v>
      </c>
      <c r="CL73" s="3" t="s">
        <v>88</v>
      </c>
    </row>
    <row r="74" spans="1:90" x14ac:dyDescent="0.2">
      <c r="A74" s="3" t="s">
        <v>72</v>
      </c>
      <c r="B74" s="3" t="s">
        <v>73</v>
      </c>
      <c r="C74" s="3" t="s">
        <v>74</v>
      </c>
      <c r="E74" s="3" t="str">
        <f>"009941590693"</f>
        <v>009941590693</v>
      </c>
      <c r="F74" s="4">
        <v>44573</v>
      </c>
      <c r="G74" s="3">
        <v>202207</v>
      </c>
      <c r="H74" s="3" t="s">
        <v>96</v>
      </c>
      <c r="I74" s="3" t="s">
        <v>97</v>
      </c>
      <c r="J74" s="3" t="s">
        <v>123</v>
      </c>
      <c r="K74" s="3" t="s">
        <v>78</v>
      </c>
      <c r="L74" s="3" t="s">
        <v>75</v>
      </c>
      <c r="M74" s="3" t="s">
        <v>76</v>
      </c>
      <c r="N74" s="3" t="s">
        <v>118</v>
      </c>
      <c r="O74" s="3" t="s">
        <v>130</v>
      </c>
      <c r="P74" s="3" t="str">
        <f>"NA                            "</f>
        <v xml:space="preserve">NA                            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29.89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1</v>
      </c>
      <c r="BI74" s="3">
        <v>0.2</v>
      </c>
      <c r="BJ74" s="3">
        <v>2.6</v>
      </c>
      <c r="BK74" s="3">
        <v>3</v>
      </c>
      <c r="BL74" s="3">
        <v>119.34</v>
      </c>
      <c r="BM74" s="3">
        <v>17.899999999999999</v>
      </c>
      <c r="BN74" s="3">
        <v>137.24</v>
      </c>
      <c r="BO74" s="3">
        <v>137.24</v>
      </c>
      <c r="BQ74" s="3" t="s">
        <v>135</v>
      </c>
      <c r="BR74" s="3" t="s">
        <v>313</v>
      </c>
      <c r="BS74" s="4">
        <v>44575</v>
      </c>
      <c r="BT74" s="5">
        <v>0.30069444444444443</v>
      </c>
      <c r="BU74" s="3" t="s">
        <v>113</v>
      </c>
      <c r="BV74" s="3" t="s">
        <v>94</v>
      </c>
      <c r="BY74" s="3">
        <v>12802.05</v>
      </c>
      <c r="BZ74" s="3" t="s">
        <v>86</v>
      </c>
      <c r="CA74" s="3" t="s">
        <v>115</v>
      </c>
      <c r="CC74" s="3" t="s">
        <v>76</v>
      </c>
      <c r="CD74" s="3">
        <v>2013</v>
      </c>
      <c r="CE74" s="3" t="s">
        <v>87</v>
      </c>
      <c r="CF74" s="4">
        <v>44576</v>
      </c>
      <c r="CI74" s="3">
        <v>2</v>
      </c>
      <c r="CJ74" s="3">
        <v>2</v>
      </c>
      <c r="CK74" s="3">
        <v>41</v>
      </c>
      <c r="CL74" s="3" t="s">
        <v>88</v>
      </c>
    </row>
    <row r="75" spans="1:90" x14ac:dyDescent="0.2">
      <c r="A75" s="3" t="s">
        <v>72</v>
      </c>
      <c r="B75" s="3" t="s">
        <v>73</v>
      </c>
      <c r="C75" s="3" t="s">
        <v>74</v>
      </c>
      <c r="E75" s="3" t="str">
        <f>"009941640810"</f>
        <v>009941640810</v>
      </c>
      <c r="F75" s="4">
        <v>44573</v>
      </c>
      <c r="G75" s="3">
        <v>202207</v>
      </c>
      <c r="H75" s="3" t="s">
        <v>75</v>
      </c>
      <c r="I75" s="3" t="s">
        <v>76</v>
      </c>
      <c r="J75" s="3" t="s">
        <v>77</v>
      </c>
      <c r="K75" s="3" t="s">
        <v>78</v>
      </c>
      <c r="L75" s="3" t="s">
        <v>104</v>
      </c>
      <c r="M75" s="3" t="s">
        <v>105</v>
      </c>
      <c r="N75" s="3" t="s">
        <v>314</v>
      </c>
      <c r="O75" s="3" t="s">
        <v>110</v>
      </c>
      <c r="P75" s="3" t="str">
        <f>"..                            "</f>
        <v xml:space="preserve">..                            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15.46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1</v>
      </c>
      <c r="BI75" s="3">
        <v>0.2</v>
      </c>
      <c r="BJ75" s="3">
        <v>1.7</v>
      </c>
      <c r="BK75" s="3">
        <v>2</v>
      </c>
      <c r="BL75" s="3">
        <v>59</v>
      </c>
      <c r="BM75" s="3">
        <v>8.85</v>
      </c>
      <c r="BN75" s="3">
        <v>67.849999999999994</v>
      </c>
      <c r="BO75" s="3">
        <v>67.849999999999994</v>
      </c>
      <c r="BQ75" s="3" t="s">
        <v>315</v>
      </c>
      <c r="BR75" s="3" t="s">
        <v>84</v>
      </c>
      <c r="BS75" s="4">
        <v>44574</v>
      </c>
      <c r="BT75" s="5">
        <v>0.51736111111111105</v>
      </c>
      <c r="BU75" s="3" t="s">
        <v>316</v>
      </c>
      <c r="BV75" s="3" t="s">
        <v>88</v>
      </c>
      <c r="BY75" s="3">
        <v>8661.14</v>
      </c>
      <c r="BZ75" s="3" t="s">
        <v>114</v>
      </c>
      <c r="CA75" s="3" t="s">
        <v>317</v>
      </c>
      <c r="CC75" s="3" t="s">
        <v>105</v>
      </c>
      <c r="CD75" s="3">
        <v>50</v>
      </c>
      <c r="CE75" s="3" t="s">
        <v>87</v>
      </c>
      <c r="CF75" s="4">
        <v>44574</v>
      </c>
      <c r="CI75" s="3">
        <v>1</v>
      </c>
      <c r="CJ75" s="3">
        <v>1</v>
      </c>
      <c r="CK75" s="3">
        <v>21</v>
      </c>
      <c r="CL75" s="3" t="s">
        <v>88</v>
      </c>
    </row>
    <row r="76" spans="1:90" x14ac:dyDescent="0.2">
      <c r="A76" s="3" t="s">
        <v>72</v>
      </c>
      <c r="B76" s="3" t="s">
        <v>73</v>
      </c>
      <c r="C76" s="3" t="s">
        <v>74</v>
      </c>
      <c r="E76" s="3" t="str">
        <f>"009941301680"</f>
        <v>009941301680</v>
      </c>
      <c r="F76" s="4">
        <v>44573</v>
      </c>
      <c r="G76" s="3">
        <v>202207</v>
      </c>
      <c r="H76" s="3" t="s">
        <v>318</v>
      </c>
      <c r="I76" s="3" t="s">
        <v>319</v>
      </c>
      <c r="J76" s="3" t="s">
        <v>320</v>
      </c>
      <c r="K76" s="3" t="s">
        <v>78</v>
      </c>
      <c r="L76" s="3" t="s">
        <v>75</v>
      </c>
      <c r="M76" s="3" t="s">
        <v>76</v>
      </c>
      <c r="N76" s="3" t="s">
        <v>109</v>
      </c>
      <c r="O76" s="3" t="s">
        <v>110</v>
      </c>
      <c r="P76" s="3" t="str">
        <f>"NA                            "</f>
        <v xml:space="preserve">NA                            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12.07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1</v>
      </c>
      <c r="BI76" s="3">
        <v>1</v>
      </c>
      <c r="BJ76" s="3">
        <v>0.2</v>
      </c>
      <c r="BK76" s="3">
        <v>1</v>
      </c>
      <c r="BL76" s="3">
        <v>46.08</v>
      </c>
      <c r="BM76" s="3">
        <v>6.91</v>
      </c>
      <c r="BN76" s="3">
        <v>52.99</v>
      </c>
      <c r="BO76" s="3">
        <v>52.99</v>
      </c>
      <c r="BQ76" s="3" t="s">
        <v>230</v>
      </c>
      <c r="BR76" s="3" t="s">
        <v>321</v>
      </c>
      <c r="BS76" s="4">
        <v>44574</v>
      </c>
      <c r="BT76" s="5">
        <v>0.31666666666666665</v>
      </c>
      <c r="BU76" s="3" t="s">
        <v>113</v>
      </c>
      <c r="BV76" s="3" t="s">
        <v>94</v>
      </c>
      <c r="BY76" s="3">
        <v>1200</v>
      </c>
      <c r="BZ76" s="3" t="s">
        <v>114</v>
      </c>
      <c r="CA76" s="3" t="s">
        <v>115</v>
      </c>
      <c r="CC76" s="3" t="s">
        <v>76</v>
      </c>
      <c r="CD76" s="3">
        <v>2013</v>
      </c>
      <c r="CE76" s="3" t="s">
        <v>87</v>
      </c>
      <c r="CF76" s="4">
        <v>44575</v>
      </c>
      <c r="CI76" s="3">
        <v>1</v>
      </c>
      <c r="CJ76" s="3">
        <v>1</v>
      </c>
      <c r="CK76" s="3">
        <v>22</v>
      </c>
      <c r="CL76" s="3" t="s">
        <v>88</v>
      </c>
    </row>
    <row r="77" spans="1:90" x14ac:dyDescent="0.2">
      <c r="A77" s="3" t="s">
        <v>72</v>
      </c>
      <c r="B77" s="3" t="s">
        <v>73</v>
      </c>
      <c r="C77" s="3" t="s">
        <v>74</v>
      </c>
      <c r="E77" s="3" t="str">
        <f>"009941640807"</f>
        <v>009941640807</v>
      </c>
      <c r="F77" s="4">
        <v>44573</v>
      </c>
      <c r="G77" s="3">
        <v>202207</v>
      </c>
      <c r="H77" s="3" t="s">
        <v>75</v>
      </c>
      <c r="I77" s="3" t="s">
        <v>76</v>
      </c>
      <c r="J77" s="3" t="s">
        <v>77</v>
      </c>
      <c r="K77" s="3" t="s">
        <v>78</v>
      </c>
      <c r="L77" s="3" t="s">
        <v>127</v>
      </c>
      <c r="M77" s="3" t="s">
        <v>128</v>
      </c>
      <c r="N77" s="3" t="s">
        <v>322</v>
      </c>
      <c r="O77" s="3" t="s">
        <v>110</v>
      </c>
      <c r="P77" s="3" t="str">
        <f>"..                            "</f>
        <v xml:space="preserve">..                            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15.46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1</v>
      </c>
      <c r="BI77" s="3">
        <v>0.5</v>
      </c>
      <c r="BJ77" s="3">
        <v>1.8</v>
      </c>
      <c r="BK77" s="3">
        <v>2</v>
      </c>
      <c r="BL77" s="3">
        <v>59</v>
      </c>
      <c r="BM77" s="3">
        <v>8.85</v>
      </c>
      <c r="BN77" s="3">
        <v>67.849999999999994</v>
      </c>
      <c r="BO77" s="3">
        <v>67.849999999999994</v>
      </c>
      <c r="BQ77" s="3" t="s">
        <v>323</v>
      </c>
      <c r="BR77" s="3" t="s">
        <v>84</v>
      </c>
      <c r="BS77" s="4">
        <v>44574</v>
      </c>
      <c r="BT77" s="5">
        <v>0.4861111111111111</v>
      </c>
      <c r="BU77" s="3" t="s">
        <v>324</v>
      </c>
      <c r="BV77" s="3" t="s">
        <v>94</v>
      </c>
      <c r="BY77" s="3">
        <v>9237.7999999999993</v>
      </c>
      <c r="BZ77" s="3" t="s">
        <v>114</v>
      </c>
      <c r="CA77" s="3" t="s">
        <v>325</v>
      </c>
      <c r="CC77" s="3" t="s">
        <v>128</v>
      </c>
      <c r="CD77" s="3">
        <v>3610</v>
      </c>
      <c r="CE77" s="3" t="s">
        <v>87</v>
      </c>
      <c r="CF77" s="4">
        <v>44574</v>
      </c>
      <c r="CI77" s="3">
        <v>1</v>
      </c>
      <c r="CJ77" s="3">
        <v>1</v>
      </c>
      <c r="CK77" s="3">
        <v>21</v>
      </c>
      <c r="CL77" s="3" t="s">
        <v>88</v>
      </c>
    </row>
    <row r="78" spans="1:90" x14ac:dyDescent="0.2">
      <c r="A78" s="3" t="s">
        <v>72</v>
      </c>
      <c r="B78" s="3" t="s">
        <v>73</v>
      </c>
      <c r="C78" s="3" t="s">
        <v>74</v>
      </c>
      <c r="E78" s="3" t="str">
        <f>"009941640813"</f>
        <v>009941640813</v>
      </c>
      <c r="F78" s="4">
        <v>44573</v>
      </c>
      <c r="G78" s="3">
        <v>202207</v>
      </c>
      <c r="H78" s="3" t="s">
        <v>75</v>
      </c>
      <c r="I78" s="3" t="s">
        <v>76</v>
      </c>
      <c r="J78" s="3" t="s">
        <v>77</v>
      </c>
      <c r="K78" s="3" t="s">
        <v>78</v>
      </c>
      <c r="L78" s="3" t="s">
        <v>116</v>
      </c>
      <c r="M78" s="3" t="s">
        <v>117</v>
      </c>
      <c r="N78" s="3" t="s">
        <v>78</v>
      </c>
      <c r="O78" s="3" t="s">
        <v>110</v>
      </c>
      <c r="P78" s="3" t="str">
        <f>"..                            "</f>
        <v xml:space="preserve">..                            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38.630000000000003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1</v>
      </c>
      <c r="BI78" s="3">
        <v>0.8</v>
      </c>
      <c r="BJ78" s="3">
        <v>5</v>
      </c>
      <c r="BK78" s="3">
        <v>5</v>
      </c>
      <c r="BL78" s="3">
        <v>147.44999999999999</v>
      </c>
      <c r="BM78" s="3">
        <v>22.12</v>
      </c>
      <c r="BN78" s="3">
        <v>169.57</v>
      </c>
      <c r="BO78" s="3">
        <v>169.57</v>
      </c>
      <c r="BQ78" s="3" t="s">
        <v>326</v>
      </c>
      <c r="BR78" s="3" t="s">
        <v>84</v>
      </c>
      <c r="BS78" s="4">
        <v>44575</v>
      </c>
      <c r="BT78" s="5">
        <v>0.52916666666666667</v>
      </c>
      <c r="BU78" s="3" t="s">
        <v>327</v>
      </c>
      <c r="BV78" s="3" t="s">
        <v>88</v>
      </c>
      <c r="BW78" s="3" t="s">
        <v>138</v>
      </c>
      <c r="BX78" s="3" t="s">
        <v>263</v>
      </c>
      <c r="BY78" s="3">
        <v>24820.95</v>
      </c>
      <c r="BZ78" s="3" t="s">
        <v>114</v>
      </c>
      <c r="CA78" s="3" t="s">
        <v>328</v>
      </c>
      <c r="CC78" s="3" t="s">
        <v>117</v>
      </c>
      <c r="CD78" s="3">
        <v>4000</v>
      </c>
      <c r="CE78" s="3" t="s">
        <v>87</v>
      </c>
      <c r="CF78" s="4">
        <v>44578</v>
      </c>
      <c r="CI78" s="3">
        <v>1</v>
      </c>
      <c r="CJ78" s="3">
        <v>2</v>
      </c>
      <c r="CK78" s="3">
        <v>21</v>
      </c>
      <c r="CL78" s="3" t="s">
        <v>88</v>
      </c>
    </row>
    <row r="79" spans="1:90" x14ac:dyDescent="0.2">
      <c r="A79" s="3" t="s">
        <v>72</v>
      </c>
      <c r="B79" s="3" t="s">
        <v>73</v>
      </c>
      <c r="C79" s="3" t="s">
        <v>74</v>
      </c>
      <c r="E79" s="3" t="str">
        <f>"009941640808"</f>
        <v>009941640808</v>
      </c>
      <c r="F79" s="4">
        <v>44573</v>
      </c>
      <c r="G79" s="3">
        <v>202207</v>
      </c>
      <c r="H79" s="3" t="s">
        <v>75</v>
      </c>
      <c r="I79" s="3" t="s">
        <v>76</v>
      </c>
      <c r="J79" s="3" t="s">
        <v>77</v>
      </c>
      <c r="K79" s="3" t="s">
        <v>78</v>
      </c>
      <c r="L79" s="3" t="s">
        <v>197</v>
      </c>
      <c r="M79" s="3" t="s">
        <v>198</v>
      </c>
      <c r="N79" s="3" t="s">
        <v>78</v>
      </c>
      <c r="O79" s="3" t="s">
        <v>110</v>
      </c>
      <c r="P79" s="3" t="str">
        <f>"..                            "</f>
        <v xml:space="preserve">..                            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29.95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1</v>
      </c>
      <c r="BI79" s="3">
        <v>0.2</v>
      </c>
      <c r="BJ79" s="3">
        <v>1.3</v>
      </c>
      <c r="BK79" s="3">
        <v>1.5</v>
      </c>
      <c r="BL79" s="3">
        <v>114.31</v>
      </c>
      <c r="BM79" s="3">
        <v>17.149999999999999</v>
      </c>
      <c r="BN79" s="3">
        <v>131.46</v>
      </c>
      <c r="BO79" s="3">
        <v>131.46</v>
      </c>
      <c r="BQ79" s="3" t="s">
        <v>200</v>
      </c>
      <c r="BR79" s="3" t="s">
        <v>84</v>
      </c>
      <c r="BS79" s="4">
        <v>44574</v>
      </c>
      <c r="BT79" s="5">
        <v>0.67361111111111116</v>
      </c>
      <c r="BU79" s="3" t="s">
        <v>329</v>
      </c>
      <c r="BV79" s="3" t="s">
        <v>94</v>
      </c>
      <c r="BY79" s="3">
        <v>6648.48</v>
      </c>
      <c r="BZ79" s="3" t="s">
        <v>114</v>
      </c>
      <c r="CA79" s="3" t="s">
        <v>202</v>
      </c>
      <c r="CC79" s="3" t="s">
        <v>198</v>
      </c>
      <c r="CD79" s="3">
        <v>1120</v>
      </c>
      <c r="CE79" s="3" t="s">
        <v>87</v>
      </c>
      <c r="CF79" s="4">
        <v>44574</v>
      </c>
      <c r="CI79" s="3">
        <v>1</v>
      </c>
      <c r="CJ79" s="3">
        <v>1</v>
      </c>
      <c r="CK79" s="3">
        <v>23</v>
      </c>
      <c r="CL79" s="3" t="s">
        <v>88</v>
      </c>
    </row>
    <row r="80" spans="1:90" x14ac:dyDescent="0.2">
      <c r="A80" s="3" t="s">
        <v>72</v>
      </c>
      <c r="B80" s="3" t="s">
        <v>73</v>
      </c>
      <c r="C80" s="3" t="s">
        <v>74</v>
      </c>
      <c r="E80" s="3" t="str">
        <f>"009941640816"</f>
        <v>009941640816</v>
      </c>
      <c r="F80" s="4">
        <v>44573</v>
      </c>
      <c r="G80" s="3">
        <v>202207</v>
      </c>
      <c r="H80" s="3" t="s">
        <v>75</v>
      </c>
      <c r="I80" s="3" t="s">
        <v>76</v>
      </c>
      <c r="J80" s="3" t="s">
        <v>77</v>
      </c>
      <c r="K80" s="3" t="s">
        <v>78</v>
      </c>
      <c r="L80" s="3" t="s">
        <v>127</v>
      </c>
      <c r="M80" s="3" t="s">
        <v>128</v>
      </c>
      <c r="N80" s="3" t="s">
        <v>109</v>
      </c>
      <c r="O80" s="3" t="s">
        <v>110</v>
      </c>
      <c r="P80" s="3" t="str">
        <f>"..                            "</f>
        <v xml:space="preserve">..                            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15.46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1</v>
      </c>
      <c r="BI80" s="3">
        <v>0.2</v>
      </c>
      <c r="BJ80" s="3">
        <v>0.8</v>
      </c>
      <c r="BK80" s="3">
        <v>1</v>
      </c>
      <c r="BL80" s="3">
        <v>59</v>
      </c>
      <c r="BM80" s="3">
        <v>8.85</v>
      </c>
      <c r="BN80" s="3">
        <v>67.849999999999994</v>
      </c>
      <c r="BO80" s="3">
        <v>67.849999999999994</v>
      </c>
      <c r="BQ80" s="3" t="s">
        <v>132</v>
      </c>
      <c r="BR80" s="3" t="s">
        <v>84</v>
      </c>
      <c r="BS80" s="4">
        <v>44575</v>
      </c>
      <c r="BT80" s="5">
        <v>0.71527777777777779</v>
      </c>
      <c r="BU80" s="3" t="s">
        <v>330</v>
      </c>
      <c r="BV80" s="3" t="s">
        <v>88</v>
      </c>
      <c r="BW80" s="3" t="s">
        <v>138</v>
      </c>
      <c r="BX80" s="3" t="s">
        <v>263</v>
      </c>
      <c r="BY80" s="3">
        <v>3821.53</v>
      </c>
      <c r="BZ80" s="3" t="s">
        <v>114</v>
      </c>
      <c r="CA80" s="3" t="s">
        <v>331</v>
      </c>
      <c r="CC80" s="3" t="s">
        <v>128</v>
      </c>
      <c r="CD80" s="3">
        <v>3610</v>
      </c>
      <c r="CE80" s="3" t="s">
        <v>87</v>
      </c>
      <c r="CF80" s="4">
        <v>44578</v>
      </c>
      <c r="CI80" s="3">
        <v>1</v>
      </c>
      <c r="CJ80" s="3">
        <v>2</v>
      </c>
      <c r="CK80" s="3">
        <v>21</v>
      </c>
      <c r="CL80" s="3" t="s">
        <v>88</v>
      </c>
    </row>
    <row r="81" spans="1:90" x14ac:dyDescent="0.2">
      <c r="A81" s="3" t="s">
        <v>72</v>
      </c>
      <c r="B81" s="3" t="s">
        <v>73</v>
      </c>
      <c r="C81" s="3" t="s">
        <v>74</v>
      </c>
      <c r="E81" s="3" t="str">
        <f>"080010364128"</f>
        <v>080010364128</v>
      </c>
      <c r="F81" s="4">
        <v>44573</v>
      </c>
      <c r="G81" s="3">
        <v>202207</v>
      </c>
      <c r="H81" s="3" t="s">
        <v>213</v>
      </c>
      <c r="I81" s="3" t="s">
        <v>214</v>
      </c>
      <c r="J81" s="3" t="s">
        <v>231</v>
      </c>
      <c r="K81" s="3" t="s">
        <v>78</v>
      </c>
      <c r="L81" s="3" t="s">
        <v>332</v>
      </c>
      <c r="M81" s="3" t="s">
        <v>333</v>
      </c>
      <c r="N81" s="3" t="s">
        <v>334</v>
      </c>
      <c r="O81" s="3" t="s">
        <v>130</v>
      </c>
      <c r="P81" s="3" t="str">
        <f>"-                             "</f>
        <v xml:space="preserve">-                             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33.590000000000003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1</v>
      </c>
      <c r="BI81" s="3">
        <v>4.2</v>
      </c>
      <c r="BJ81" s="3">
        <v>17.5</v>
      </c>
      <c r="BK81" s="3">
        <v>18</v>
      </c>
      <c r="BL81" s="3">
        <v>133.44999999999999</v>
      </c>
      <c r="BM81" s="3">
        <v>20.02</v>
      </c>
      <c r="BN81" s="3">
        <v>153.47</v>
      </c>
      <c r="BO81" s="3">
        <v>153.47</v>
      </c>
      <c r="BP81" s="3" t="s">
        <v>85</v>
      </c>
      <c r="BQ81" s="3" t="s">
        <v>137</v>
      </c>
      <c r="BR81" s="3" t="s">
        <v>233</v>
      </c>
      <c r="BS81" s="4">
        <v>44574</v>
      </c>
      <c r="BT81" s="5">
        <v>0.49791666666666662</v>
      </c>
      <c r="BU81" s="3" t="s">
        <v>262</v>
      </c>
      <c r="BV81" s="3" t="s">
        <v>94</v>
      </c>
      <c r="BY81" s="3">
        <v>87525.9</v>
      </c>
      <c r="BZ81" s="3" t="s">
        <v>86</v>
      </c>
      <c r="CA81" s="3" t="s">
        <v>335</v>
      </c>
      <c r="CC81" s="3" t="s">
        <v>333</v>
      </c>
      <c r="CD81" s="3">
        <v>4320</v>
      </c>
      <c r="CE81" s="3" t="s">
        <v>236</v>
      </c>
      <c r="CF81" s="4">
        <v>44574</v>
      </c>
      <c r="CI81" s="3">
        <v>1</v>
      </c>
      <c r="CJ81" s="3">
        <v>1</v>
      </c>
      <c r="CK81" s="3">
        <v>41</v>
      </c>
      <c r="CL81" s="3" t="s">
        <v>88</v>
      </c>
    </row>
    <row r="82" spans="1:90" x14ac:dyDescent="0.2">
      <c r="A82" s="3" t="s">
        <v>72</v>
      </c>
      <c r="B82" s="3" t="s">
        <v>73</v>
      </c>
      <c r="C82" s="3" t="s">
        <v>74</v>
      </c>
      <c r="E82" s="3" t="str">
        <f>"080010364125"</f>
        <v>080010364125</v>
      </c>
      <c r="F82" s="4">
        <v>44573</v>
      </c>
      <c r="G82" s="3">
        <v>202207</v>
      </c>
      <c r="H82" s="3" t="s">
        <v>213</v>
      </c>
      <c r="I82" s="3" t="s">
        <v>214</v>
      </c>
      <c r="J82" s="3" t="s">
        <v>231</v>
      </c>
      <c r="K82" s="3" t="s">
        <v>78</v>
      </c>
      <c r="L82" s="3" t="s">
        <v>75</v>
      </c>
      <c r="M82" s="3" t="s">
        <v>76</v>
      </c>
      <c r="N82" s="3" t="s">
        <v>209</v>
      </c>
      <c r="O82" s="3" t="s">
        <v>130</v>
      </c>
      <c r="P82" s="3" t="str">
        <f>"-                             "</f>
        <v xml:space="preserve">-                             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24.41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1</v>
      </c>
      <c r="BI82" s="3">
        <v>4.0999999999999996</v>
      </c>
      <c r="BJ82" s="3">
        <v>16.2</v>
      </c>
      <c r="BK82" s="3">
        <v>17</v>
      </c>
      <c r="BL82" s="3">
        <v>98.43</v>
      </c>
      <c r="BM82" s="3">
        <v>14.76</v>
      </c>
      <c r="BN82" s="3">
        <v>113.19</v>
      </c>
      <c r="BO82" s="3">
        <v>113.19</v>
      </c>
      <c r="BP82" s="3" t="s">
        <v>85</v>
      </c>
      <c r="BQ82" s="3" t="s">
        <v>137</v>
      </c>
      <c r="BR82" s="3" t="s">
        <v>233</v>
      </c>
      <c r="BS82" s="4">
        <v>44574</v>
      </c>
      <c r="BT82" s="5">
        <v>0.39027777777777778</v>
      </c>
      <c r="BU82" s="3" t="s">
        <v>336</v>
      </c>
      <c r="BV82" s="3" t="s">
        <v>94</v>
      </c>
      <c r="BY82" s="3">
        <v>80991.83</v>
      </c>
      <c r="BZ82" s="3" t="s">
        <v>86</v>
      </c>
      <c r="CA82" s="3" t="s">
        <v>196</v>
      </c>
      <c r="CC82" s="3" t="s">
        <v>76</v>
      </c>
      <c r="CD82" s="3">
        <v>2007</v>
      </c>
      <c r="CE82" s="3" t="s">
        <v>236</v>
      </c>
      <c r="CF82" s="4">
        <v>44575</v>
      </c>
      <c r="CI82" s="3">
        <v>1</v>
      </c>
      <c r="CJ82" s="3">
        <v>1</v>
      </c>
      <c r="CK82" s="3">
        <v>42</v>
      </c>
      <c r="CL82" s="3" t="s">
        <v>88</v>
      </c>
    </row>
    <row r="83" spans="1:90" x14ac:dyDescent="0.2">
      <c r="A83" s="3" t="s">
        <v>72</v>
      </c>
      <c r="B83" s="3" t="s">
        <v>73</v>
      </c>
      <c r="C83" s="3" t="s">
        <v>74</v>
      </c>
      <c r="E83" s="3" t="str">
        <f>"009941351886"</f>
        <v>009941351886</v>
      </c>
      <c r="F83" s="4">
        <v>44574</v>
      </c>
      <c r="G83" s="3">
        <v>202207</v>
      </c>
      <c r="H83" s="3" t="s">
        <v>116</v>
      </c>
      <c r="I83" s="3" t="s">
        <v>117</v>
      </c>
      <c r="J83" s="3" t="s">
        <v>109</v>
      </c>
      <c r="K83" s="3" t="s">
        <v>78</v>
      </c>
      <c r="L83" s="3" t="s">
        <v>104</v>
      </c>
      <c r="M83" s="3" t="s">
        <v>105</v>
      </c>
      <c r="N83" s="3" t="s">
        <v>287</v>
      </c>
      <c r="O83" s="3" t="s">
        <v>110</v>
      </c>
      <c r="P83" s="3" t="str">
        <f>"                              "</f>
        <v xml:space="preserve">                              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15.46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1</v>
      </c>
      <c r="BI83" s="3">
        <v>0.3</v>
      </c>
      <c r="BJ83" s="3">
        <v>0.2</v>
      </c>
      <c r="BK83" s="3">
        <v>0.5</v>
      </c>
      <c r="BL83" s="3">
        <v>59</v>
      </c>
      <c r="BM83" s="3">
        <v>8.85</v>
      </c>
      <c r="BN83" s="3">
        <v>67.849999999999994</v>
      </c>
      <c r="BO83" s="3">
        <v>67.849999999999994</v>
      </c>
      <c r="BQ83" s="3" t="s">
        <v>337</v>
      </c>
      <c r="BR83" s="3" t="s">
        <v>238</v>
      </c>
      <c r="BS83" s="4">
        <v>44575</v>
      </c>
      <c r="BT83" s="5">
        <v>0.3888888888888889</v>
      </c>
      <c r="BU83" s="3" t="s">
        <v>338</v>
      </c>
      <c r="BV83" s="3" t="s">
        <v>94</v>
      </c>
      <c r="BY83" s="3">
        <v>1200</v>
      </c>
      <c r="BZ83" s="3" t="s">
        <v>114</v>
      </c>
      <c r="CA83" s="3" t="s">
        <v>339</v>
      </c>
      <c r="CC83" s="3" t="s">
        <v>105</v>
      </c>
      <c r="CD83" s="3">
        <v>81</v>
      </c>
      <c r="CE83" s="3" t="s">
        <v>87</v>
      </c>
      <c r="CF83" s="4">
        <v>44575</v>
      </c>
      <c r="CI83" s="3">
        <v>1</v>
      </c>
      <c r="CJ83" s="3">
        <v>1</v>
      </c>
      <c r="CK83" s="3">
        <v>21</v>
      </c>
      <c r="CL83" s="3" t="s">
        <v>88</v>
      </c>
    </row>
    <row r="84" spans="1:90" x14ac:dyDescent="0.2">
      <c r="A84" s="3" t="s">
        <v>72</v>
      </c>
      <c r="B84" s="3" t="s">
        <v>73</v>
      </c>
      <c r="C84" s="3" t="s">
        <v>74</v>
      </c>
      <c r="E84" s="3" t="str">
        <f>"009941351887"</f>
        <v>009941351887</v>
      </c>
      <c r="F84" s="4">
        <v>44575</v>
      </c>
      <c r="G84" s="3">
        <v>202207</v>
      </c>
      <c r="H84" s="3" t="s">
        <v>116</v>
      </c>
      <c r="I84" s="3" t="s">
        <v>117</v>
      </c>
      <c r="J84" s="3" t="s">
        <v>109</v>
      </c>
      <c r="K84" s="3" t="s">
        <v>78</v>
      </c>
      <c r="L84" s="3" t="s">
        <v>340</v>
      </c>
      <c r="M84" s="3" t="s">
        <v>341</v>
      </c>
      <c r="N84" s="3" t="s">
        <v>342</v>
      </c>
      <c r="O84" s="3" t="s">
        <v>110</v>
      </c>
      <c r="P84" s="3" t="str">
        <f>"                              "</f>
        <v xml:space="preserve">                              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29.95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1</v>
      </c>
      <c r="BI84" s="3">
        <v>0.5</v>
      </c>
      <c r="BJ84" s="3">
        <v>0.5</v>
      </c>
      <c r="BK84" s="3">
        <v>0.5</v>
      </c>
      <c r="BL84" s="3">
        <v>114.31</v>
      </c>
      <c r="BM84" s="3">
        <v>17.149999999999999</v>
      </c>
      <c r="BN84" s="3">
        <v>131.46</v>
      </c>
      <c r="BO84" s="3">
        <v>131.46</v>
      </c>
      <c r="BQ84" s="3" t="s">
        <v>343</v>
      </c>
      <c r="BR84" s="3" t="s">
        <v>153</v>
      </c>
      <c r="BS84" s="4">
        <v>44578</v>
      </c>
      <c r="BT84" s="5">
        <v>0.40208333333333335</v>
      </c>
      <c r="BU84" s="3" t="s">
        <v>344</v>
      </c>
      <c r="BV84" s="3" t="s">
        <v>94</v>
      </c>
      <c r="BY84" s="3">
        <v>2400</v>
      </c>
      <c r="BZ84" s="3" t="s">
        <v>114</v>
      </c>
      <c r="CA84" s="3" t="s">
        <v>345</v>
      </c>
      <c r="CC84" s="3" t="s">
        <v>341</v>
      </c>
      <c r="CD84" s="3">
        <v>1739</v>
      </c>
      <c r="CE84" s="3" t="s">
        <v>87</v>
      </c>
      <c r="CF84" s="4">
        <v>44579</v>
      </c>
      <c r="CI84" s="3">
        <v>1</v>
      </c>
      <c r="CJ84" s="3">
        <v>1</v>
      </c>
      <c r="CK84" s="3">
        <v>23</v>
      </c>
      <c r="CL84" s="3" t="s">
        <v>88</v>
      </c>
    </row>
    <row r="85" spans="1:90" x14ac:dyDescent="0.2">
      <c r="A85" s="3" t="s">
        <v>72</v>
      </c>
      <c r="B85" s="3" t="s">
        <v>73</v>
      </c>
      <c r="C85" s="3" t="s">
        <v>74</v>
      </c>
      <c r="E85" s="3" t="str">
        <f>"009941640800"</f>
        <v>009941640800</v>
      </c>
      <c r="F85" s="4">
        <v>44578</v>
      </c>
      <c r="G85" s="3">
        <v>202207</v>
      </c>
      <c r="H85" s="3" t="s">
        <v>75</v>
      </c>
      <c r="I85" s="3" t="s">
        <v>76</v>
      </c>
      <c r="J85" s="3" t="s">
        <v>77</v>
      </c>
      <c r="K85" s="3" t="s">
        <v>78</v>
      </c>
      <c r="L85" s="3" t="s">
        <v>96</v>
      </c>
      <c r="M85" s="3" t="s">
        <v>97</v>
      </c>
      <c r="N85" s="3" t="s">
        <v>91</v>
      </c>
      <c r="O85" s="3" t="s">
        <v>82</v>
      </c>
      <c r="P85" s="3" t="str">
        <f>"..                            "</f>
        <v xml:space="preserve">..                            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28.98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1</v>
      </c>
      <c r="BI85" s="3">
        <v>0.2</v>
      </c>
      <c r="BJ85" s="3">
        <v>2.4</v>
      </c>
      <c r="BK85" s="3">
        <v>3</v>
      </c>
      <c r="BL85" s="3">
        <v>110.62</v>
      </c>
      <c r="BM85" s="3">
        <v>16.59</v>
      </c>
      <c r="BN85" s="3">
        <v>127.21</v>
      </c>
      <c r="BO85" s="3">
        <v>127.21</v>
      </c>
      <c r="BQ85" s="3" t="s">
        <v>346</v>
      </c>
      <c r="BR85" s="3" t="s">
        <v>84</v>
      </c>
      <c r="BS85" s="4">
        <v>44579</v>
      </c>
      <c r="BT85" s="5">
        <v>0.45277777777777778</v>
      </c>
      <c r="BU85" s="3" t="s">
        <v>347</v>
      </c>
      <c r="BV85" s="3" t="s">
        <v>94</v>
      </c>
      <c r="BY85" s="3">
        <v>12034.18</v>
      </c>
      <c r="BZ85" s="3" t="s">
        <v>86</v>
      </c>
      <c r="CA85" s="3" t="s">
        <v>293</v>
      </c>
      <c r="CC85" s="3" t="s">
        <v>97</v>
      </c>
      <c r="CD85" s="3">
        <v>7945</v>
      </c>
      <c r="CE85" s="3" t="s">
        <v>87</v>
      </c>
      <c r="CF85" s="4">
        <v>44580</v>
      </c>
      <c r="CI85" s="3">
        <v>1</v>
      </c>
      <c r="CJ85" s="3">
        <v>1</v>
      </c>
      <c r="CK85" s="3">
        <v>31</v>
      </c>
      <c r="CL85" s="3" t="s">
        <v>88</v>
      </c>
    </row>
    <row r="86" spans="1:90" x14ac:dyDescent="0.2">
      <c r="A86" s="3" t="s">
        <v>72</v>
      </c>
      <c r="B86" s="3" t="s">
        <v>73</v>
      </c>
      <c r="C86" s="3" t="s">
        <v>74</v>
      </c>
      <c r="E86" s="3" t="str">
        <f>"009941626325"</f>
        <v>009941626325</v>
      </c>
      <c r="F86" s="4">
        <v>44578</v>
      </c>
      <c r="G86" s="3">
        <v>202207</v>
      </c>
      <c r="H86" s="3" t="s">
        <v>75</v>
      </c>
      <c r="I86" s="3" t="s">
        <v>76</v>
      </c>
      <c r="J86" s="3" t="s">
        <v>77</v>
      </c>
      <c r="K86" s="3" t="s">
        <v>78</v>
      </c>
      <c r="L86" s="3" t="s">
        <v>116</v>
      </c>
      <c r="M86" s="3" t="s">
        <v>117</v>
      </c>
      <c r="N86" s="3" t="s">
        <v>348</v>
      </c>
      <c r="O86" s="3" t="s">
        <v>110</v>
      </c>
      <c r="P86" s="3" t="str">
        <f>"..                            "</f>
        <v xml:space="preserve">..                            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15.46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1</v>
      </c>
      <c r="BI86" s="3">
        <v>1</v>
      </c>
      <c r="BJ86" s="3">
        <v>0.2</v>
      </c>
      <c r="BK86" s="3">
        <v>1</v>
      </c>
      <c r="BL86" s="3">
        <v>59</v>
      </c>
      <c r="BM86" s="3">
        <v>8.85</v>
      </c>
      <c r="BN86" s="3">
        <v>67.849999999999994</v>
      </c>
      <c r="BO86" s="3">
        <v>67.849999999999994</v>
      </c>
      <c r="BQ86" s="3" t="s">
        <v>98</v>
      </c>
      <c r="BR86" s="3" t="s">
        <v>349</v>
      </c>
      <c r="BS86" s="4">
        <v>44579</v>
      </c>
      <c r="BT86" s="5">
        <v>0.34652777777777777</v>
      </c>
      <c r="BU86" s="3" t="s">
        <v>350</v>
      </c>
      <c r="BV86" s="3" t="s">
        <v>94</v>
      </c>
      <c r="BY86" s="3">
        <v>1200</v>
      </c>
      <c r="BZ86" s="3" t="s">
        <v>114</v>
      </c>
      <c r="CA86" s="3" t="s">
        <v>351</v>
      </c>
      <c r="CC86" s="3" t="s">
        <v>117</v>
      </c>
      <c r="CD86" s="3">
        <v>3629</v>
      </c>
      <c r="CE86" s="3" t="s">
        <v>87</v>
      </c>
      <c r="CF86" s="4">
        <v>44580</v>
      </c>
      <c r="CI86" s="3">
        <v>1</v>
      </c>
      <c r="CJ86" s="3">
        <v>1</v>
      </c>
      <c r="CK86" s="3">
        <v>21</v>
      </c>
      <c r="CL86" s="3" t="s">
        <v>88</v>
      </c>
    </row>
    <row r="87" spans="1:90" x14ac:dyDescent="0.2">
      <c r="A87" s="3" t="s">
        <v>72</v>
      </c>
      <c r="B87" s="3" t="s">
        <v>73</v>
      </c>
      <c r="C87" s="3" t="s">
        <v>74</v>
      </c>
      <c r="E87" s="3" t="str">
        <f>"009941640801"</f>
        <v>009941640801</v>
      </c>
      <c r="F87" s="4">
        <v>44578</v>
      </c>
      <c r="G87" s="3">
        <v>202207</v>
      </c>
      <c r="H87" s="3" t="s">
        <v>75</v>
      </c>
      <c r="I87" s="3" t="s">
        <v>76</v>
      </c>
      <c r="J87" s="3" t="s">
        <v>77</v>
      </c>
      <c r="K87" s="3" t="s">
        <v>78</v>
      </c>
      <c r="L87" s="3" t="s">
        <v>116</v>
      </c>
      <c r="M87" s="3" t="s">
        <v>117</v>
      </c>
      <c r="N87" s="3" t="s">
        <v>91</v>
      </c>
      <c r="O87" s="3" t="s">
        <v>82</v>
      </c>
      <c r="P87" s="3" t="str">
        <f>"..                            "</f>
        <v xml:space="preserve">..                            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79.7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1</v>
      </c>
      <c r="BI87" s="3">
        <v>1.8</v>
      </c>
      <c r="BJ87" s="3">
        <v>10.199999999999999</v>
      </c>
      <c r="BK87" s="3">
        <v>11</v>
      </c>
      <c r="BL87" s="3">
        <v>304.20999999999998</v>
      </c>
      <c r="BM87" s="3">
        <v>45.63</v>
      </c>
      <c r="BN87" s="3">
        <v>349.84</v>
      </c>
      <c r="BO87" s="3">
        <v>349.84</v>
      </c>
      <c r="BQ87" s="3" t="s">
        <v>352</v>
      </c>
      <c r="BR87" s="3" t="s">
        <v>84</v>
      </c>
      <c r="BS87" s="4">
        <v>44579</v>
      </c>
      <c r="BT87" s="5">
        <v>0.52083333333333337</v>
      </c>
      <c r="BU87" s="3" t="s">
        <v>353</v>
      </c>
      <c r="BV87" s="3" t="s">
        <v>94</v>
      </c>
      <c r="BY87" s="3">
        <v>51236.639999999999</v>
      </c>
      <c r="BZ87" s="3" t="s">
        <v>86</v>
      </c>
      <c r="CA87" s="3" t="s">
        <v>354</v>
      </c>
      <c r="CC87" s="3" t="s">
        <v>117</v>
      </c>
      <c r="CD87" s="3">
        <v>4068</v>
      </c>
      <c r="CE87" s="3" t="s">
        <v>87</v>
      </c>
      <c r="CF87" s="4">
        <v>44580</v>
      </c>
      <c r="CI87" s="3">
        <v>1</v>
      </c>
      <c r="CJ87" s="3">
        <v>1</v>
      </c>
      <c r="CK87" s="3">
        <v>31</v>
      </c>
      <c r="CL87" s="3" t="s">
        <v>88</v>
      </c>
    </row>
    <row r="88" spans="1:90" x14ac:dyDescent="0.2">
      <c r="A88" s="3" t="s">
        <v>72</v>
      </c>
      <c r="B88" s="3" t="s">
        <v>73</v>
      </c>
      <c r="C88" s="3" t="s">
        <v>74</v>
      </c>
      <c r="E88" s="3" t="str">
        <f>"009941640802"</f>
        <v>009941640802</v>
      </c>
      <c r="F88" s="4">
        <v>44578</v>
      </c>
      <c r="G88" s="3">
        <v>202207</v>
      </c>
      <c r="H88" s="3" t="s">
        <v>75</v>
      </c>
      <c r="I88" s="3" t="s">
        <v>76</v>
      </c>
      <c r="J88" s="3" t="s">
        <v>77</v>
      </c>
      <c r="K88" s="3" t="s">
        <v>78</v>
      </c>
      <c r="L88" s="3" t="s">
        <v>75</v>
      </c>
      <c r="M88" s="3" t="s">
        <v>76</v>
      </c>
      <c r="N88" s="3" t="s">
        <v>91</v>
      </c>
      <c r="O88" s="3" t="s">
        <v>130</v>
      </c>
      <c r="P88" s="3" t="str">
        <f>"..                            "</f>
        <v xml:space="preserve">..                            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23.06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1</v>
      </c>
      <c r="BI88" s="3">
        <v>0.2</v>
      </c>
      <c r="BJ88" s="3">
        <v>2.8</v>
      </c>
      <c r="BK88" s="3">
        <v>3</v>
      </c>
      <c r="BL88" s="3">
        <v>93.28</v>
      </c>
      <c r="BM88" s="3">
        <v>13.99</v>
      </c>
      <c r="BN88" s="3">
        <v>107.27</v>
      </c>
      <c r="BO88" s="3">
        <v>107.27</v>
      </c>
      <c r="BQ88" s="3" t="s">
        <v>355</v>
      </c>
      <c r="BR88" s="3" t="s">
        <v>84</v>
      </c>
      <c r="BS88" s="4">
        <v>44579</v>
      </c>
      <c r="BT88" s="5">
        <v>0.35625000000000001</v>
      </c>
      <c r="BU88" s="3" t="s">
        <v>356</v>
      </c>
      <c r="BV88" s="3" t="s">
        <v>94</v>
      </c>
      <c r="BY88" s="3">
        <v>14153.02</v>
      </c>
      <c r="BZ88" s="3" t="s">
        <v>86</v>
      </c>
      <c r="CA88" s="3" t="s">
        <v>223</v>
      </c>
      <c r="CC88" s="3" t="s">
        <v>76</v>
      </c>
      <c r="CD88" s="3">
        <v>2192</v>
      </c>
      <c r="CE88" s="3" t="s">
        <v>87</v>
      </c>
      <c r="CF88" s="4">
        <v>44579</v>
      </c>
      <c r="CI88" s="3">
        <v>1</v>
      </c>
      <c r="CJ88" s="3">
        <v>1</v>
      </c>
      <c r="CK88" s="3">
        <v>42</v>
      </c>
      <c r="CL88" s="3" t="s">
        <v>88</v>
      </c>
    </row>
    <row r="89" spans="1:90" x14ac:dyDescent="0.2">
      <c r="A89" s="3" t="s">
        <v>72</v>
      </c>
      <c r="B89" s="3" t="s">
        <v>73</v>
      </c>
      <c r="C89" s="3" t="s">
        <v>74</v>
      </c>
      <c r="E89" s="3" t="str">
        <f>"009942456545"</f>
        <v>009942456545</v>
      </c>
      <c r="F89" s="4">
        <v>44578</v>
      </c>
      <c r="G89" s="3">
        <v>202207</v>
      </c>
      <c r="H89" s="3" t="s">
        <v>75</v>
      </c>
      <c r="I89" s="3" t="s">
        <v>76</v>
      </c>
      <c r="J89" s="3" t="s">
        <v>123</v>
      </c>
      <c r="K89" s="3" t="s">
        <v>78</v>
      </c>
      <c r="L89" s="3" t="s">
        <v>75</v>
      </c>
      <c r="M89" s="3" t="s">
        <v>76</v>
      </c>
      <c r="N89" s="3" t="s">
        <v>136</v>
      </c>
      <c r="O89" s="3" t="s">
        <v>110</v>
      </c>
      <c r="P89" s="3" t="str">
        <f>"..                            "</f>
        <v xml:space="preserve">..                            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12.07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1</v>
      </c>
      <c r="BI89" s="3">
        <v>1</v>
      </c>
      <c r="BJ89" s="3">
        <v>0.2</v>
      </c>
      <c r="BK89" s="3">
        <v>1</v>
      </c>
      <c r="BL89" s="3">
        <v>46.08</v>
      </c>
      <c r="BM89" s="3">
        <v>6.91</v>
      </c>
      <c r="BN89" s="3">
        <v>52.99</v>
      </c>
      <c r="BO89" s="3">
        <v>52.99</v>
      </c>
      <c r="BQ89" s="3" t="s">
        <v>98</v>
      </c>
      <c r="BR89" s="3" t="s">
        <v>137</v>
      </c>
      <c r="BS89" s="4">
        <v>44579</v>
      </c>
      <c r="BT89" s="5">
        <v>0.32708333333333334</v>
      </c>
      <c r="BU89" s="3" t="s">
        <v>113</v>
      </c>
      <c r="BV89" s="3" t="s">
        <v>94</v>
      </c>
      <c r="BY89" s="3">
        <v>1200</v>
      </c>
      <c r="BZ89" s="3" t="s">
        <v>114</v>
      </c>
      <c r="CA89" s="3" t="s">
        <v>115</v>
      </c>
      <c r="CC89" s="3" t="s">
        <v>76</v>
      </c>
      <c r="CD89" s="3">
        <v>2013</v>
      </c>
      <c r="CE89" s="3" t="s">
        <v>87</v>
      </c>
      <c r="CF89" s="4">
        <v>44580</v>
      </c>
      <c r="CI89" s="3">
        <v>1</v>
      </c>
      <c r="CJ89" s="3">
        <v>1</v>
      </c>
      <c r="CK89" s="3">
        <v>22</v>
      </c>
      <c r="CL89" s="3" t="s">
        <v>88</v>
      </c>
    </row>
    <row r="90" spans="1:90" x14ac:dyDescent="0.2">
      <c r="A90" s="3" t="s">
        <v>72</v>
      </c>
      <c r="B90" s="3" t="s">
        <v>73</v>
      </c>
      <c r="C90" s="3" t="s">
        <v>74</v>
      </c>
      <c r="E90" s="3" t="str">
        <f>"009941985996"</f>
        <v>009941985996</v>
      </c>
      <c r="F90" s="4">
        <v>44578</v>
      </c>
      <c r="G90" s="3">
        <v>202207</v>
      </c>
      <c r="H90" s="3" t="s">
        <v>183</v>
      </c>
      <c r="I90" s="3" t="s">
        <v>184</v>
      </c>
      <c r="J90" s="3" t="s">
        <v>265</v>
      </c>
      <c r="K90" s="3" t="s">
        <v>78</v>
      </c>
      <c r="L90" s="3" t="s">
        <v>75</v>
      </c>
      <c r="M90" s="3" t="s">
        <v>76</v>
      </c>
      <c r="N90" s="3" t="s">
        <v>123</v>
      </c>
      <c r="O90" s="3" t="s">
        <v>130</v>
      </c>
      <c r="P90" s="3" t="str">
        <f>"YOGITA                        "</f>
        <v xml:space="preserve">YOGITA                        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42.16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1</v>
      </c>
      <c r="BI90" s="3">
        <v>1</v>
      </c>
      <c r="BJ90" s="3">
        <v>0.2</v>
      </c>
      <c r="BK90" s="3">
        <v>1</v>
      </c>
      <c r="BL90" s="3">
        <v>166.16</v>
      </c>
      <c r="BM90" s="3">
        <v>24.92</v>
      </c>
      <c r="BN90" s="3">
        <v>191.08</v>
      </c>
      <c r="BO90" s="3">
        <v>191.08</v>
      </c>
      <c r="BQ90" s="3" t="s">
        <v>357</v>
      </c>
      <c r="BR90" s="3" t="s">
        <v>358</v>
      </c>
      <c r="BS90" s="4">
        <v>44579</v>
      </c>
      <c r="BT90" s="5">
        <v>0.32708333333333334</v>
      </c>
      <c r="BU90" s="3" t="s">
        <v>113</v>
      </c>
      <c r="BV90" s="3" t="s">
        <v>94</v>
      </c>
      <c r="BY90" s="3">
        <v>1200</v>
      </c>
      <c r="BZ90" s="3" t="s">
        <v>86</v>
      </c>
      <c r="CA90" s="3" t="s">
        <v>115</v>
      </c>
      <c r="CC90" s="3" t="s">
        <v>76</v>
      </c>
      <c r="CD90" s="3">
        <v>2013</v>
      </c>
      <c r="CE90" s="3" t="s">
        <v>87</v>
      </c>
      <c r="CF90" s="4">
        <v>44580</v>
      </c>
      <c r="CI90" s="3">
        <v>1</v>
      </c>
      <c r="CJ90" s="3">
        <v>1</v>
      </c>
      <c r="CK90" s="3">
        <v>43</v>
      </c>
      <c r="CL90" s="3" t="s">
        <v>88</v>
      </c>
    </row>
    <row r="91" spans="1:90" x14ac:dyDescent="0.2">
      <c r="A91" s="3" t="s">
        <v>72</v>
      </c>
      <c r="B91" s="3" t="s">
        <v>73</v>
      </c>
      <c r="C91" s="3" t="s">
        <v>74</v>
      </c>
      <c r="E91" s="3" t="str">
        <f>"009941300355"</f>
        <v>009941300355</v>
      </c>
      <c r="F91" s="4">
        <v>44579</v>
      </c>
      <c r="G91" s="3">
        <v>202207</v>
      </c>
      <c r="H91" s="3" t="s">
        <v>140</v>
      </c>
      <c r="I91" s="3" t="s">
        <v>141</v>
      </c>
      <c r="J91" s="3" t="s">
        <v>359</v>
      </c>
      <c r="K91" s="3" t="s">
        <v>78</v>
      </c>
      <c r="L91" s="3" t="s">
        <v>75</v>
      </c>
      <c r="M91" s="3" t="s">
        <v>76</v>
      </c>
      <c r="N91" s="3" t="s">
        <v>109</v>
      </c>
      <c r="O91" s="3" t="s">
        <v>130</v>
      </c>
      <c r="P91" s="3" t="str">
        <f>"                              "</f>
        <v xml:space="preserve">                              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29.89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1</v>
      </c>
      <c r="BI91" s="3">
        <v>1</v>
      </c>
      <c r="BJ91" s="3">
        <v>0.2</v>
      </c>
      <c r="BK91" s="3">
        <v>1</v>
      </c>
      <c r="BL91" s="3">
        <v>119.34</v>
      </c>
      <c r="BM91" s="3">
        <v>17.899999999999999</v>
      </c>
      <c r="BN91" s="3">
        <v>137.24</v>
      </c>
      <c r="BO91" s="3">
        <v>137.24</v>
      </c>
      <c r="BQ91" s="3" t="s">
        <v>162</v>
      </c>
      <c r="BS91" s="4">
        <v>44580</v>
      </c>
      <c r="BT91" s="5">
        <v>0.36319444444444443</v>
      </c>
      <c r="BU91" s="3" t="s">
        <v>113</v>
      </c>
      <c r="BV91" s="3" t="s">
        <v>94</v>
      </c>
      <c r="BY91" s="3">
        <v>1200</v>
      </c>
      <c r="BZ91" s="3" t="s">
        <v>86</v>
      </c>
      <c r="CA91" s="3" t="s">
        <v>115</v>
      </c>
      <c r="CC91" s="3" t="s">
        <v>76</v>
      </c>
      <c r="CD91" s="3">
        <v>2013</v>
      </c>
      <c r="CE91" s="3" t="s">
        <v>87</v>
      </c>
      <c r="CF91" s="4">
        <v>44581</v>
      </c>
      <c r="CI91" s="3">
        <v>1</v>
      </c>
      <c r="CJ91" s="3">
        <v>1</v>
      </c>
      <c r="CK91" s="3">
        <v>41</v>
      </c>
      <c r="CL91" s="3" t="s">
        <v>88</v>
      </c>
    </row>
    <row r="92" spans="1:90" x14ac:dyDescent="0.2">
      <c r="A92" s="3" t="s">
        <v>72</v>
      </c>
      <c r="B92" s="3" t="s">
        <v>73</v>
      </c>
      <c r="C92" s="3" t="s">
        <v>74</v>
      </c>
      <c r="E92" s="3" t="str">
        <f>"080010369606"</f>
        <v>080010369606</v>
      </c>
      <c r="F92" s="4">
        <v>44579</v>
      </c>
      <c r="G92" s="3">
        <v>202207</v>
      </c>
      <c r="H92" s="3" t="s">
        <v>96</v>
      </c>
      <c r="I92" s="3" t="s">
        <v>97</v>
      </c>
      <c r="J92" s="3" t="s">
        <v>360</v>
      </c>
      <c r="K92" s="3" t="s">
        <v>78</v>
      </c>
      <c r="L92" s="3" t="s">
        <v>75</v>
      </c>
      <c r="M92" s="3" t="s">
        <v>76</v>
      </c>
      <c r="N92" s="3" t="s">
        <v>109</v>
      </c>
      <c r="O92" s="3" t="s">
        <v>110</v>
      </c>
      <c r="P92" s="3" t="str">
        <f>"-                             "</f>
        <v xml:space="preserve">-                             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15.46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1</v>
      </c>
      <c r="BI92" s="3">
        <v>0.5</v>
      </c>
      <c r="BJ92" s="3">
        <v>1.8</v>
      </c>
      <c r="BK92" s="3">
        <v>2</v>
      </c>
      <c r="BL92" s="3">
        <v>59</v>
      </c>
      <c r="BM92" s="3">
        <v>8.85</v>
      </c>
      <c r="BN92" s="3">
        <v>67.849999999999994</v>
      </c>
      <c r="BO92" s="3">
        <v>67.849999999999994</v>
      </c>
      <c r="BP92" s="3" t="s">
        <v>85</v>
      </c>
      <c r="BQ92" s="3" t="s">
        <v>361</v>
      </c>
      <c r="BR92" s="3" t="s">
        <v>362</v>
      </c>
      <c r="BS92" s="4">
        <v>44580</v>
      </c>
      <c r="BT92" s="5">
        <v>0.35902777777777778</v>
      </c>
      <c r="BU92" s="3" t="s">
        <v>113</v>
      </c>
      <c r="BV92" s="3" t="s">
        <v>94</v>
      </c>
      <c r="BY92" s="3">
        <v>9202.0499999999993</v>
      </c>
      <c r="BZ92" s="3" t="s">
        <v>114</v>
      </c>
      <c r="CA92" s="3" t="s">
        <v>115</v>
      </c>
      <c r="CC92" s="3" t="s">
        <v>76</v>
      </c>
      <c r="CD92" s="3">
        <v>2013</v>
      </c>
      <c r="CE92" s="3" t="s">
        <v>363</v>
      </c>
      <c r="CF92" s="4">
        <v>44581</v>
      </c>
      <c r="CI92" s="3">
        <v>1</v>
      </c>
      <c r="CJ92" s="3">
        <v>1</v>
      </c>
      <c r="CK92" s="3">
        <v>21</v>
      </c>
      <c r="CL92" s="3" t="s">
        <v>88</v>
      </c>
    </row>
    <row r="93" spans="1:90" x14ac:dyDescent="0.2">
      <c r="A93" s="3" t="s">
        <v>72</v>
      </c>
      <c r="B93" s="3" t="s">
        <v>73</v>
      </c>
      <c r="C93" s="3" t="s">
        <v>74</v>
      </c>
      <c r="E93" s="3" t="str">
        <f>"009941640798"</f>
        <v>009941640798</v>
      </c>
      <c r="F93" s="4">
        <v>44579</v>
      </c>
      <c r="G93" s="3">
        <v>202207</v>
      </c>
      <c r="H93" s="3" t="s">
        <v>75</v>
      </c>
      <c r="I93" s="3" t="s">
        <v>76</v>
      </c>
      <c r="J93" s="3" t="s">
        <v>77</v>
      </c>
      <c r="K93" s="3" t="s">
        <v>78</v>
      </c>
      <c r="L93" s="3" t="s">
        <v>116</v>
      </c>
      <c r="M93" s="3" t="s">
        <v>117</v>
      </c>
      <c r="N93" s="3" t="s">
        <v>91</v>
      </c>
      <c r="O93" s="3" t="s">
        <v>82</v>
      </c>
      <c r="P93" s="3" t="str">
        <f>"..                            "</f>
        <v xml:space="preserve">..                            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28.98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1</v>
      </c>
      <c r="BI93" s="3">
        <v>0.2</v>
      </c>
      <c r="BJ93" s="3">
        <v>2.5</v>
      </c>
      <c r="BK93" s="3">
        <v>3</v>
      </c>
      <c r="BL93" s="3">
        <v>110.62</v>
      </c>
      <c r="BM93" s="3">
        <v>16.59</v>
      </c>
      <c r="BN93" s="3">
        <v>127.21</v>
      </c>
      <c r="BO93" s="3">
        <v>127.21</v>
      </c>
      <c r="BQ93" s="3" t="s">
        <v>364</v>
      </c>
      <c r="BR93" s="3" t="s">
        <v>84</v>
      </c>
      <c r="BS93" s="4">
        <v>44581</v>
      </c>
      <c r="BT93" s="5">
        <v>0.61041666666666672</v>
      </c>
      <c r="BU93" s="3" t="s">
        <v>365</v>
      </c>
      <c r="BV93" s="3" t="s">
        <v>88</v>
      </c>
      <c r="BW93" s="3" t="s">
        <v>165</v>
      </c>
      <c r="BX93" s="3" t="s">
        <v>263</v>
      </c>
      <c r="BY93" s="3">
        <v>12487.71</v>
      </c>
      <c r="BZ93" s="3" t="s">
        <v>86</v>
      </c>
      <c r="CA93" s="3" t="s">
        <v>366</v>
      </c>
      <c r="CC93" s="3" t="s">
        <v>117</v>
      </c>
      <c r="CD93" s="3">
        <v>4051</v>
      </c>
      <c r="CE93" s="3" t="s">
        <v>87</v>
      </c>
      <c r="CF93" s="4">
        <v>44582</v>
      </c>
      <c r="CI93" s="3">
        <v>1</v>
      </c>
      <c r="CJ93" s="3">
        <v>2</v>
      </c>
      <c r="CK93" s="3">
        <v>31</v>
      </c>
      <c r="CL93" s="3" t="s">
        <v>88</v>
      </c>
    </row>
    <row r="94" spans="1:90" x14ac:dyDescent="0.2">
      <c r="A94" s="3" t="s">
        <v>72</v>
      </c>
      <c r="B94" s="3" t="s">
        <v>73</v>
      </c>
      <c r="C94" s="3" t="s">
        <v>74</v>
      </c>
      <c r="E94" s="3" t="str">
        <f>"009941590694"</f>
        <v>009941590694</v>
      </c>
      <c r="F94" s="4">
        <v>44579</v>
      </c>
      <c r="G94" s="3">
        <v>202207</v>
      </c>
      <c r="H94" s="3" t="s">
        <v>96</v>
      </c>
      <c r="I94" s="3" t="s">
        <v>97</v>
      </c>
      <c r="J94" s="3" t="s">
        <v>123</v>
      </c>
      <c r="K94" s="3" t="s">
        <v>78</v>
      </c>
      <c r="L94" s="3" t="s">
        <v>75</v>
      </c>
      <c r="M94" s="3" t="s">
        <v>76</v>
      </c>
      <c r="N94" s="3" t="s">
        <v>109</v>
      </c>
      <c r="O94" s="3" t="s">
        <v>130</v>
      </c>
      <c r="P94" s="3" t="str">
        <f>"                              "</f>
        <v xml:space="preserve">                              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29.89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1</v>
      </c>
      <c r="BI94" s="3">
        <v>0.3</v>
      </c>
      <c r="BJ94" s="3">
        <v>2.2000000000000002</v>
      </c>
      <c r="BK94" s="3">
        <v>3</v>
      </c>
      <c r="BL94" s="3">
        <v>119.34</v>
      </c>
      <c r="BM94" s="3">
        <v>17.899999999999999</v>
      </c>
      <c r="BN94" s="3">
        <v>137.24</v>
      </c>
      <c r="BO94" s="3">
        <v>137.24</v>
      </c>
      <c r="BR94" s="3" t="s">
        <v>313</v>
      </c>
      <c r="BS94" s="4">
        <v>44581</v>
      </c>
      <c r="BT94" s="5">
        <v>0.31805555555555554</v>
      </c>
      <c r="BU94" s="3" t="s">
        <v>113</v>
      </c>
      <c r="BV94" s="3" t="s">
        <v>94</v>
      </c>
      <c r="BY94" s="3">
        <v>10961.73</v>
      </c>
      <c r="BZ94" s="3" t="s">
        <v>86</v>
      </c>
      <c r="CA94" s="3" t="s">
        <v>115</v>
      </c>
      <c r="CC94" s="3" t="s">
        <v>76</v>
      </c>
      <c r="CD94" s="3">
        <v>2013</v>
      </c>
      <c r="CE94" s="3" t="s">
        <v>87</v>
      </c>
      <c r="CF94" s="4">
        <v>44581</v>
      </c>
      <c r="CI94" s="3">
        <v>2</v>
      </c>
      <c r="CJ94" s="3">
        <v>2</v>
      </c>
      <c r="CK94" s="3">
        <v>41</v>
      </c>
      <c r="CL94" s="3" t="s">
        <v>88</v>
      </c>
    </row>
    <row r="95" spans="1:90" x14ac:dyDescent="0.2">
      <c r="A95" s="3" t="s">
        <v>72</v>
      </c>
      <c r="B95" s="3" t="s">
        <v>73</v>
      </c>
      <c r="C95" s="3" t="s">
        <v>74</v>
      </c>
      <c r="E95" s="3" t="str">
        <f>"009941507293"</f>
        <v>009941507293</v>
      </c>
      <c r="F95" s="4">
        <v>44573</v>
      </c>
      <c r="G95" s="3">
        <v>202207</v>
      </c>
      <c r="H95" s="3" t="s">
        <v>116</v>
      </c>
      <c r="I95" s="3" t="s">
        <v>117</v>
      </c>
      <c r="J95" s="3" t="s">
        <v>109</v>
      </c>
      <c r="K95" s="3" t="s">
        <v>78</v>
      </c>
      <c r="L95" s="3" t="s">
        <v>75</v>
      </c>
      <c r="M95" s="3" t="s">
        <v>76</v>
      </c>
      <c r="N95" s="3" t="s">
        <v>109</v>
      </c>
      <c r="O95" s="3" t="s">
        <v>130</v>
      </c>
      <c r="P95" s="3" t="str">
        <f>"                              "</f>
        <v xml:space="preserve">                              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29.89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1</v>
      </c>
      <c r="BI95" s="3">
        <v>1</v>
      </c>
      <c r="BJ95" s="3">
        <v>2.4</v>
      </c>
      <c r="BK95" s="3">
        <v>3</v>
      </c>
      <c r="BL95" s="3">
        <v>119.34</v>
      </c>
      <c r="BM95" s="3">
        <v>17.899999999999999</v>
      </c>
      <c r="BN95" s="3">
        <v>137.24</v>
      </c>
      <c r="BO95" s="3">
        <v>137.24</v>
      </c>
      <c r="BS95" s="4">
        <v>44574</v>
      </c>
      <c r="BT95" s="5">
        <v>0.31736111111111115</v>
      </c>
      <c r="BU95" s="3" t="s">
        <v>113</v>
      </c>
      <c r="BV95" s="3" t="s">
        <v>94</v>
      </c>
      <c r="BY95" s="3">
        <v>12000</v>
      </c>
      <c r="BZ95" s="3" t="s">
        <v>207</v>
      </c>
      <c r="CA95" s="3" t="s">
        <v>115</v>
      </c>
      <c r="CC95" s="3" t="s">
        <v>76</v>
      </c>
      <c r="CD95" s="3">
        <v>2013</v>
      </c>
      <c r="CE95" s="3" t="s">
        <v>87</v>
      </c>
      <c r="CF95" s="4">
        <v>44575</v>
      </c>
      <c r="CI95" s="3">
        <v>1</v>
      </c>
      <c r="CJ95" s="3">
        <v>1</v>
      </c>
      <c r="CK95" s="3">
        <v>41</v>
      </c>
      <c r="CL95" s="3" t="s">
        <v>88</v>
      </c>
    </row>
    <row r="96" spans="1:90" x14ac:dyDescent="0.2">
      <c r="A96" s="3" t="s">
        <v>72</v>
      </c>
      <c r="B96" s="3" t="s">
        <v>73</v>
      </c>
      <c r="C96" s="3" t="s">
        <v>74</v>
      </c>
      <c r="E96" s="3" t="str">
        <f>"009941300005"</f>
        <v>009941300005</v>
      </c>
      <c r="F96" s="4">
        <v>44580</v>
      </c>
      <c r="G96" s="3">
        <v>202207</v>
      </c>
      <c r="H96" s="3" t="s">
        <v>224</v>
      </c>
      <c r="I96" s="3" t="s">
        <v>225</v>
      </c>
      <c r="J96" s="3" t="s">
        <v>77</v>
      </c>
      <c r="K96" s="3" t="s">
        <v>78</v>
      </c>
      <c r="L96" s="3" t="s">
        <v>75</v>
      </c>
      <c r="M96" s="3" t="s">
        <v>76</v>
      </c>
      <c r="N96" s="3" t="s">
        <v>367</v>
      </c>
      <c r="O96" s="3" t="s">
        <v>130</v>
      </c>
      <c r="P96" s="3" t="str">
        <f>"..                            "</f>
        <v xml:space="preserve">..                            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23.06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1</v>
      </c>
      <c r="BI96" s="3">
        <v>1</v>
      </c>
      <c r="BJ96" s="3">
        <v>0.2</v>
      </c>
      <c r="BK96" s="3">
        <v>1</v>
      </c>
      <c r="BL96" s="3">
        <v>93.28</v>
      </c>
      <c r="BM96" s="3">
        <v>13.99</v>
      </c>
      <c r="BN96" s="3">
        <v>107.27</v>
      </c>
      <c r="BO96" s="3">
        <v>107.27</v>
      </c>
      <c r="BQ96" s="3" t="s">
        <v>98</v>
      </c>
      <c r="BR96" s="3" t="s">
        <v>98</v>
      </c>
      <c r="BS96" s="4">
        <v>44581</v>
      </c>
      <c r="BT96" s="5">
        <v>0.31805555555555554</v>
      </c>
      <c r="BU96" s="3" t="s">
        <v>113</v>
      </c>
      <c r="BV96" s="3" t="s">
        <v>94</v>
      </c>
      <c r="BY96" s="3">
        <v>1200</v>
      </c>
      <c r="BZ96" s="3" t="s">
        <v>86</v>
      </c>
      <c r="CA96" s="3" t="s">
        <v>115</v>
      </c>
      <c r="CC96" s="3" t="s">
        <v>76</v>
      </c>
      <c r="CD96" s="3">
        <v>2013</v>
      </c>
      <c r="CE96" s="3" t="s">
        <v>87</v>
      </c>
      <c r="CF96" s="4">
        <v>44581</v>
      </c>
      <c r="CI96" s="3">
        <v>1</v>
      </c>
      <c r="CJ96" s="3">
        <v>1</v>
      </c>
      <c r="CK96" s="3">
        <v>42</v>
      </c>
      <c r="CL96" s="3" t="s">
        <v>88</v>
      </c>
    </row>
    <row r="97" spans="1:90" x14ac:dyDescent="0.2">
      <c r="A97" s="3" t="s">
        <v>72</v>
      </c>
      <c r="B97" s="3" t="s">
        <v>73</v>
      </c>
      <c r="C97" s="3" t="s">
        <v>74</v>
      </c>
      <c r="E97" s="3" t="str">
        <f>"009941123300"</f>
        <v>009941123300</v>
      </c>
      <c r="F97" s="4">
        <v>44580</v>
      </c>
      <c r="G97" s="3">
        <v>202207</v>
      </c>
      <c r="H97" s="3" t="s">
        <v>116</v>
      </c>
      <c r="I97" s="3" t="s">
        <v>117</v>
      </c>
      <c r="J97" s="3" t="s">
        <v>123</v>
      </c>
      <c r="K97" s="3" t="s">
        <v>78</v>
      </c>
      <c r="L97" s="3" t="s">
        <v>75</v>
      </c>
      <c r="M97" s="3" t="s">
        <v>76</v>
      </c>
      <c r="N97" s="3" t="s">
        <v>109</v>
      </c>
      <c r="O97" s="3" t="s">
        <v>110</v>
      </c>
      <c r="P97" s="3" t="str">
        <f>"                              "</f>
        <v xml:space="preserve">                              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92.7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1</v>
      </c>
      <c r="BI97" s="3">
        <v>12</v>
      </c>
      <c r="BJ97" s="3">
        <v>0.2</v>
      </c>
      <c r="BK97" s="3">
        <v>12</v>
      </c>
      <c r="BL97" s="3">
        <v>353.84</v>
      </c>
      <c r="BM97" s="3">
        <v>53.08</v>
      </c>
      <c r="BN97" s="3">
        <v>406.92</v>
      </c>
      <c r="BO97" s="3">
        <v>406.92</v>
      </c>
      <c r="BR97" s="3" t="s">
        <v>137</v>
      </c>
      <c r="BS97" s="4">
        <v>44581</v>
      </c>
      <c r="BT97" s="5">
        <v>0.3215277777777778</v>
      </c>
      <c r="BU97" s="3" t="s">
        <v>113</v>
      </c>
      <c r="BV97" s="3" t="s">
        <v>94</v>
      </c>
      <c r="BY97" s="3">
        <v>1200</v>
      </c>
      <c r="BZ97" s="3" t="s">
        <v>114</v>
      </c>
      <c r="CA97" s="3" t="s">
        <v>115</v>
      </c>
      <c r="CC97" s="3" t="s">
        <v>76</v>
      </c>
      <c r="CD97" s="3">
        <v>2013</v>
      </c>
      <c r="CE97" s="3" t="s">
        <v>87</v>
      </c>
      <c r="CF97" s="4">
        <v>44581</v>
      </c>
      <c r="CI97" s="3">
        <v>1</v>
      </c>
      <c r="CJ97" s="3">
        <v>1</v>
      </c>
      <c r="CK97" s="3">
        <v>21</v>
      </c>
      <c r="CL97" s="3" t="s">
        <v>88</v>
      </c>
    </row>
    <row r="98" spans="1:90" x14ac:dyDescent="0.2">
      <c r="A98" s="3" t="s">
        <v>72</v>
      </c>
      <c r="B98" s="3" t="s">
        <v>73</v>
      </c>
      <c r="C98" s="3" t="s">
        <v>74</v>
      </c>
      <c r="E98" s="3" t="str">
        <f>"009941640799"</f>
        <v>009941640799</v>
      </c>
      <c r="F98" s="4">
        <v>44579</v>
      </c>
      <c r="G98" s="3">
        <v>202207</v>
      </c>
      <c r="H98" s="3" t="s">
        <v>75</v>
      </c>
      <c r="I98" s="3" t="s">
        <v>76</v>
      </c>
      <c r="J98" s="3" t="s">
        <v>77</v>
      </c>
      <c r="K98" s="3" t="s">
        <v>78</v>
      </c>
      <c r="L98" s="3" t="s">
        <v>116</v>
      </c>
      <c r="M98" s="3" t="s">
        <v>117</v>
      </c>
      <c r="N98" s="3" t="s">
        <v>91</v>
      </c>
      <c r="O98" s="3" t="s">
        <v>82</v>
      </c>
      <c r="P98" s="3" t="str">
        <f>"..                            "</f>
        <v xml:space="preserve">..                            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36.229999999999997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1</v>
      </c>
      <c r="BI98" s="3">
        <v>5</v>
      </c>
      <c r="BJ98" s="3">
        <v>4.8</v>
      </c>
      <c r="BK98" s="3">
        <v>5</v>
      </c>
      <c r="BL98" s="3">
        <v>138.28</v>
      </c>
      <c r="BM98" s="3">
        <v>20.74</v>
      </c>
      <c r="BN98" s="3">
        <v>159.02000000000001</v>
      </c>
      <c r="BO98" s="3">
        <v>159.02000000000001</v>
      </c>
      <c r="BQ98" s="3" t="s">
        <v>368</v>
      </c>
      <c r="BR98" s="3" t="s">
        <v>84</v>
      </c>
      <c r="BS98" s="4">
        <v>44581</v>
      </c>
      <c r="BT98" s="5">
        <v>0.38194444444444442</v>
      </c>
      <c r="BU98" s="3" t="s">
        <v>369</v>
      </c>
      <c r="BV98" s="3" t="s">
        <v>88</v>
      </c>
      <c r="BW98" s="3" t="s">
        <v>138</v>
      </c>
      <c r="BX98" s="3" t="s">
        <v>263</v>
      </c>
      <c r="BY98" s="3">
        <v>24000</v>
      </c>
      <c r="BZ98" s="3" t="s">
        <v>86</v>
      </c>
      <c r="CC98" s="3" t="s">
        <v>117</v>
      </c>
      <c r="CD98" s="3">
        <v>4068</v>
      </c>
      <c r="CE98" s="3" t="s">
        <v>87</v>
      </c>
      <c r="CF98" s="4">
        <v>44582</v>
      </c>
      <c r="CI98" s="3">
        <v>1</v>
      </c>
      <c r="CJ98" s="3">
        <v>2</v>
      </c>
      <c r="CK98" s="3">
        <v>31</v>
      </c>
      <c r="CL98" s="3" t="s">
        <v>88</v>
      </c>
    </row>
    <row r="99" spans="1:90" x14ac:dyDescent="0.2">
      <c r="A99" s="3" t="s">
        <v>72</v>
      </c>
      <c r="B99" s="3" t="s">
        <v>73</v>
      </c>
      <c r="C99" s="3" t="s">
        <v>74</v>
      </c>
      <c r="E99" s="3" t="str">
        <f>"009941300230"</f>
        <v>009941300230</v>
      </c>
      <c r="F99" s="4">
        <v>44579</v>
      </c>
      <c r="G99" s="3">
        <v>202207</v>
      </c>
      <c r="H99" s="3" t="s">
        <v>172</v>
      </c>
      <c r="I99" s="3" t="s">
        <v>173</v>
      </c>
      <c r="J99" s="3" t="s">
        <v>174</v>
      </c>
      <c r="K99" s="3" t="s">
        <v>78</v>
      </c>
      <c r="L99" s="3" t="s">
        <v>75</v>
      </c>
      <c r="M99" s="3" t="s">
        <v>76</v>
      </c>
      <c r="N99" s="3" t="s">
        <v>136</v>
      </c>
      <c r="O99" s="3" t="s">
        <v>130</v>
      </c>
      <c r="P99" s="3" t="str">
        <f>"..                            "</f>
        <v xml:space="preserve">..                            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23.06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1</v>
      </c>
      <c r="BI99" s="3">
        <v>1</v>
      </c>
      <c r="BJ99" s="3">
        <v>0.2</v>
      </c>
      <c r="BK99" s="3">
        <v>1</v>
      </c>
      <c r="BL99" s="3">
        <v>93.28</v>
      </c>
      <c r="BM99" s="3">
        <v>13.99</v>
      </c>
      <c r="BN99" s="3">
        <v>107.27</v>
      </c>
      <c r="BO99" s="3">
        <v>107.27</v>
      </c>
      <c r="BQ99" s="3" t="s">
        <v>162</v>
      </c>
      <c r="BR99" s="3" t="s">
        <v>175</v>
      </c>
      <c r="BS99" s="4">
        <v>44580</v>
      </c>
      <c r="BT99" s="5">
        <v>0.36388888888888887</v>
      </c>
      <c r="BU99" s="3" t="s">
        <v>113</v>
      </c>
      <c r="BV99" s="3" t="s">
        <v>94</v>
      </c>
      <c r="BY99" s="3">
        <v>1200</v>
      </c>
      <c r="BZ99" s="3" t="s">
        <v>86</v>
      </c>
      <c r="CA99" s="3" t="s">
        <v>115</v>
      </c>
      <c r="CC99" s="3" t="s">
        <v>76</v>
      </c>
      <c r="CD99" s="3">
        <v>2013</v>
      </c>
      <c r="CE99" s="3" t="s">
        <v>87</v>
      </c>
      <c r="CF99" s="4">
        <v>44581</v>
      </c>
      <c r="CI99" s="3">
        <v>1</v>
      </c>
      <c r="CJ99" s="3">
        <v>1</v>
      </c>
      <c r="CK99" s="3">
        <v>42</v>
      </c>
      <c r="CL99" s="3" t="s">
        <v>88</v>
      </c>
    </row>
    <row r="100" spans="1:90" x14ac:dyDescent="0.2">
      <c r="A100" s="3" t="s">
        <v>72</v>
      </c>
      <c r="B100" s="3" t="s">
        <v>73</v>
      </c>
      <c r="C100" s="3" t="s">
        <v>74</v>
      </c>
      <c r="E100" s="3" t="str">
        <f>"009941300416"</f>
        <v>009941300416</v>
      </c>
      <c r="F100" s="4">
        <v>44579</v>
      </c>
      <c r="G100" s="3">
        <v>202207</v>
      </c>
      <c r="H100" s="3" t="s">
        <v>75</v>
      </c>
      <c r="I100" s="3" t="s">
        <v>76</v>
      </c>
      <c r="J100" s="3" t="s">
        <v>285</v>
      </c>
      <c r="K100" s="3" t="s">
        <v>78</v>
      </c>
      <c r="L100" s="3" t="s">
        <v>75</v>
      </c>
      <c r="M100" s="3" t="s">
        <v>76</v>
      </c>
      <c r="N100" s="3" t="s">
        <v>136</v>
      </c>
      <c r="O100" s="3" t="s">
        <v>130</v>
      </c>
      <c r="P100" s="3" t="str">
        <f>"..                            "</f>
        <v xml:space="preserve">..                            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23.06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1</v>
      </c>
      <c r="BI100" s="3">
        <v>1</v>
      </c>
      <c r="BJ100" s="3">
        <v>0.2</v>
      </c>
      <c r="BK100" s="3">
        <v>1</v>
      </c>
      <c r="BL100" s="3">
        <v>93.28</v>
      </c>
      <c r="BM100" s="3">
        <v>13.99</v>
      </c>
      <c r="BN100" s="3">
        <v>107.27</v>
      </c>
      <c r="BO100" s="3">
        <v>107.27</v>
      </c>
      <c r="BQ100" s="3" t="s">
        <v>230</v>
      </c>
      <c r="BR100" s="3" t="s">
        <v>175</v>
      </c>
      <c r="BS100" s="4">
        <v>44580</v>
      </c>
      <c r="BT100" s="5">
        <v>0.3611111111111111</v>
      </c>
      <c r="BU100" s="3" t="s">
        <v>113</v>
      </c>
      <c r="BV100" s="3" t="s">
        <v>94</v>
      </c>
      <c r="BY100" s="3">
        <v>1200</v>
      </c>
      <c r="BZ100" s="3" t="s">
        <v>86</v>
      </c>
      <c r="CA100" s="3" t="s">
        <v>115</v>
      </c>
      <c r="CC100" s="3" t="s">
        <v>76</v>
      </c>
      <c r="CD100" s="3">
        <v>2013</v>
      </c>
      <c r="CE100" s="3" t="s">
        <v>87</v>
      </c>
      <c r="CF100" s="4">
        <v>44581</v>
      </c>
      <c r="CI100" s="3">
        <v>1</v>
      </c>
      <c r="CJ100" s="3">
        <v>1</v>
      </c>
      <c r="CK100" s="3">
        <v>42</v>
      </c>
      <c r="CL100" s="3" t="s">
        <v>88</v>
      </c>
    </row>
    <row r="101" spans="1:90" x14ac:dyDescent="0.2">
      <c r="A101" s="3" t="s">
        <v>72</v>
      </c>
      <c r="B101" s="3" t="s">
        <v>73</v>
      </c>
      <c r="C101" s="3" t="s">
        <v>74</v>
      </c>
      <c r="E101" s="3" t="str">
        <f>"009942061975"</f>
        <v>009942061975</v>
      </c>
      <c r="F101" s="4">
        <v>44579</v>
      </c>
      <c r="G101" s="3">
        <v>202207</v>
      </c>
      <c r="H101" s="3" t="s">
        <v>144</v>
      </c>
      <c r="I101" s="3" t="s">
        <v>145</v>
      </c>
      <c r="J101" s="3" t="s">
        <v>370</v>
      </c>
      <c r="K101" s="3" t="s">
        <v>78</v>
      </c>
      <c r="L101" s="3" t="s">
        <v>75</v>
      </c>
      <c r="M101" s="3" t="s">
        <v>76</v>
      </c>
      <c r="N101" s="3" t="s">
        <v>118</v>
      </c>
      <c r="O101" s="3" t="s">
        <v>110</v>
      </c>
      <c r="P101" s="3" t="str">
        <f>"                              "</f>
        <v xml:space="preserve">                              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15.46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1</v>
      </c>
      <c r="BI101" s="3">
        <v>1</v>
      </c>
      <c r="BJ101" s="3">
        <v>0.2</v>
      </c>
      <c r="BK101" s="3">
        <v>1</v>
      </c>
      <c r="BL101" s="3">
        <v>59</v>
      </c>
      <c r="BM101" s="3">
        <v>8.85</v>
      </c>
      <c r="BN101" s="3">
        <v>67.849999999999994</v>
      </c>
      <c r="BO101" s="3">
        <v>67.849999999999994</v>
      </c>
      <c r="BQ101" s="3" t="s">
        <v>147</v>
      </c>
      <c r="BR101" s="3" t="s">
        <v>148</v>
      </c>
      <c r="BS101" s="4">
        <v>44580</v>
      </c>
      <c r="BT101" s="5">
        <v>0.3611111111111111</v>
      </c>
      <c r="BU101" s="3" t="s">
        <v>113</v>
      </c>
      <c r="BV101" s="3" t="s">
        <v>94</v>
      </c>
      <c r="BY101" s="3">
        <v>1200</v>
      </c>
      <c r="BZ101" s="3" t="s">
        <v>114</v>
      </c>
      <c r="CA101" s="3" t="s">
        <v>115</v>
      </c>
      <c r="CC101" s="3" t="s">
        <v>76</v>
      </c>
      <c r="CD101" s="3">
        <v>2013</v>
      </c>
      <c r="CE101" s="3" t="s">
        <v>87</v>
      </c>
      <c r="CF101" s="4">
        <v>44581</v>
      </c>
      <c r="CI101" s="3">
        <v>1</v>
      </c>
      <c r="CJ101" s="3">
        <v>1</v>
      </c>
      <c r="CK101" s="3">
        <v>21</v>
      </c>
      <c r="CL101" s="3" t="s">
        <v>88</v>
      </c>
    </row>
    <row r="102" spans="1:90" x14ac:dyDescent="0.2">
      <c r="A102" s="3" t="s">
        <v>72</v>
      </c>
      <c r="B102" s="3" t="s">
        <v>73</v>
      </c>
      <c r="C102" s="3" t="s">
        <v>74</v>
      </c>
      <c r="E102" s="3" t="str">
        <f>"009940432675"</f>
        <v>009940432675</v>
      </c>
      <c r="F102" s="4">
        <v>44579</v>
      </c>
      <c r="G102" s="3">
        <v>202207</v>
      </c>
      <c r="H102" s="3" t="s">
        <v>96</v>
      </c>
      <c r="I102" s="3" t="s">
        <v>97</v>
      </c>
      <c r="J102" s="3" t="s">
        <v>371</v>
      </c>
      <c r="K102" s="3" t="s">
        <v>78</v>
      </c>
      <c r="L102" s="3" t="s">
        <v>75</v>
      </c>
      <c r="M102" s="3" t="s">
        <v>76</v>
      </c>
      <c r="N102" s="3" t="s">
        <v>118</v>
      </c>
      <c r="O102" s="3" t="s">
        <v>110</v>
      </c>
      <c r="P102" s="3" t="str">
        <f>"NA                            "</f>
        <v xml:space="preserve">NA                            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15.46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15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1</v>
      </c>
      <c r="BI102" s="3">
        <v>0.2</v>
      </c>
      <c r="BJ102" s="3">
        <v>1.8</v>
      </c>
      <c r="BK102" s="3">
        <v>2</v>
      </c>
      <c r="BL102" s="3">
        <v>74</v>
      </c>
      <c r="BM102" s="3">
        <v>11.1</v>
      </c>
      <c r="BN102" s="3">
        <v>85.1</v>
      </c>
      <c r="BO102" s="3">
        <v>85.1</v>
      </c>
      <c r="BQ102" s="3" t="s">
        <v>135</v>
      </c>
      <c r="BR102" s="3" t="s">
        <v>135</v>
      </c>
      <c r="BS102" s="4">
        <v>44580</v>
      </c>
      <c r="BT102" s="5">
        <v>0.35972222222222222</v>
      </c>
      <c r="BU102" s="3" t="s">
        <v>113</v>
      </c>
      <c r="BV102" s="3" t="s">
        <v>94</v>
      </c>
      <c r="BY102" s="3">
        <v>9189.44</v>
      </c>
      <c r="BZ102" s="3" t="s">
        <v>126</v>
      </c>
      <c r="CA102" s="3" t="s">
        <v>115</v>
      </c>
      <c r="CC102" s="3" t="s">
        <v>76</v>
      </c>
      <c r="CD102" s="3">
        <v>2000</v>
      </c>
      <c r="CE102" s="3" t="s">
        <v>87</v>
      </c>
      <c r="CF102" s="4">
        <v>44581</v>
      </c>
      <c r="CI102" s="3">
        <v>1</v>
      </c>
      <c r="CJ102" s="3">
        <v>1</v>
      </c>
      <c r="CK102" s="3">
        <v>21</v>
      </c>
      <c r="CL102" s="3" t="s">
        <v>88</v>
      </c>
    </row>
    <row r="103" spans="1:90" x14ac:dyDescent="0.2">
      <c r="A103" s="3" t="s">
        <v>72</v>
      </c>
      <c r="B103" s="3" t="s">
        <v>73</v>
      </c>
      <c r="C103" s="3" t="s">
        <v>74</v>
      </c>
      <c r="E103" s="3" t="str">
        <f>"009941976890"</f>
        <v>009941976890</v>
      </c>
      <c r="F103" s="4">
        <v>44579</v>
      </c>
      <c r="G103" s="3">
        <v>202207</v>
      </c>
      <c r="H103" s="3" t="s">
        <v>127</v>
      </c>
      <c r="I103" s="3" t="s">
        <v>128</v>
      </c>
      <c r="J103" s="3" t="s">
        <v>129</v>
      </c>
      <c r="K103" s="3" t="s">
        <v>78</v>
      </c>
      <c r="L103" s="3" t="s">
        <v>99</v>
      </c>
      <c r="M103" s="3" t="s">
        <v>100</v>
      </c>
      <c r="N103" s="3" t="s">
        <v>372</v>
      </c>
      <c r="O103" s="3" t="s">
        <v>82</v>
      </c>
      <c r="P103" s="3" t="str">
        <f>"                              "</f>
        <v xml:space="preserve">                              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28.98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1</v>
      </c>
      <c r="BI103" s="3">
        <v>1</v>
      </c>
      <c r="BJ103" s="3">
        <v>1.2</v>
      </c>
      <c r="BK103" s="3">
        <v>2</v>
      </c>
      <c r="BL103" s="3">
        <v>110.62</v>
      </c>
      <c r="BM103" s="3">
        <v>16.59</v>
      </c>
      <c r="BN103" s="3">
        <v>127.21</v>
      </c>
      <c r="BO103" s="3">
        <v>127.21</v>
      </c>
      <c r="BQ103" s="3" t="s">
        <v>373</v>
      </c>
      <c r="BR103" s="3" t="s">
        <v>132</v>
      </c>
      <c r="BS103" s="4">
        <v>44580</v>
      </c>
      <c r="BT103" s="5">
        <v>0.41736111111111113</v>
      </c>
      <c r="BU103" s="3" t="s">
        <v>374</v>
      </c>
      <c r="BV103" s="3" t="s">
        <v>94</v>
      </c>
      <c r="BY103" s="3">
        <v>6000</v>
      </c>
      <c r="BZ103" s="3" t="s">
        <v>86</v>
      </c>
      <c r="CA103" s="3" t="s">
        <v>375</v>
      </c>
      <c r="CC103" s="3" t="s">
        <v>100</v>
      </c>
      <c r="CD103" s="3">
        <v>157</v>
      </c>
      <c r="CE103" s="3" t="s">
        <v>87</v>
      </c>
      <c r="CF103" s="4">
        <v>44580</v>
      </c>
      <c r="CI103" s="3">
        <v>1</v>
      </c>
      <c r="CJ103" s="3">
        <v>1</v>
      </c>
      <c r="CK103" s="3">
        <v>31</v>
      </c>
      <c r="CL103" s="3" t="s">
        <v>88</v>
      </c>
    </row>
    <row r="104" spans="1:90" x14ac:dyDescent="0.2">
      <c r="A104" s="3" t="s">
        <v>72</v>
      </c>
      <c r="B104" s="3" t="s">
        <v>73</v>
      </c>
      <c r="C104" s="3" t="s">
        <v>74</v>
      </c>
      <c r="E104" s="3" t="str">
        <f>"009941976888"</f>
        <v>009941976888</v>
      </c>
      <c r="F104" s="4">
        <v>44579</v>
      </c>
      <c r="G104" s="3">
        <v>202207</v>
      </c>
      <c r="H104" s="3" t="s">
        <v>127</v>
      </c>
      <c r="I104" s="3" t="s">
        <v>128</v>
      </c>
      <c r="J104" s="3" t="s">
        <v>129</v>
      </c>
      <c r="K104" s="3" t="s">
        <v>78</v>
      </c>
      <c r="L104" s="3" t="s">
        <v>376</v>
      </c>
      <c r="M104" s="3" t="s">
        <v>377</v>
      </c>
      <c r="N104" s="3" t="s">
        <v>372</v>
      </c>
      <c r="O104" s="3" t="s">
        <v>82</v>
      </c>
      <c r="P104" s="3" t="str">
        <f>"FELICIA                       "</f>
        <v xml:space="preserve">FELICIA                       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29.95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1</v>
      </c>
      <c r="BI104" s="3">
        <v>1</v>
      </c>
      <c r="BJ104" s="3">
        <v>0.2</v>
      </c>
      <c r="BK104" s="3">
        <v>1</v>
      </c>
      <c r="BL104" s="3">
        <v>114.31</v>
      </c>
      <c r="BM104" s="3">
        <v>17.149999999999999</v>
      </c>
      <c r="BN104" s="3">
        <v>131.46</v>
      </c>
      <c r="BO104" s="3">
        <v>131.46</v>
      </c>
      <c r="BQ104" s="3" t="s">
        <v>378</v>
      </c>
      <c r="BR104" s="3" t="s">
        <v>132</v>
      </c>
      <c r="BS104" s="4">
        <v>44582</v>
      </c>
      <c r="BT104" s="5">
        <v>0.61111111111111105</v>
      </c>
      <c r="BU104" s="3" t="s">
        <v>379</v>
      </c>
      <c r="BV104" s="3" t="s">
        <v>88</v>
      </c>
      <c r="BW104" s="3" t="s">
        <v>380</v>
      </c>
      <c r="BX104" s="3" t="s">
        <v>381</v>
      </c>
      <c r="BY104" s="3">
        <v>1200</v>
      </c>
      <c r="BZ104" s="3" t="s">
        <v>86</v>
      </c>
      <c r="CC104" s="3" t="s">
        <v>377</v>
      </c>
      <c r="CD104" s="3">
        <v>6740</v>
      </c>
      <c r="CE104" s="3" t="s">
        <v>87</v>
      </c>
      <c r="CF104" s="4">
        <v>44589</v>
      </c>
      <c r="CI104" s="3">
        <v>2</v>
      </c>
      <c r="CJ104" s="3">
        <v>3</v>
      </c>
      <c r="CK104" s="3">
        <v>33</v>
      </c>
      <c r="CL104" s="3" t="s">
        <v>88</v>
      </c>
    </row>
    <row r="105" spans="1:90" x14ac:dyDescent="0.2">
      <c r="A105" s="3" t="s">
        <v>72</v>
      </c>
      <c r="B105" s="3" t="s">
        <v>73</v>
      </c>
      <c r="C105" s="3" t="s">
        <v>74</v>
      </c>
      <c r="E105" s="3" t="str">
        <f>"009941976887"</f>
        <v>009941976887</v>
      </c>
      <c r="F105" s="4">
        <v>44579</v>
      </c>
      <c r="G105" s="3">
        <v>202207</v>
      </c>
      <c r="H105" s="3" t="s">
        <v>127</v>
      </c>
      <c r="I105" s="3" t="s">
        <v>128</v>
      </c>
      <c r="J105" s="3" t="s">
        <v>129</v>
      </c>
      <c r="K105" s="3" t="s">
        <v>78</v>
      </c>
      <c r="L105" s="3" t="s">
        <v>75</v>
      </c>
      <c r="M105" s="3" t="s">
        <v>76</v>
      </c>
      <c r="N105" s="3" t="s">
        <v>109</v>
      </c>
      <c r="O105" s="3" t="s">
        <v>82</v>
      </c>
      <c r="P105" s="3" t="str">
        <f>"                              "</f>
        <v xml:space="preserve">                              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210.12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3</v>
      </c>
      <c r="BI105" s="3">
        <v>19.8</v>
      </c>
      <c r="BJ105" s="3">
        <v>28.8</v>
      </c>
      <c r="BK105" s="3">
        <v>29</v>
      </c>
      <c r="BL105" s="3">
        <v>802.01</v>
      </c>
      <c r="BM105" s="3">
        <v>120.3</v>
      </c>
      <c r="BN105" s="3">
        <v>922.31</v>
      </c>
      <c r="BO105" s="3">
        <v>922.31</v>
      </c>
      <c r="BQ105" s="3" t="s">
        <v>382</v>
      </c>
      <c r="BR105" s="3" t="s">
        <v>132</v>
      </c>
      <c r="BS105" s="4">
        <v>44580</v>
      </c>
      <c r="BT105" s="5">
        <v>0.35902777777777778</v>
      </c>
      <c r="BU105" s="3" t="s">
        <v>113</v>
      </c>
      <c r="BV105" s="3" t="s">
        <v>94</v>
      </c>
      <c r="BY105" s="3">
        <v>48000</v>
      </c>
      <c r="BZ105" s="3" t="s">
        <v>86</v>
      </c>
      <c r="CA105" s="3" t="s">
        <v>115</v>
      </c>
      <c r="CC105" s="3" t="s">
        <v>76</v>
      </c>
      <c r="CD105" s="3">
        <v>2190</v>
      </c>
      <c r="CE105" s="3" t="s">
        <v>87</v>
      </c>
      <c r="CF105" s="4">
        <v>44581</v>
      </c>
      <c r="CI105" s="3">
        <v>1</v>
      </c>
      <c r="CJ105" s="3">
        <v>1</v>
      </c>
      <c r="CK105" s="3">
        <v>31</v>
      </c>
      <c r="CL105" s="3" t="s">
        <v>88</v>
      </c>
    </row>
    <row r="106" spans="1:90" x14ac:dyDescent="0.2">
      <c r="A106" s="3" t="s">
        <v>72</v>
      </c>
      <c r="B106" s="3" t="s">
        <v>73</v>
      </c>
      <c r="C106" s="3" t="s">
        <v>74</v>
      </c>
      <c r="E106" s="3" t="str">
        <f>"009941984008"</f>
        <v>009941984008</v>
      </c>
      <c r="F106" s="4">
        <v>44579</v>
      </c>
      <c r="G106" s="3">
        <v>202207</v>
      </c>
      <c r="H106" s="3" t="s">
        <v>121</v>
      </c>
      <c r="I106" s="3" t="s">
        <v>122</v>
      </c>
      <c r="J106" s="3" t="s">
        <v>123</v>
      </c>
      <c r="K106" s="3" t="s">
        <v>78</v>
      </c>
      <c r="L106" s="3" t="s">
        <v>75</v>
      </c>
      <c r="M106" s="3" t="s">
        <v>76</v>
      </c>
      <c r="N106" s="3" t="s">
        <v>118</v>
      </c>
      <c r="O106" s="3" t="s">
        <v>110</v>
      </c>
      <c r="P106" s="3" t="str">
        <f>"                              "</f>
        <v xml:space="preserve">                              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29.95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1</v>
      </c>
      <c r="BI106" s="3">
        <v>1</v>
      </c>
      <c r="BJ106" s="3">
        <v>0.2</v>
      </c>
      <c r="BK106" s="3">
        <v>1</v>
      </c>
      <c r="BL106" s="3">
        <v>114.31</v>
      </c>
      <c r="BM106" s="3">
        <v>17.149999999999999</v>
      </c>
      <c r="BN106" s="3">
        <v>131.46</v>
      </c>
      <c r="BO106" s="3">
        <v>131.46</v>
      </c>
      <c r="BR106" s="3" t="s">
        <v>383</v>
      </c>
      <c r="BS106" s="4">
        <v>44580</v>
      </c>
      <c r="BT106" s="5">
        <v>0.36041666666666666</v>
      </c>
      <c r="BU106" s="3" t="s">
        <v>113</v>
      </c>
      <c r="BV106" s="3" t="s">
        <v>94</v>
      </c>
      <c r="BY106" s="3">
        <v>1200</v>
      </c>
      <c r="BZ106" s="3" t="s">
        <v>114</v>
      </c>
      <c r="CA106" s="3" t="s">
        <v>115</v>
      </c>
      <c r="CC106" s="3" t="s">
        <v>76</v>
      </c>
      <c r="CD106" s="3">
        <v>2190</v>
      </c>
      <c r="CE106" s="3" t="s">
        <v>87</v>
      </c>
      <c r="CF106" s="4">
        <v>44581</v>
      </c>
      <c r="CI106" s="3">
        <v>1</v>
      </c>
      <c r="CJ106" s="3">
        <v>1</v>
      </c>
      <c r="CK106" s="3">
        <v>23</v>
      </c>
      <c r="CL106" s="3" t="s">
        <v>88</v>
      </c>
    </row>
    <row r="107" spans="1:90" x14ac:dyDescent="0.2">
      <c r="A107" s="3" t="s">
        <v>72</v>
      </c>
      <c r="B107" s="3" t="s">
        <v>73</v>
      </c>
      <c r="C107" s="3" t="s">
        <v>74</v>
      </c>
      <c r="E107" s="3" t="str">
        <f>"009941976891"</f>
        <v>009941976891</v>
      </c>
      <c r="F107" s="4">
        <v>44579</v>
      </c>
      <c r="G107" s="3">
        <v>202207</v>
      </c>
      <c r="H107" s="3" t="s">
        <v>127</v>
      </c>
      <c r="I107" s="3" t="s">
        <v>128</v>
      </c>
      <c r="J107" s="3" t="s">
        <v>129</v>
      </c>
      <c r="K107" s="3" t="s">
        <v>78</v>
      </c>
      <c r="L107" s="3" t="s">
        <v>116</v>
      </c>
      <c r="M107" s="3" t="s">
        <v>117</v>
      </c>
      <c r="N107" s="3" t="s">
        <v>372</v>
      </c>
      <c r="O107" s="3" t="s">
        <v>82</v>
      </c>
      <c r="P107" s="3" t="str">
        <f>"FELICIA                       "</f>
        <v xml:space="preserve">FELICIA                       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12.08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1</v>
      </c>
      <c r="BI107" s="3">
        <v>2</v>
      </c>
      <c r="BJ107" s="3">
        <v>2.2000000000000002</v>
      </c>
      <c r="BK107" s="3">
        <v>3</v>
      </c>
      <c r="BL107" s="3">
        <v>46.1</v>
      </c>
      <c r="BM107" s="3">
        <v>6.92</v>
      </c>
      <c r="BN107" s="3">
        <v>53.02</v>
      </c>
      <c r="BO107" s="3">
        <v>53.02</v>
      </c>
      <c r="BQ107" s="3" t="s">
        <v>384</v>
      </c>
      <c r="BR107" s="3" t="s">
        <v>132</v>
      </c>
      <c r="BS107" s="4">
        <v>44580</v>
      </c>
      <c r="BT107" s="5">
        <v>0.35972222222222222</v>
      </c>
      <c r="BU107" s="3" t="s">
        <v>385</v>
      </c>
      <c r="BV107" s="3" t="s">
        <v>94</v>
      </c>
      <c r="BY107" s="3">
        <v>10800</v>
      </c>
      <c r="BZ107" s="3" t="s">
        <v>86</v>
      </c>
      <c r="CA107" s="3" t="s">
        <v>354</v>
      </c>
      <c r="CC107" s="3" t="s">
        <v>117</v>
      </c>
      <c r="CD107" s="3">
        <v>4068</v>
      </c>
      <c r="CE107" s="3" t="s">
        <v>87</v>
      </c>
      <c r="CF107" s="4">
        <v>44581</v>
      </c>
      <c r="CI107" s="3">
        <v>1</v>
      </c>
      <c r="CJ107" s="3">
        <v>1</v>
      </c>
      <c r="CK107" s="3">
        <v>32</v>
      </c>
      <c r="CL107" s="3" t="s">
        <v>88</v>
      </c>
    </row>
    <row r="108" spans="1:90" x14ac:dyDescent="0.2">
      <c r="A108" s="3" t="s">
        <v>72</v>
      </c>
      <c r="B108" s="3" t="s">
        <v>73</v>
      </c>
      <c r="C108" s="3" t="s">
        <v>74</v>
      </c>
      <c r="E108" s="3" t="str">
        <f>"009940130247"</f>
        <v>009940130247</v>
      </c>
      <c r="F108" s="4">
        <v>44579</v>
      </c>
      <c r="G108" s="3">
        <v>202207</v>
      </c>
      <c r="H108" s="3" t="s">
        <v>96</v>
      </c>
      <c r="I108" s="3" t="s">
        <v>97</v>
      </c>
      <c r="J108" s="3" t="s">
        <v>109</v>
      </c>
      <c r="K108" s="3" t="s">
        <v>78</v>
      </c>
      <c r="L108" s="3" t="s">
        <v>75</v>
      </c>
      <c r="M108" s="3" t="s">
        <v>76</v>
      </c>
      <c r="N108" s="3" t="s">
        <v>109</v>
      </c>
      <c r="O108" s="3" t="s">
        <v>110</v>
      </c>
      <c r="P108" s="3" t="str">
        <f>"NA                            "</f>
        <v xml:space="preserve">NA                            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23.18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1</v>
      </c>
      <c r="BI108" s="3">
        <v>1.3</v>
      </c>
      <c r="BJ108" s="3">
        <v>2.7</v>
      </c>
      <c r="BK108" s="3">
        <v>3</v>
      </c>
      <c r="BL108" s="3">
        <v>88.48</v>
      </c>
      <c r="BM108" s="3">
        <v>13.27</v>
      </c>
      <c r="BN108" s="3">
        <v>101.75</v>
      </c>
      <c r="BO108" s="3">
        <v>101.75</v>
      </c>
      <c r="BQ108" s="3" t="s">
        <v>386</v>
      </c>
      <c r="BR108" s="3" t="s">
        <v>112</v>
      </c>
      <c r="BS108" s="4">
        <v>44581</v>
      </c>
      <c r="BT108" s="5">
        <v>0.32013888888888892</v>
      </c>
      <c r="BU108" s="3" t="s">
        <v>113</v>
      </c>
      <c r="BV108" s="3" t="s">
        <v>88</v>
      </c>
      <c r="BW108" s="3" t="s">
        <v>138</v>
      </c>
      <c r="BX108" s="3" t="s">
        <v>139</v>
      </c>
      <c r="BY108" s="3">
        <v>13381.88</v>
      </c>
      <c r="BZ108" s="3" t="s">
        <v>114</v>
      </c>
      <c r="CA108" s="3" t="s">
        <v>115</v>
      </c>
      <c r="CC108" s="3" t="s">
        <v>76</v>
      </c>
      <c r="CD108" s="3">
        <v>2013</v>
      </c>
      <c r="CE108" s="3" t="s">
        <v>87</v>
      </c>
      <c r="CF108" s="4">
        <v>44581</v>
      </c>
      <c r="CI108" s="3">
        <v>1</v>
      </c>
      <c r="CJ108" s="3">
        <v>2</v>
      </c>
      <c r="CK108" s="3">
        <v>21</v>
      </c>
      <c r="CL108" s="3" t="s">
        <v>88</v>
      </c>
    </row>
    <row r="109" spans="1:90" x14ac:dyDescent="0.2">
      <c r="A109" s="3" t="s">
        <v>72</v>
      </c>
      <c r="B109" s="3" t="s">
        <v>73</v>
      </c>
      <c r="C109" s="3" t="s">
        <v>74</v>
      </c>
      <c r="E109" s="3" t="str">
        <f>"009940568065"</f>
        <v>009940568065</v>
      </c>
      <c r="F109" s="4">
        <v>44579</v>
      </c>
      <c r="G109" s="3">
        <v>202207</v>
      </c>
      <c r="H109" s="3" t="s">
        <v>96</v>
      </c>
      <c r="I109" s="3" t="s">
        <v>97</v>
      </c>
      <c r="J109" s="3" t="s">
        <v>158</v>
      </c>
      <c r="K109" s="3" t="s">
        <v>78</v>
      </c>
      <c r="L109" s="3" t="s">
        <v>75</v>
      </c>
      <c r="M109" s="3" t="s">
        <v>76</v>
      </c>
      <c r="N109" s="3" t="s">
        <v>109</v>
      </c>
      <c r="O109" s="3" t="s">
        <v>130</v>
      </c>
      <c r="P109" s="3" t="str">
        <f>"                              "</f>
        <v xml:space="preserve">                              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29.89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1</v>
      </c>
      <c r="BI109" s="3">
        <v>0.3</v>
      </c>
      <c r="BJ109" s="3">
        <v>1.8</v>
      </c>
      <c r="BK109" s="3">
        <v>2</v>
      </c>
      <c r="BL109" s="3">
        <v>119.34</v>
      </c>
      <c r="BM109" s="3">
        <v>17.899999999999999</v>
      </c>
      <c r="BN109" s="3">
        <v>137.24</v>
      </c>
      <c r="BO109" s="3">
        <v>137.24</v>
      </c>
      <c r="BQ109" s="3" t="s">
        <v>159</v>
      </c>
      <c r="BR109" s="3" t="s">
        <v>160</v>
      </c>
      <c r="BS109" s="4">
        <v>44581</v>
      </c>
      <c r="BT109" s="5">
        <v>0.31875000000000003</v>
      </c>
      <c r="BU109" s="3" t="s">
        <v>113</v>
      </c>
      <c r="BV109" s="3" t="s">
        <v>94</v>
      </c>
      <c r="BY109" s="3">
        <v>9181.2800000000007</v>
      </c>
      <c r="BZ109" s="3" t="s">
        <v>86</v>
      </c>
      <c r="CA109" s="3" t="s">
        <v>115</v>
      </c>
      <c r="CC109" s="3" t="s">
        <v>76</v>
      </c>
      <c r="CD109" s="3">
        <v>2013</v>
      </c>
      <c r="CE109" s="3" t="s">
        <v>87</v>
      </c>
      <c r="CF109" s="4">
        <v>44581</v>
      </c>
      <c r="CI109" s="3">
        <v>2</v>
      </c>
      <c r="CJ109" s="3">
        <v>2</v>
      </c>
      <c r="CK109" s="3">
        <v>41</v>
      </c>
      <c r="CL109" s="3" t="s">
        <v>88</v>
      </c>
    </row>
    <row r="110" spans="1:90" x14ac:dyDescent="0.2">
      <c r="A110" s="3" t="s">
        <v>72</v>
      </c>
      <c r="B110" s="3" t="s">
        <v>73</v>
      </c>
      <c r="C110" s="3" t="s">
        <v>74</v>
      </c>
      <c r="E110" s="3" t="str">
        <f>"009941301489"</f>
        <v>009941301489</v>
      </c>
      <c r="F110" s="4">
        <v>44579</v>
      </c>
      <c r="G110" s="3">
        <v>202207</v>
      </c>
      <c r="H110" s="3" t="s">
        <v>75</v>
      </c>
      <c r="I110" s="3" t="s">
        <v>76</v>
      </c>
      <c r="J110" s="3" t="s">
        <v>239</v>
      </c>
      <c r="K110" s="3" t="s">
        <v>78</v>
      </c>
      <c r="L110" s="3" t="s">
        <v>75</v>
      </c>
      <c r="M110" s="3" t="s">
        <v>76</v>
      </c>
      <c r="N110" s="3" t="s">
        <v>109</v>
      </c>
      <c r="O110" s="3" t="s">
        <v>110</v>
      </c>
      <c r="P110" s="3" t="str">
        <f>"..                            "</f>
        <v xml:space="preserve">..                            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12.07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1</v>
      </c>
      <c r="BI110" s="3">
        <v>1</v>
      </c>
      <c r="BJ110" s="3">
        <v>0.2</v>
      </c>
      <c r="BK110" s="3">
        <v>1</v>
      </c>
      <c r="BL110" s="3">
        <v>46.08</v>
      </c>
      <c r="BM110" s="3">
        <v>6.91</v>
      </c>
      <c r="BN110" s="3">
        <v>52.99</v>
      </c>
      <c r="BO110" s="3">
        <v>52.99</v>
      </c>
      <c r="BQ110" s="3" t="s">
        <v>162</v>
      </c>
      <c r="BR110" s="3" t="s">
        <v>175</v>
      </c>
      <c r="BS110" s="4">
        <v>44580</v>
      </c>
      <c r="BT110" s="5">
        <v>0.36041666666666666</v>
      </c>
      <c r="BU110" s="3" t="s">
        <v>113</v>
      </c>
      <c r="BV110" s="3" t="s">
        <v>94</v>
      </c>
      <c r="BY110" s="3">
        <v>1200</v>
      </c>
      <c r="BZ110" s="3" t="s">
        <v>114</v>
      </c>
      <c r="CA110" s="3" t="s">
        <v>115</v>
      </c>
      <c r="CC110" s="3" t="s">
        <v>76</v>
      </c>
      <c r="CD110" s="3">
        <v>2013</v>
      </c>
      <c r="CE110" s="3" t="s">
        <v>87</v>
      </c>
      <c r="CF110" s="4">
        <v>44581</v>
      </c>
      <c r="CI110" s="3">
        <v>1</v>
      </c>
      <c r="CJ110" s="3">
        <v>1</v>
      </c>
      <c r="CK110" s="3">
        <v>22</v>
      </c>
      <c r="CL110" s="3" t="s">
        <v>88</v>
      </c>
    </row>
    <row r="111" spans="1:90" x14ac:dyDescent="0.2">
      <c r="A111" s="3" t="s">
        <v>72</v>
      </c>
      <c r="B111" s="3" t="s">
        <v>73</v>
      </c>
      <c r="C111" s="3" t="s">
        <v>74</v>
      </c>
      <c r="E111" s="3" t="str">
        <f>"009941300138"</f>
        <v>009941300138</v>
      </c>
      <c r="F111" s="4">
        <v>44579</v>
      </c>
      <c r="G111" s="3">
        <v>202207</v>
      </c>
      <c r="H111" s="3" t="s">
        <v>75</v>
      </c>
      <c r="I111" s="3" t="s">
        <v>76</v>
      </c>
      <c r="J111" s="3" t="s">
        <v>209</v>
      </c>
      <c r="K111" s="3" t="s">
        <v>78</v>
      </c>
      <c r="L111" s="3" t="s">
        <v>75</v>
      </c>
      <c r="M111" s="3" t="s">
        <v>76</v>
      </c>
      <c r="N111" s="3" t="s">
        <v>109</v>
      </c>
      <c r="O111" s="3" t="s">
        <v>110</v>
      </c>
      <c r="P111" s="3" t="str">
        <f>"N A                           "</f>
        <v xml:space="preserve">N A                           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12.07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1</v>
      </c>
      <c r="BI111" s="3">
        <v>1</v>
      </c>
      <c r="BJ111" s="3">
        <v>0.2</v>
      </c>
      <c r="BK111" s="3">
        <v>1</v>
      </c>
      <c r="BL111" s="3">
        <v>46.08</v>
      </c>
      <c r="BM111" s="3">
        <v>6.91</v>
      </c>
      <c r="BN111" s="3">
        <v>52.99</v>
      </c>
      <c r="BO111" s="3">
        <v>52.99</v>
      </c>
      <c r="BQ111" s="3" t="s">
        <v>162</v>
      </c>
      <c r="BR111" s="3" t="s">
        <v>175</v>
      </c>
      <c r="BS111" s="4">
        <v>44580</v>
      </c>
      <c r="BT111" s="5">
        <v>0.36319444444444443</v>
      </c>
      <c r="BU111" s="3" t="s">
        <v>113</v>
      </c>
      <c r="BV111" s="3" t="s">
        <v>94</v>
      </c>
      <c r="BY111" s="3">
        <v>1200</v>
      </c>
      <c r="BZ111" s="3" t="s">
        <v>114</v>
      </c>
      <c r="CA111" s="3" t="s">
        <v>115</v>
      </c>
      <c r="CC111" s="3" t="s">
        <v>76</v>
      </c>
      <c r="CD111" s="3">
        <v>2013</v>
      </c>
      <c r="CE111" s="3" t="s">
        <v>87</v>
      </c>
      <c r="CF111" s="4">
        <v>44581</v>
      </c>
      <c r="CI111" s="3">
        <v>1</v>
      </c>
      <c r="CJ111" s="3">
        <v>1</v>
      </c>
      <c r="CK111" s="3">
        <v>22</v>
      </c>
      <c r="CL111" s="3" t="s">
        <v>88</v>
      </c>
    </row>
    <row r="112" spans="1:90" x14ac:dyDescent="0.2">
      <c r="A112" s="3" t="s">
        <v>72</v>
      </c>
      <c r="B112" s="3" t="s">
        <v>73</v>
      </c>
      <c r="C112" s="3" t="s">
        <v>74</v>
      </c>
      <c r="E112" s="3" t="str">
        <f>"009941300253"</f>
        <v>009941300253</v>
      </c>
      <c r="F112" s="4">
        <v>44580</v>
      </c>
      <c r="G112" s="3">
        <v>202207</v>
      </c>
      <c r="H112" s="3" t="s">
        <v>188</v>
      </c>
      <c r="I112" s="3" t="s">
        <v>189</v>
      </c>
      <c r="J112" s="3" t="s">
        <v>190</v>
      </c>
      <c r="K112" s="3" t="s">
        <v>78</v>
      </c>
      <c r="L112" s="3" t="s">
        <v>75</v>
      </c>
      <c r="M112" s="3" t="s">
        <v>76</v>
      </c>
      <c r="N112" s="3" t="s">
        <v>109</v>
      </c>
      <c r="O112" s="3" t="s">
        <v>110</v>
      </c>
      <c r="P112" s="3" t="str">
        <f>"N A                           "</f>
        <v xml:space="preserve">N A                           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12.07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1</v>
      </c>
      <c r="BI112" s="3">
        <v>1</v>
      </c>
      <c r="BJ112" s="3">
        <v>0.2</v>
      </c>
      <c r="BK112" s="3">
        <v>1</v>
      </c>
      <c r="BL112" s="3">
        <v>46.08</v>
      </c>
      <c r="BM112" s="3">
        <v>6.91</v>
      </c>
      <c r="BN112" s="3">
        <v>52.99</v>
      </c>
      <c r="BO112" s="3">
        <v>52.99</v>
      </c>
      <c r="BQ112" s="3" t="s">
        <v>162</v>
      </c>
      <c r="BR112" s="3" t="s">
        <v>191</v>
      </c>
      <c r="BS112" s="4">
        <v>44581</v>
      </c>
      <c r="BT112" s="5">
        <v>0.32083333333333336</v>
      </c>
      <c r="BU112" s="3" t="s">
        <v>113</v>
      </c>
      <c r="BV112" s="3" t="s">
        <v>94</v>
      </c>
      <c r="BY112" s="3">
        <v>1200</v>
      </c>
      <c r="BZ112" s="3" t="s">
        <v>114</v>
      </c>
      <c r="CA112" s="3" t="s">
        <v>115</v>
      </c>
      <c r="CC112" s="3" t="s">
        <v>76</v>
      </c>
      <c r="CD112" s="3">
        <v>2013</v>
      </c>
      <c r="CE112" s="3" t="s">
        <v>87</v>
      </c>
      <c r="CF112" s="4">
        <v>44581</v>
      </c>
      <c r="CI112" s="3">
        <v>1</v>
      </c>
      <c r="CJ112" s="3">
        <v>1</v>
      </c>
      <c r="CK112" s="3">
        <v>22</v>
      </c>
      <c r="CL112" s="3" t="s">
        <v>88</v>
      </c>
    </row>
    <row r="113" spans="1:90" x14ac:dyDescent="0.2">
      <c r="A113" s="3" t="s">
        <v>72</v>
      </c>
      <c r="B113" s="3" t="s">
        <v>73</v>
      </c>
      <c r="C113" s="3" t="s">
        <v>74</v>
      </c>
      <c r="E113" s="3" t="str">
        <f>"009942009270"</f>
        <v>009942009270</v>
      </c>
      <c r="F113" s="4">
        <v>44580</v>
      </c>
      <c r="G113" s="3">
        <v>202207</v>
      </c>
      <c r="H113" s="3" t="s">
        <v>227</v>
      </c>
      <c r="I113" s="3" t="s">
        <v>228</v>
      </c>
      <c r="J113" s="3" t="s">
        <v>229</v>
      </c>
      <c r="K113" s="3" t="s">
        <v>78</v>
      </c>
      <c r="L113" s="3" t="s">
        <v>75</v>
      </c>
      <c r="M113" s="3" t="s">
        <v>76</v>
      </c>
      <c r="N113" s="3" t="s">
        <v>387</v>
      </c>
      <c r="O113" s="3" t="s">
        <v>130</v>
      </c>
      <c r="P113" s="3" t="str">
        <f>"NA                            "</f>
        <v xml:space="preserve">NA                            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33.01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1</v>
      </c>
      <c r="BI113" s="3">
        <v>1</v>
      </c>
      <c r="BJ113" s="3">
        <v>0.2</v>
      </c>
      <c r="BK113" s="3">
        <v>1</v>
      </c>
      <c r="BL113" s="3">
        <v>131.25</v>
      </c>
      <c r="BM113" s="3">
        <v>19.690000000000001</v>
      </c>
      <c r="BN113" s="3">
        <v>150.94</v>
      </c>
      <c r="BO113" s="3">
        <v>150.94</v>
      </c>
      <c r="BQ113" s="3" t="s">
        <v>98</v>
      </c>
      <c r="BR113" s="3" t="s">
        <v>98</v>
      </c>
      <c r="BS113" s="4">
        <v>44581</v>
      </c>
      <c r="BT113" s="5">
        <v>0.31944444444444448</v>
      </c>
      <c r="BU113" s="3" t="s">
        <v>113</v>
      </c>
      <c r="BV113" s="3" t="s">
        <v>94</v>
      </c>
      <c r="BY113" s="3">
        <v>1200</v>
      </c>
      <c r="BZ113" s="3" t="s">
        <v>86</v>
      </c>
      <c r="CA113" s="3" t="s">
        <v>115</v>
      </c>
      <c r="CC113" s="3" t="s">
        <v>76</v>
      </c>
      <c r="CD113" s="3">
        <v>2016</v>
      </c>
      <c r="CE113" s="3" t="s">
        <v>87</v>
      </c>
      <c r="CF113" s="4">
        <v>44581</v>
      </c>
      <c r="CI113" s="3">
        <v>1</v>
      </c>
      <c r="CJ113" s="3">
        <v>1</v>
      </c>
      <c r="CK113" s="3">
        <v>44</v>
      </c>
      <c r="CL113" s="3" t="s">
        <v>88</v>
      </c>
    </row>
    <row r="114" spans="1:90" x14ac:dyDescent="0.2">
      <c r="A114" s="3" t="s">
        <v>72</v>
      </c>
      <c r="B114" s="3" t="s">
        <v>73</v>
      </c>
      <c r="C114" s="3" t="s">
        <v>74</v>
      </c>
      <c r="E114" s="3" t="str">
        <f>"009941640796"</f>
        <v>009941640796</v>
      </c>
      <c r="F114" s="4">
        <v>44580</v>
      </c>
      <c r="G114" s="3">
        <v>202207</v>
      </c>
      <c r="H114" s="3" t="s">
        <v>75</v>
      </c>
      <c r="I114" s="3" t="s">
        <v>76</v>
      </c>
      <c r="J114" s="3" t="s">
        <v>77</v>
      </c>
      <c r="K114" s="3" t="s">
        <v>78</v>
      </c>
      <c r="L114" s="3" t="s">
        <v>388</v>
      </c>
      <c r="M114" s="3" t="s">
        <v>389</v>
      </c>
      <c r="N114" s="3" t="s">
        <v>91</v>
      </c>
      <c r="O114" s="3" t="s">
        <v>82</v>
      </c>
      <c r="P114" s="3" t="str">
        <f>"..                            "</f>
        <v xml:space="preserve">..                            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29.95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1</v>
      </c>
      <c r="BI114" s="3">
        <v>0.6</v>
      </c>
      <c r="BJ114" s="3">
        <v>0.6</v>
      </c>
      <c r="BK114" s="3">
        <v>1</v>
      </c>
      <c r="BL114" s="3">
        <v>114.31</v>
      </c>
      <c r="BM114" s="3">
        <v>17.149999999999999</v>
      </c>
      <c r="BN114" s="3">
        <v>131.46</v>
      </c>
      <c r="BO114" s="3">
        <v>131.46</v>
      </c>
      <c r="BQ114" s="3" t="s">
        <v>390</v>
      </c>
      <c r="BR114" s="3" t="s">
        <v>84</v>
      </c>
      <c r="BS114" s="4">
        <v>44581</v>
      </c>
      <c r="BT114" s="5">
        <v>0.47638888888888892</v>
      </c>
      <c r="BU114" s="3" t="s">
        <v>391</v>
      </c>
      <c r="BV114" s="3" t="s">
        <v>94</v>
      </c>
      <c r="BY114" s="3">
        <v>2829.75</v>
      </c>
      <c r="BZ114" s="3" t="s">
        <v>86</v>
      </c>
      <c r="CA114" s="3" t="s">
        <v>392</v>
      </c>
      <c r="CC114" s="3" t="s">
        <v>389</v>
      </c>
      <c r="CD114" s="3">
        <v>850</v>
      </c>
      <c r="CE114" s="3" t="s">
        <v>87</v>
      </c>
      <c r="CF114" s="4">
        <v>44581</v>
      </c>
      <c r="CI114" s="3">
        <v>1</v>
      </c>
      <c r="CJ114" s="3">
        <v>1</v>
      </c>
      <c r="CK114" s="3">
        <v>33</v>
      </c>
      <c r="CL114" s="3" t="s">
        <v>88</v>
      </c>
    </row>
    <row r="115" spans="1:90" x14ac:dyDescent="0.2">
      <c r="A115" s="3" t="s">
        <v>72</v>
      </c>
      <c r="B115" s="3" t="s">
        <v>73</v>
      </c>
      <c r="C115" s="3" t="s">
        <v>74</v>
      </c>
      <c r="E115" s="3" t="str">
        <f>"009941301594"</f>
        <v>009941301594</v>
      </c>
      <c r="F115" s="4">
        <v>44580</v>
      </c>
      <c r="G115" s="3">
        <v>202207</v>
      </c>
      <c r="H115" s="3" t="s">
        <v>75</v>
      </c>
      <c r="I115" s="3" t="s">
        <v>76</v>
      </c>
      <c r="J115" s="3" t="s">
        <v>232</v>
      </c>
      <c r="K115" s="3" t="s">
        <v>78</v>
      </c>
      <c r="L115" s="3" t="s">
        <v>75</v>
      </c>
      <c r="M115" s="3" t="s">
        <v>76</v>
      </c>
      <c r="N115" s="3" t="s">
        <v>393</v>
      </c>
      <c r="O115" s="3" t="s">
        <v>130</v>
      </c>
      <c r="P115" s="3" t="str">
        <f>"..                            "</f>
        <v xml:space="preserve">..                            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23.06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1</v>
      </c>
      <c r="BI115" s="3">
        <v>1</v>
      </c>
      <c r="BJ115" s="3">
        <v>9.6</v>
      </c>
      <c r="BK115" s="3">
        <v>10</v>
      </c>
      <c r="BL115" s="3">
        <v>93.28</v>
      </c>
      <c r="BM115" s="3">
        <v>13.99</v>
      </c>
      <c r="BN115" s="3">
        <v>107.27</v>
      </c>
      <c r="BO115" s="3">
        <v>107.27</v>
      </c>
      <c r="BQ115" s="3" t="s">
        <v>162</v>
      </c>
      <c r="BR115" s="3" t="s">
        <v>175</v>
      </c>
      <c r="BS115" s="4">
        <v>44581</v>
      </c>
      <c r="BT115" s="5">
        <v>0.3215277777777778</v>
      </c>
      <c r="BU115" s="3" t="s">
        <v>113</v>
      </c>
      <c r="BV115" s="3" t="s">
        <v>94</v>
      </c>
      <c r="BY115" s="3">
        <v>48000</v>
      </c>
      <c r="BZ115" s="3" t="s">
        <v>86</v>
      </c>
      <c r="CA115" s="3" t="s">
        <v>115</v>
      </c>
      <c r="CC115" s="3" t="s">
        <v>76</v>
      </c>
      <c r="CD115" s="3">
        <v>2013</v>
      </c>
      <c r="CE115" s="3" t="s">
        <v>87</v>
      </c>
      <c r="CF115" s="4">
        <v>44581</v>
      </c>
      <c r="CI115" s="3">
        <v>1</v>
      </c>
      <c r="CJ115" s="3">
        <v>1</v>
      </c>
      <c r="CK115" s="3">
        <v>42</v>
      </c>
      <c r="CL115" s="3" t="s">
        <v>88</v>
      </c>
    </row>
    <row r="116" spans="1:90" x14ac:dyDescent="0.2">
      <c r="A116" s="3" t="s">
        <v>72</v>
      </c>
      <c r="B116" s="3" t="s">
        <v>73</v>
      </c>
      <c r="C116" s="3" t="s">
        <v>74</v>
      </c>
      <c r="E116" s="3" t="str">
        <f>"009940714844"</f>
        <v>009940714844</v>
      </c>
      <c r="F116" s="4">
        <v>44580</v>
      </c>
      <c r="G116" s="3">
        <v>202207</v>
      </c>
      <c r="H116" s="3" t="s">
        <v>116</v>
      </c>
      <c r="I116" s="3" t="s">
        <v>117</v>
      </c>
      <c r="J116" s="3" t="s">
        <v>109</v>
      </c>
      <c r="K116" s="3" t="s">
        <v>78</v>
      </c>
      <c r="L116" s="3" t="s">
        <v>75</v>
      </c>
      <c r="M116" s="3" t="s">
        <v>76</v>
      </c>
      <c r="N116" s="3" t="s">
        <v>109</v>
      </c>
      <c r="O116" s="3" t="s">
        <v>110</v>
      </c>
      <c r="P116" s="3" t="str">
        <f>"                              "</f>
        <v xml:space="preserve">                              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15.46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1</v>
      </c>
      <c r="BI116" s="3">
        <v>1</v>
      </c>
      <c r="BJ116" s="3">
        <v>1.4</v>
      </c>
      <c r="BK116" s="3">
        <v>1.5</v>
      </c>
      <c r="BL116" s="3">
        <v>59</v>
      </c>
      <c r="BM116" s="3">
        <v>8.85</v>
      </c>
      <c r="BN116" s="3">
        <v>67.849999999999994</v>
      </c>
      <c r="BO116" s="3">
        <v>67.849999999999994</v>
      </c>
      <c r="BQ116" s="3" t="s">
        <v>394</v>
      </c>
      <c r="BR116" s="3" t="s">
        <v>153</v>
      </c>
      <c r="BS116" s="4">
        <v>44581</v>
      </c>
      <c r="BT116" s="5">
        <v>0.32013888888888892</v>
      </c>
      <c r="BU116" s="3" t="s">
        <v>113</v>
      </c>
      <c r="BV116" s="3" t="s">
        <v>94</v>
      </c>
      <c r="BY116" s="3">
        <v>7200</v>
      </c>
      <c r="BZ116" s="3" t="s">
        <v>114</v>
      </c>
      <c r="CA116" s="3" t="s">
        <v>115</v>
      </c>
      <c r="CC116" s="3" t="s">
        <v>76</v>
      </c>
      <c r="CD116" s="3">
        <v>2190</v>
      </c>
      <c r="CE116" s="3" t="s">
        <v>87</v>
      </c>
      <c r="CF116" s="4">
        <v>44581</v>
      </c>
      <c r="CI116" s="3">
        <v>1</v>
      </c>
      <c r="CJ116" s="3">
        <v>1</v>
      </c>
      <c r="CK116" s="3">
        <v>21</v>
      </c>
      <c r="CL116" s="3" t="s">
        <v>88</v>
      </c>
    </row>
    <row r="117" spans="1:90" x14ac:dyDescent="0.2">
      <c r="A117" s="3" t="s">
        <v>72</v>
      </c>
      <c r="B117" s="3" t="s">
        <v>73</v>
      </c>
      <c r="C117" s="3" t="s">
        <v>74</v>
      </c>
      <c r="E117" s="3" t="str">
        <f>"009941640794"</f>
        <v>009941640794</v>
      </c>
      <c r="F117" s="4">
        <v>44580</v>
      </c>
      <c r="G117" s="3">
        <v>202207</v>
      </c>
      <c r="H117" s="3" t="s">
        <v>75</v>
      </c>
      <c r="I117" s="3" t="s">
        <v>76</v>
      </c>
      <c r="J117" s="3" t="s">
        <v>77</v>
      </c>
      <c r="K117" s="3" t="s">
        <v>78</v>
      </c>
      <c r="L117" s="3" t="s">
        <v>395</v>
      </c>
      <c r="M117" s="3" t="s">
        <v>396</v>
      </c>
      <c r="N117" s="3" t="s">
        <v>91</v>
      </c>
      <c r="O117" s="3" t="s">
        <v>82</v>
      </c>
      <c r="P117" s="3" t="str">
        <f>"..                            "</f>
        <v xml:space="preserve">..                            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21.74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1</v>
      </c>
      <c r="BI117" s="3">
        <v>0.2</v>
      </c>
      <c r="BJ117" s="3">
        <v>1.7</v>
      </c>
      <c r="BK117" s="3">
        <v>2</v>
      </c>
      <c r="BL117" s="3">
        <v>82.98</v>
      </c>
      <c r="BM117" s="3">
        <v>12.45</v>
      </c>
      <c r="BN117" s="3">
        <v>95.43</v>
      </c>
      <c r="BO117" s="3">
        <v>95.43</v>
      </c>
      <c r="BQ117" s="3" t="s">
        <v>397</v>
      </c>
      <c r="BR117" s="3" t="s">
        <v>84</v>
      </c>
      <c r="BS117" s="4">
        <v>44581</v>
      </c>
      <c r="BT117" s="5">
        <v>0.9145833333333333</v>
      </c>
      <c r="BU117" s="3" t="s">
        <v>398</v>
      </c>
      <c r="BV117" s="3" t="s">
        <v>88</v>
      </c>
      <c r="BW117" s="3" t="s">
        <v>399</v>
      </c>
      <c r="BX117" s="3" t="s">
        <v>400</v>
      </c>
      <c r="BY117" s="3">
        <v>8704.08</v>
      </c>
      <c r="BZ117" s="3" t="s">
        <v>86</v>
      </c>
      <c r="CA117" s="3" t="s">
        <v>401</v>
      </c>
      <c r="CC117" s="3" t="s">
        <v>396</v>
      </c>
      <c r="CD117" s="3">
        <v>2302</v>
      </c>
      <c r="CE117" s="3" t="s">
        <v>87</v>
      </c>
      <c r="CF117" s="4">
        <v>44582</v>
      </c>
      <c r="CI117" s="3">
        <v>1</v>
      </c>
      <c r="CJ117" s="3">
        <v>1</v>
      </c>
      <c r="CK117" s="3">
        <v>34</v>
      </c>
      <c r="CL117" s="3" t="s">
        <v>88</v>
      </c>
    </row>
    <row r="118" spans="1:90" x14ac:dyDescent="0.2">
      <c r="A118" s="3" t="s">
        <v>72</v>
      </c>
      <c r="B118" s="3" t="s">
        <v>73</v>
      </c>
      <c r="C118" s="3" t="s">
        <v>74</v>
      </c>
      <c r="E118" s="3" t="str">
        <f>"009941640797"</f>
        <v>009941640797</v>
      </c>
      <c r="F118" s="4">
        <v>44580</v>
      </c>
      <c r="G118" s="3">
        <v>202207</v>
      </c>
      <c r="H118" s="3" t="s">
        <v>75</v>
      </c>
      <c r="I118" s="3" t="s">
        <v>76</v>
      </c>
      <c r="J118" s="3" t="s">
        <v>77</v>
      </c>
      <c r="K118" s="3" t="s">
        <v>78</v>
      </c>
      <c r="L118" s="3" t="s">
        <v>127</v>
      </c>
      <c r="M118" s="3" t="s">
        <v>128</v>
      </c>
      <c r="N118" s="3" t="s">
        <v>91</v>
      </c>
      <c r="O118" s="3" t="s">
        <v>82</v>
      </c>
      <c r="P118" s="3" t="str">
        <f>"..                            "</f>
        <v xml:space="preserve">..                            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28.98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1</v>
      </c>
      <c r="BI118" s="3">
        <v>1</v>
      </c>
      <c r="BJ118" s="3">
        <v>0.2</v>
      </c>
      <c r="BK118" s="3">
        <v>1</v>
      </c>
      <c r="BL118" s="3">
        <v>110.62</v>
      </c>
      <c r="BM118" s="3">
        <v>16.59</v>
      </c>
      <c r="BN118" s="3">
        <v>127.21</v>
      </c>
      <c r="BO118" s="3">
        <v>127.21</v>
      </c>
      <c r="BQ118" s="3" t="s">
        <v>402</v>
      </c>
      <c r="BR118" s="3" t="s">
        <v>84</v>
      </c>
      <c r="BS118" s="4">
        <v>44581</v>
      </c>
      <c r="BT118" s="5">
        <v>0.47291666666666665</v>
      </c>
      <c r="BU118" s="3" t="s">
        <v>403</v>
      </c>
      <c r="BV118" s="3" t="s">
        <v>94</v>
      </c>
      <c r="BY118" s="3">
        <v>1200</v>
      </c>
      <c r="BZ118" s="3" t="s">
        <v>86</v>
      </c>
      <c r="CA118" s="3" t="s">
        <v>331</v>
      </c>
      <c r="CC118" s="3" t="s">
        <v>128</v>
      </c>
      <c r="CD118" s="3">
        <v>3600</v>
      </c>
      <c r="CE118" s="3" t="s">
        <v>87</v>
      </c>
      <c r="CF118" s="4">
        <v>44582</v>
      </c>
      <c r="CI118" s="3">
        <v>1</v>
      </c>
      <c r="CJ118" s="3">
        <v>1</v>
      </c>
      <c r="CK118" s="3">
        <v>31</v>
      </c>
      <c r="CL118" s="3" t="s">
        <v>88</v>
      </c>
    </row>
    <row r="119" spans="1:90" x14ac:dyDescent="0.2">
      <c r="A119" s="3" t="s">
        <v>72</v>
      </c>
      <c r="B119" s="3" t="s">
        <v>73</v>
      </c>
      <c r="C119" s="3" t="s">
        <v>74</v>
      </c>
      <c r="E119" s="3" t="str">
        <f>"009941640795"</f>
        <v>009941640795</v>
      </c>
      <c r="F119" s="4">
        <v>44580</v>
      </c>
      <c r="G119" s="3">
        <v>202207</v>
      </c>
      <c r="H119" s="3" t="s">
        <v>75</v>
      </c>
      <c r="I119" s="3" t="s">
        <v>76</v>
      </c>
      <c r="J119" s="3" t="s">
        <v>77</v>
      </c>
      <c r="K119" s="3" t="s">
        <v>78</v>
      </c>
      <c r="L119" s="3" t="s">
        <v>404</v>
      </c>
      <c r="M119" s="3" t="s">
        <v>405</v>
      </c>
      <c r="N119" s="3" t="s">
        <v>406</v>
      </c>
      <c r="O119" s="3" t="s">
        <v>82</v>
      </c>
      <c r="P119" s="3" t="str">
        <f>"..                            "</f>
        <v xml:space="preserve">..                            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29.95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1</v>
      </c>
      <c r="BI119" s="3">
        <v>0.2</v>
      </c>
      <c r="BJ119" s="3">
        <v>1</v>
      </c>
      <c r="BK119" s="3">
        <v>1</v>
      </c>
      <c r="BL119" s="3">
        <v>114.31</v>
      </c>
      <c r="BM119" s="3">
        <v>17.149999999999999</v>
      </c>
      <c r="BN119" s="3">
        <v>131.46</v>
      </c>
      <c r="BO119" s="3">
        <v>131.46</v>
      </c>
      <c r="BQ119" s="3" t="s">
        <v>98</v>
      </c>
      <c r="BR119" s="3" t="s">
        <v>84</v>
      </c>
      <c r="BS119" s="4">
        <v>44581</v>
      </c>
      <c r="BT119" s="5">
        <v>0.44722222222222219</v>
      </c>
      <c r="BU119" s="3" t="s">
        <v>407</v>
      </c>
      <c r="BV119" s="3" t="s">
        <v>94</v>
      </c>
      <c r="BY119" s="3">
        <v>4846.59</v>
      </c>
      <c r="BZ119" s="3" t="s">
        <v>86</v>
      </c>
      <c r="CA119" s="3" t="s">
        <v>408</v>
      </c>
      <c r="CC119" s="3" t="s">
        <v>405</v>
      </c>
      <c r="CD119" s="3">
        <v>2350</v>
      </c>
      <c r="CE119" s="3" t="s">
        <v>87</v>
      </c>
      <c r="CF119" s="4">
        <v>44581</v>
      </c>
      <c r="CI119" s="3">
        <v>1</v>
      </c>
      <c r="CJ119" s="3">
        <v>1</v>
      </c>
      <c r="CK119" s="3">
        <v>33</v>
      </c>
      <c r="CL119" s="3" t="s">
        <v>88</v>
      </c>
    </row>
    <row r="120" spans="1:90" x14ac:dyDescent="0.2">
      <c r="A120" s="3" t="s">
        <v>72</v>
      </c>
      <c r="B120" s="3" t="s">
        <v>73</v>
      </c>
      <c r="C120" s="3" t="s">
        <v>74</v>
      </c>
      <c r="E120" s="3" t="str">
        <f>"009941301682"</f>
        <v>009941301682</v>
      </c>
      <c r="F120" s="4">
        <v>44580</v>
      </c>
      <c r="G120" s="3">
        <v>202207</v>
      </c>
      <c r="H120" s="3" t="s">
        <v>318</v>
      </c>
      <c r="I120" s="3" t="s">
        <v>319</v>
      </c>
      <c r="J120" s="3" t="s">
        <v>320</v>
      </c>
      <c r="K120" s="3" t="s">
        <v>78</v>
      </c>
      <c r="L120" s="3" t="s">
        <v>75</v>
      </c>
      <c r="M120" s="3" t="s">
        <v>76</v>
      </c>
      <c r="N120" s="3" t="s">
        <v>109</v>
      </c>
      <c r="O120" s="3" t="s">
        <v>110</v>
      </c>
      <c r="P120" s="3" t="str">
        <f>"NA                            "</f>
        <v xml:space="preserve">NA                            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12.07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1</v>
      </c>
      <c r="BI120" s="3">
        <v>1</v>
      </c>
      <c r="BJ120" s="3">
        <v>0.2</v>
      </c>
      <c r="BK120" s="3">
        <v>1</v>
      </c>
      <c r="BL120" s="3">
        <v>46.08</v>
      </c>
      <c r="BM120" s="3">
        <v>6.91</v>
      </c>
      <c r="BN120" s="3">
        <v>52.99</v>
      </c>
      <c r="BO120" s="3">
        <v>52.99</v>
      </c>
      <c r="BQ120" s="3" t="s">
        <v>162</v>
      </c>
      <c r="BR120" s="3" t="s">
        <v>409</v>
      </c>
      <c r="BS120" s="4">
        <v>44581</v>
      </c>
      <c r="BT120" s="5">
        <v>0.32083333333333336</v>
      </c>
      <c r="BU120" s="3" t="s">
        <v>113</v>
      </c>
      <c r="BV120" s="3" t="s">
        <v>94</v>
      </c>
      <c r="BY120" s="3">
        <v>1200</v>
      </c>
      <c r="BZ120" s="3" t="s">
        <v>114</v>
      </c>
      <c r="CA120" s="3" t="s">
        <v>115</v>
      </c>
      <c r="CC120" s="3" t="s">
        <v>76</v>
      </c>
      <c r="CD120" s="3">
        <v>2013</v>
      </c>
      <c r="CE120" s="3" t="s">
        <v>87</v>
      </c>
      <c r="CF120" s="4">
        <v>44581</v>
      </c>
      <c r="CI120" s="3">
        <v>1</v>
      </c>
      <c r="CJ120" s="3">
        <v>1</v>
      </c>
      <c r="CK120" s="3">
        <v>22</v>
      </c>
      <c r="CL120" s="3" t="s">
        <v>88</v>
      </c>
    </row>
    <row r="121" spans="1:90" x14ac:dyDescent="0.2">
      <c r="A121" s="3" t="s">
        <v>72</v>
      </c>
      <c r="B121" s="3" t="s">
        <v>73</v>
      </c>
      <c r="C121" s="3" t="s">
        <v>74</v>
      </c>
      <c r="E121" s="3" t="str">
        <f>"009941300110"</f>
        <v>009941300110</v>
      </c>
      <c r="F121" s="4">
        <v>44580</v>
      </c>
      <c r="G121" s="3">
        <v>202207</v>
      </c>
      <c r="H121" s="3" t="s">
        <v>241</v>
      </c>
      <c r="I121" s="3" t="s">
        <v>242</v>
      </c>
      <c r="J121" s="3" t="s">
        <v>77</v>
      </c>
      <c r="K121" s="3" t="s">
        <v>78</v>
      </c>
      <c r="L121" s="3" t="s">
        <v>75</v>
      </c>
      <c r="M121" s="3" t="s">
        <v>76</v>
      </c>
      <c r="N121" s="3" t="s">
        <v>410</v>
      </c>
      <c r="O121" s="3" t="s">
        <v>130</v>
      </c>
      <c r="P121" s="3" t="str">
        <f>"..                            "</f>
        <v xml:space="preserve">..                            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23.06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1</v>
      </c>
      <c r="BI121" s="3">
        <v>1</v>
      </c>
      <c r="BJ121" s="3">
        <v>0.2</v>
      </c>
      <c r="BK121" s="3">
        <v>1</v>
      </c>
      <c r="BL121" s="3">
        <v>93.28</v>
      </c>
      <c r="BM121" s="3">
        <v>13.99</v>
      </c>
      <c r="BN121" s="3">
        <v>107.27</v>
      </c>
      <c r="BO121" s="3">
        <v>107.27</v>
      </c>
      <c r="BQ121" s="3" t="s">
        <v>98</v>
      </c>
      <c r="BR121" s="3" t="s">
        <v>98</v>
      </c>
      <c r="BS121" s="4">
        <v>44581</v>
      </c>
      <c r="BT121" s="5">
        <v>0.31944444444444448</v>
      </c>
      <c r="BU121" s="3" t="s">
        <v>113</v>
      </c>
      <c r="BV121" s="3" t="s">
        <v>94</v>
      </c>
      <c r="BY121" s="3">
        <v>1200</v>
      </c>
      <c r="BZ121" s="3" t="s">
        <v>86</v>
      </c>
      <c r="CA121" s="3" t="s">
        <v>115</v>
      </c>
      <c r="CC121" s="3" t="s">
        <v>76</v>
      </c>
      <c r="CD121" s="3">
        <v>2013</v>
      </c>
      <c r="CE121" s="3" t="s">
        <v>87</v>
      </c>
      <c r="CF121" s="4">
        <v>44581</v>
      </c>
      <c r="CI121" s="3">
        <v>1</v>
      </c>
      <c r="CJ121" s="3">
        <v>1</v>
      </c>
      <c r="CK121" s="3">
        <v>42</v>
      </c>
      <c r="CL121" s="3" t="s">
        <v>88</v>
      </c>
    </row>
    <row r="122" spans="1:90" x14ac:dyDescent="0.2">
      <c r="A122" s="3" t="s">
        <v>72</v>
      </c>
      <c r="B122" s="3" t="s">
        <v>73</v>
      </c>
      <c r="C122" s="3" t="s">
        <v>74</v>
      </c>
      <c r="E122" s="3" t="str">
        <f>"009941984028"</f>
        <v>009941984028</v>
      </c>
      <c r="F122" s="4">
        <v>44581</v>
      </c>
      <c r="G122" s="3">
        <v>202207</v>
      </c>
      <c r="H122" s="3" t="s">
        <v>116</v>
      </c>
      <c r="I122" s="3" t="s">
        <v>117</v>
      </c>
      <c r="J122" s="3" t="s">
        <v>109</v>
      </c>
      <c r="K122" s="3" t="s">
        <v>78</v>
      </c>
      <c r="L122" s="3" t="s">
        <v>75</v>
      </c>
      <c r="M122" s="3" t="s">
        <v>76</v>
      </c>
      <c r="N122" s="3" t="s">
        <v>109</v>
      </c>
      <c r="O122" s="3" t="s">
        <v>110</v>
      </c>
      <c r="P122" s="3" t="str">
        <f>"                              "</f>
        <v xml:space="preserve">                              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15.46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1</v>
      </c>
      <c r="BI122" s="3">
        <v>1</v>
      </c>
      <c r="BJ122" s="3">
        <v>0.2</v>
      </c>
      <c r="BK122" s="3">
        <v>1</v>
      </c>
      <c r="BL122" s="3">
        <v>59</v>
      </c>
      <c r="BM122" s="3">
        <v>8.85</v>
      </c>
      <c r="BN122" s="3">
        <v>67.849999999999994</v>
      </c>
      <c r="BO122" s="3">
        <v>67.849999999999994</v>
      </c>
      <c r="BR122" s="3" t="s">
        <v>153</v>
      </c>
      <c r="BS122" s="4">
        <v>44582</v>
      </c>
      <c r="BT122" s="5">
        <v>0.31180555555555556</v>
      </c>
      <c r="BU122" s="3" t="s">
        <v>113</v>
      </c>
      <c r="BV122" s="3" t="s">
        <v>94</v>
      </c>
      <c r="BY122" s="3">
        <v>1200</v>
      </c>
      <c r="BZ122" s="3" t="s">
        <v>114</v>
      </c>
      <c r="CA122" s="3" t="s">
        <v>115</v>
      </c>
      <c r="CC122" s="3" t="s">
        <v>76</v>
      </c>
      <c r="CD122" s="3">
        <v>2190</v>
      </c>
      <c r="CE122" s="3" t="s">
        <v>87</v>
      </c>
      <c r="CF122" s="4">
        <v>44582</v>
      </c>
      <c r="CI122" s="3">
        <v>1</v>
      </c>
      <c r="CJ122" s="3">
        <v>1</v>
      </c>
      <c r="CK122" s="3">
        <v>21</v>
      </c>
      <c r="CL122" s="3" t="s">
        <v>88</v>
      </c>
    </row>
    <row r="123" spans="1:90" x14ac:dyDescent="0.2">
      <c r="A123" s="3" t="s">
        <v>72</v>
      </c>
      <c r="B123" s="3" t="s">
        <v>73</v>
      </c>
      <c r="C123" s="3" t="s">
        <v>74</v>
      </c>
      <c r="E123" s="3" t="str">
        <f>"009941640793"</f>
        <v>009941640793</v>
      </c>
      <c r="F123" s="4">
        <v>44581</v>
      </c>
      <c r="G123" s="3">
        <v>202207</v>
      </c>
      <c r="H123" s="3" t="s">
        <v>75</v>
      </c>
      <c r="I123" s="3" t="s">
        <v>76</v>
      </c>
      <c r="J123" s="3" t="s">
        <v>77</v>
      </c>
      <c r="K123" s="3" t="s">
        <v>78</v>
      </c>
      <c r="L123" s="3" t="s">
        <v>411</v>
      </c>
      <c r="M123" s="3" t="s">
        <v>412</v>
      </c>
      <c r="N123" s="3" t="s">
        <v>91</v>
      </c>
      <c r="O123" s="3" t="s">
        <v>82</v>
      </c>
      <c r="P123" s="3" t="str">
        <f>"..                            "</f>
        <v xml:space="preserve">..                            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29.95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1</v>
      </c>
      <c r="BI123" s="3">
        <v>1</v>
      </c>
      <c r="BJ123" s="3">
        <v>2.4</v>
      </c>
      <c r="BK123" s="3">
        <v>3</v>
      </c>
      <c r="BL123" s="3">
        <v>114.31</v>
      </c>
      <c r="BM123" s="3">
        <v>17.149999999999999</v>
      </c>
      <c r="BN123" s="3">
        <v>131.46</v>
      </c>
      <c r="BO123" s="3">
        <v>131.46</v>
      </c>
      <c r="BQ123" s="3" t="s">
        <v>413</v>
      </c>
      <c r="BR123" s="3" t="s">
        <v>84</v>
      </c>
      <c r="BS123" s="4">
        <v>44582</v>
      </c>
      <c r="BT123" s="5">
        <v>0.65763888888888888</v>
      </c>
      <c r="BU123" s="3" t="s">
        <v>414</v>
      </c>
      <c r="BV123" s="3" t="s">
        <v>94</v>
      </c>
      <c r="BY123" s="3">
        <v>12000</v>
      </c>
      <c r="BZ123" s="3" t="s">
        <v>86</v>
      </c>
      <c r="CA123" s="3" t="s">
        <v>415</v>
      </c>
      <c r="CC123" s="3" t="s">
        <v>412</v>
      </c>
      <c r="CD123" s="3">
        <v>7280</v>
      </c>
      <c r="CE123" s="3" t="s">
        <v>87</v>
      </c>
      <c r="CF123" s="4">
        <v>44585</v>
      </c>
      <c r="CI123" s="3">
        <v>2</v>
      </c>
      <c r="CJ123" s="3">
        <v>1</v>
      </c>
      <c r="CK123" s="3">
        <v>33</v>
      </c>
      <c r="CL123" s="3" t="s">
        <v>88</v>
      </c>
    </row>
    <row r="124" spans="1:90" x14ac:dyDescent="0.2">
      <c r="A124" s="3" t="s">
        <v>72</v>
      </c>
      <c r="B124" s="3" t="s">
        <v>73</v>
      </c>
      <c r="C124" s="3" t="s">
        <v>74</v>
      </c>
      <c r="E124" s="3" t="str">
        <f>"009941300492"</f>
        <v>009941300492</v>
      </c>
      <c r="F124" s="4">
        <v>44579</v>
      </c>
      <c r="G124" s="3">
        <v>202207</v>
      </c>
      <c r="H124" s="3" t="s">
        <v>104</v>
      </c>
      <c r="I124" s="3" t="s">
        <v>105</v>
      </c>
      <c r="J124" s="3" t="s">
        <v>280</v>
      </c>
      <c r="K124" s="3" t="s">
        <v>78</v>
      </c>
      <c r="L124" s="3" t="s">
        <v>75</v>
      </c>
      <c r="M124" s="3" t="s">
        <v>76</v>
      </c>
      <c r="N124" s="3" t="s">
        <v>416</v>
      </c>
      <c r="O124" s="3" t="s">
        <v>130</v>
      </c>
      <c r="P124" s="3" t="str">
        <f>"NOREF                         "</f>
        <v xml:space="preserve">NOREF                         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29.89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1</v>
      </c>
      <c r="BI124" s="3">
        <v>1</v>
      </c>
      <c r="BJ124" s="3">
        <v>0.2</v>
      </c>
      <c r="BK124" s="3">
        <v>1</v>
      </c>
      <c r="BL124" s="3">
        <v>119.34</v>
      </c>
      <c r="BM124" s="3">
        <v>17.899999999999999</v>
      </c>
      <c r="BN124" s="3">
        <v>137.24</v>
      </c>
      <c r="BO124" s="3">
        <v>137.24</v>
      </c>
      <c r="BQ124" s="3" t="s">
        <v>417</v>
      </c>
      <c r="BR124" s="3" t="s">
        <v>135</v>
      </c>
      <c r="BS124" s="4">
        <v>44580</v>
      </c>
      <c r="BT124" s="5">
        <v>0.35972222222222222</v>
      </c>
      <c r="BU124" s="3" t="s">
        <v>113</v>
      </c>
      <c r="BV124" s="3" t="s">
        <v>94</v>
      </c>
      <c r="BY124" s="3">
        <v>1200</v>
      </c>
      <c r="BZ124" s="3" t="s">
        <v>86</v>
      </c>
      <c r="CA124" s="3" t="s">
        <v>115</v>
      </c>
      <c r="CC124" s="3" t="s">
        <v>76</v>
      </c>
      <c r="CD124" s="3">
        <v>2013</v>
      </c>
      <c r="CE124" s="3" t="s">
        <v>87</v>
      </c>
      <c r="CF124" s="4">
        <v>44581</v>
      </c>
      <c r="CI124" s="3">
        <v>1</v>
      </c>
      <c r="CJ124" s="3">
        <v>1</v>
      </c>
      <c r="CK124" s="3">
        <v>41</v>
      </c>
      <c r="CL124" s="3" t="s">
        <v>88</v>
      </c>
    </row>
    <row r="125" spans="1:90" x14ac:dyDescent="0.2">
      <c r="A125" s="3" t="s">
        <v>72</v>
      </c>
      <c r="B125" s="3" t="s">
        <v>73</v>
      </c>
      <c r="C125" s="3" t="s">
        <v>74</v>
      </c>
      <c r="E125" s="3" t="str">
        <f>"009941300430"</f>
        <v>009941300430</v>
      </c>
      <c r="F125" s="4">
        <v>44579</v>
      </c>
      <c r="G125" s="3">
        <v>202207</v>
      </c>
      <c r="H125" s="3" t="s">
        <v>104</v>
      </c>
      <c r="I125" s="3" t="s">
        <v>105</v>
      </c>
      <c r="J125" s="3" t="s">
        <v>208</v>
      </c>
      <c r="K125" s="3" t="s">
        <v>78</v>
      </c>
      <c r="L125" s="3" t="s">
        <v>75</v>
      </c>
      <c r="M125" s="3" t="s">
        <v>76</v>
      </c>
      <c r="N125" s="3" t="s">
        <v>109</v>
      </c>
      <c r="O125" s="3" t="s">
        <v>130</v>
      </c>
      <c r="P125" s="3" t="str">
        <f>"NOREF                         "</f>
        <v xml:space="preserve">NOREF                         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29.89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1</v>
      </c>
      <c r="BI125" s="3">
        <v>1</v>
      </c>
      <c r="BJ125" s="3">
        <v>0.2</v>
      </c>
      <c r="BK125" s="3">
        <v>1</v>
      </c>
      <c r="BL125" s="3">
        <v>119.34</v>
      </c>
      <c r="BM125" s="3">
        <v>17.899999999999999</v>
      </c>
      <c r="BN125" s="3">
        <v>137.24</v>
      </c>
      <c r="BO125" s="3">
        <v>137.24</v>
      </c>
      <c r="BQ125" s="3" t="s">
        <v>162</v>
      </c>
      <c r="BR125" s="3" t="s">
        <v>135</v>
      </c>
      <c r="BS125" s="4">
        <v>44580</v>
      </c>
      <c r="BT125" s="5">
        <v>0.3611111111111111</v>
      </c>
      <c r="BU125" s="3" t="s">
        <v>113</v>
      </c>
      <c r="BV125" s="3" t="s">
        <v>94</v>
      </c>
      <c r="BY125" s="3">
        <v>1200</v>
      </c>
      <c r="BZ125" s="3" t="s">
        <v>86</v>
      </c>
      <c r="CA125" s="3" t="s">
        <v>115</v>
      </c>
      <c r="CC125" s="3" t="s">
        <v>76</v>
      </c>
      <c r="CD125" s="3">
        <v>2013</v>
      </c>
      <c r="CE125" s="3" t="s">
        <v>87</v>
      </c>
      <c r="CF125" s="4">
        <v>44581</v>
      </c>
      <c r="CI125" s="3">
        <v>1</v>
      </c>
      <c r="CJ125" s="3">
        <v>1</v>
      </c>
      <c r="CK125" s="3">
        <v>41</v>
      </c>
      <c r="CL125" s="3" t="s">
        <v>88</v>
      </c>
    </row>
    <row r="126" spans="1:90" x14ac:dyDescent="0.2">
      <c r="A126" s="3" t="s">
        <v>72</v>
      </c>
      <c r="B126" s="3" t="s">
        <v>73</v>
      </c>
      <c r="C126" s="3" t="s">
        <v>74</v>
      </c>
      <c r="E126" s="3" t="str">
        <f>"009941301740"</f>
        <v>009941301740</v>
      </c>
      <c r="F126" s="4">
        <v>44579</v>
      </c>
      <c r="G126" s="3">
        <v>202207</v>
      </c>
      <c r="H126" s="3" t="s">
        <v>99</v>
      </c>
      <c r="I126" s="3" t="s">
        <v>100</v>
      </c>
      <c r="J126" s="3" t="s">
        <v>205</v>
      </c>
      <c r="K126" s="3" t="s">
        <v>78</v>
      </c>
      <c r="L126" s="3" t="s">
        <v>75</v>
      </c>
      <c r="M126" s="3" t="s">
        <v>76</v>
      </c>
      <c r="N126" s="3" t="s">
        <v>136</v>
      </c>
      <c r="O126" s="3" t="s">
        <v>110</v>
      </c>
      <c r="P126" s="3" t="str">
        <f>"NOREF                         "</f>
        <v xml:space="preserve">NOREF                         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15.46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1</v>
      </c>
      <c r="BI126" s="3">
        <v>1</v>
      </c>
      <c r="BJ126" s="3">
        <v>0.2</v>
      </c>
      <c r="BK126" s="3">
        <v>1</v>
      </c>
      <c r="BL126" s="3">
        <v>59</v>
      </c>
      <c r="BM126" s="3">
        <v>8.85</v>
      </c>
      <c r="BN126" s="3">
        <v>67.849999999999994</v>
      </c>
      <c r="BO126" s="3">
        <v>67.849999999999994</v>
      </c>
      <c r="BQ126" s="3" t="s">
        <v>162</v>
      </c>
      <c r="BR126" s="3" t="s">
        <v>98</v>
      </c>
      <c r="BS126" s="4">
        <v>44580</v>
      </c>
      <c r="BT126" s="5">
        <v>0.36249999999999999</v>
      </c>
      <c r="BU126" s="3" t="s">
        <v>113</v>
      </c>
      <c r="BV126" s="3" t="s">
        <v>94</v>
      </c>
      <c r="BY126" s="3">
        <v>1200</v>
      </c>
      <c r="BZ126" s="3" t="s">
        <v>114</v>
      </c>
      <c r="CA126" s="3" t="s">
        <v>115</v>
      </c>
      <c r="CC126" s="3" t="s">
        <v>76</v>
      </c>
      <c r="CD126" s="3">
        <v>2013</v>
      </c>
      <c r="CE126" s="3" t="s">
        <v>87</v>
      </c>
      <c r="CF126" s="4">
        <v>44581</v>
      </c>
      <c r="CI126" s="3">
        <v>1</v>
      </c>
      <c r="CJ126" s="3">
        <v>1</v>
      </c>
      <c r="CK126" s="3">
        <v>21</v>
      </c>
      <c r="CL126" s="3" t="s">
        <v>88</v>
      </c>
    </row>
    <row r="127" spans="1:90" x14ac:dyDescent="0.2">
      <c r="A127" s="3" t="s">
        <v>72</v>
      </c>
      <c r="B127" s="3" t="s">
        <v>73</v>
      </c>
      <c r="C127" s="3" t="s">
        <v>74</v>
      </c>
      <c r="E127" s="3" t="str">
        <f>"009941976892"</f>
        <v>009941976892</v>
      </c>
      <c r="F127" s="4">
        <v>44585</v>
      </c>
      <c r="G127" s="3">
        <v>202207</v>
      </c>
      <c r="H127" s="3" t="s">
        <v>127</v>
      </c>
      <c r="I127" s="3" t="s">
        <v>128</v>
      </c>
      <c r="J127" s="3" t="s">
        <v>129</v>
      </c>
      <c r="K127" s="3" t="s">
        <v>78</v>
      </c>
      <c r="L127" s="3" t="s">
        <v>75</v>
      </c>
      <c r="M127" s="3" t="s">
        <v>76</v>
      </c>
      <c r="N127" s="3" t="s">
        <v>109</v>
      </c>
      <c r="O127" s="3" t="s">
        <v>82</v>
      </c>
      <c r="P127" s="3" t="str">
        <f>"                              "</f>
        <v xml:space="preserve">                              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36.229999999999997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2</v>
      </c>
      <c r="BI127" s="3">
        <v>3</v>
      </c>
      <c r="BJ127" s="3">
        <v>4.8</v>
      </c>
      <c r="BK127" s="3">
        <v>5</v>
      </c>
      <c r="BL127" s="3">
        <v>138.28</v>
      </c>
      <c r="BM127" s="3">
        <v>20.74</v>
      </c>
      <c r="BN127" s="3">
        <v>159.02000000000001</v>
      </c>
      <c r="BO127" s="3">
        <v>159.02000000000001</v>
      </c>
      <c r="BQ127" s="3" t="s">
        <v>131</v>
      </c>
      <c r="BR127" s="3" t="s">
        <v>132</v>
      </c>
      <c r="BS127" s="4">
        <v>44586</v>
      </c>
      <c r="BT127" s="5">
        <v>0.3430555555555555</v>
      </c>
      <c r="BU127" s="3" t="s">
        <v>418</v>
      </c>
      <c r="BV127" s="3" t="s">
        <v>94</v>
      </c>
      <c r="BY127" s="3">
        <v>12000</v>
      </c>
      <c r="BZ127" s="3" t="s">
        <v>86</v>
      </c>
      <c r="CA127" s="3" t="s">
        <v>115</v>
      </c>
      <c r="CC127" s="3" t="s">
        <v>76</v>
      </c>
      <c r="CD127" s="3">
        <v>2013</v>
      </c>
      <c r="CE127" s="3" t="s">
        <v>87</v>
      </c>
      <c r="CF127" s="4">
        <v>44587</v>
      </c>
      <c r="CI127" s="3">
        <v>1</v>
      </c>
      <c r="CJ127" s="3">
        <v>1</v>
      </c>
      <c r="CK127" s="3">
        <v>31</v>
      </c>
      <c r="CL127" s="3" t="s">
        <v>88</v>
      </c>
    </row>
    <row r="128" spans="1:90" x14ac:dyDescent="0.2">
      <c r="A128" s="3" t="s">
        <v>72</v>
      </c>
      <c r="B128" s="3" t="s">
        <v>73</v>
      </c>
      <c r="C128" s="3" t="s">
        <v>74</v>
      </c>
      <c r="E128" s="3" t="str">
        <f>"009941640787"</f>
        <v>009941640787</v>
      </c>
      <c r="F128" s="4">
        <v>44585</v>
      </c>
      <c r="G128" s="3">
        <v>202207</v>
      </c>
      <c r="H128" s="3" t="s">
        <v>75</v>
      </c>
      <c r="I128" s="3" t="s">
        <v>76</v>
      </c>
      <c r="J128" s="3" t="s">
        <v>77</v>
      </c>
      <c r="K128" s="3" t="s">
        <v>78</v>
      </c>
      <c r="L128" s="3" t="s">
        <v>419</v>
      </c>
      <c r="M128" s="3" t="s">
        <v>420</v>
      </c>
      <c r="N128" s="3" t="s">
        <v>421</v>
      </c>
      <c r="O128" s="3" t="s">
        <v>82</v>
      </c>
      <c r="P128" s="3" t="str">
        <f t="shared" ref="P128:P134" si="3">"..                            "</f>
        <v xml:space="preserve">..                            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29.95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1</v>
      </c>
      <c r="BI128" s="3">
        <v>0.2</v>
      </c>
      <c r="BJ128" s="3">
        <v>1.8</v>
      </c>
      <c r="BK128" s="3">
        <v>2</v>
      </c>
      <c r="BL128" s="3">
        <v>114.31</v>
      </c>
      <c r="BM128" s="3">
        <v>17.149999999999999</v>
      </c>
      <c r="BN128" s="3">
        <v>131.46</v>
      </c>
      <c r="BO128" s="3">
        <v>131.46</v>
      </c>
      <c r="BQ128" s="3" t="s">
        <v>422</v>
      </c>
      <c r="BR128" s="3" t="s">
        <v>84</v>
      </c>
      <c r="BS128" s="4">
        <v>44587</v>
      </c>
      <c r="BT128" s="5">
        <v>0.4826388888888889</v>
      </c>
      <c r="BU128" s="3" t="s">
        <v>423</v>
      </c>
      <c r="BV128" s="3" t="s">
        <v>94</v>
      </c>
      <c r="BY128" s="3">
        <v>8884.7900000000009</v>
      </c>
      <c r="BZ128" s="3" t="s">
        <v>86</v>
      </c>
      <c r="CC128" s="3" t="s">
        <v>420</v>
      </c>
      <c r="CD128" s="3">
        <v>4700</v>
      </c>
      <c r="CE128" s="3" t="s">
        <v>87</v>
      </c>
      <c r="CI128" s="3">
        <v>2</v>
      </c>
      <c r="CJ128" s="3">
        <v>2</v>
      </c>
      <c r="CK128" s="3">
        <v>33</v>
      </c>
      <c r="CL128" s="3" t="s">
        <v>88</v>
      </c>
    </row>
    <row r="129" spans="1:90" x14ac:dyDescent="0.2">
      <c r="A129" s="3" t="s">
        <v>72</v>
      </c>
      <c r="B129" s="3" t="s">
        <v>73</v>
      </c>
      <c r="C129" s="3" t="s">
        <v>74</v>
      </c>
      <c r="E129" s="3" t="str">
        <f>"009941640791"</f>
        <v>009941640791</v>
      </c>
      <c r="F129" s="4">
        <v>44585</v>
      </c>
      <c r="G129" s="3">
        <v>202207</v>
      </c>
      <c r="H129" s="3" t="s">
        <v>75</v>
      </c>
      <c r="I129" s="3" t="s">
        <v>76</v>
      </c>
      <c r="J129" s="3" t="s">
        <v>77</v>
      </c>
      <c r="K129" s="3" t="s">
        <v>78</v>
      </c>
      <c r="L129" s="3" t="s">
        <v>172</v>
      </c>
      <c r="M129" s="3" t="s">
        <v>173</v>
      </c>
      <c r="N129" s="3" t="s">
        <v>91</v>
      </c>
      <c r="O129" s="3" t="s">
        <v>82</v>
      </c>
      <c r="P129" s="3" t="str">
        <f t="shared" si="3"/>
        <v xml:space="preserve">..                            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12.08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1</v>
      </c>
      <c r="BI129" s="3">
        <v>0.6</v>
      </c>
      <c r="BJ129" s="3">
        <v>1.7</v>
      </c>
      <c r="BK129" s="3">
        <v>2</v>
      </c>
      <c r="BL129" s="3">
        <v>46.1</v>
      </c>
      <c r="BM129" s="3">
        <v>6.92</v>
      </c>
      <c r="BN129" s="3">
        <v>53.02</v>
      </c>
      <c r="BO129" s="3">
        <v>53.02</v>
      </c>
      <c r="BQ129" s="3" t="s">
        <v>424</v>
      </c>
      <c r="BR129" s="3" t="s">
        <v>84</v>
      </c>
      <c r="BS129" s="4">
        <v>44586</v>
      </c>
      <c r="BT129" s="5">
        <v>0.47152777777777777</v>
      </c>
      <c r="BU129" s="3" t="s">
        <v>425</v>
      </c>
      <c r="BV129" s="3" t="s">
        <v>94</v>
      </c>
      <c r="BY129" s="3">
        <v>8717.66</v>
      </c>
      <c r="BZ129" s="3" t="s">
        <v>86</v>
      </c>
      <c r="CA129" s="3" t="s">
        <v>426</v>
      </c>
      <c r="CC129" s="3" t="s">
        <v>173</v>
      </c>
      <c r="CD129" s="3">
        <v>1459</v>
      </c>
      <c r="CE129" s="3" t="s">
        <v>87</v>
      </c>
      <c r="CF129" s="4">
        <v>44587</v>
      </c>
      <c r="CI129" s="3">
        <v>1</v>
      </c>
      <c r="CJ129" s="3">
        <v>1</v>
      </c>
      <c r="CK129" s="3">
        <v>32</v>
      </c>
      <c r="CL129" s="3" t="s">
        <v>88</v>
      </c>
    </row>
    <row r="130" spans="1:90" x14ac:dyDescent="0.2">
      <c r="A130" s="3" t="s">
        <v>72</v>
      </c>
      <c r="B130" s="3" t="s">
        <v>73</v>
      </c>
      <c r="C130" s="3" t="s">
        <v>74</v>
      </c>
      <c r="E130" s="3" t="str">
        <f>"009941640792"</f>
        <v>009941640792</v>
      </c>
      <c r="F130" s="4">
        <v>44585</v>
      </c>
      <c r="G130" s="3">
        <v>202207</v>
      </c>
      <c r="H130" s="3" t="s">
        <v>75</v>
      </c>
      <c r="I130" s="3" t="s">
        <v>76</v>
      </c>
      <c r="J130" s="3" t="s">
        <v>77</v>
      </c>
      <c r="K130" s="3" t="s">
        <v>78</v>
      </c>
      <c r="L130" s="3" t="s">
        <v>340</v>
      </c>
      <c r="M130" s="3" t="s">
        <v>341</v>
      </c>
      <c r="N130" s="3" t="s">
        <v>427</v>
      </c>
      <c r="O130" s="3" t="s">
        <v>130</v>
      </c>
      <c r="P130" s="3" t="str">
        <f t="shared" si="3"/>
        <v xml:space="preserve">..                            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33.01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1</v>
      </c>
      <c r="BI130" s="3">
        <v>1</v>
      </c>
      <c r="BJ130" s="3">
        <v>2</v>
      </c>
      <c r="BK130" s="3">
        <v>2</v>
      </c>
      <c r="BL130" s="3">
        <v>131.25</v>
      </c>
      <c r="BM130" s="3">
        <v>19.690000000000001</v>
      </c>
      <c r="BN130" s="3">
        <v>150.94</v>
      </c>
      <c r="BO130" s="3">
        <v>150.94</v>
      </c>
      <c r="BQ130" s="3" t="s">
        <v>98</v>
      </c>
      <c r="BR130" s="3" t="s">
        <v>84</v>
      </c>
      <c r="BS130" s="4">
        <v>44586</v>
      </c>
      <c r="BT130" s="5">
        <v>0.38611111111111113</v>
      </c>
      <c r="BU130" s="3" t="s">
        <v>428</v>
      </c>
      <c r="BV130" s="3" t="s">
        <v>94</v>
      </c>
      <c r="BY130" s="3">
        <v>10136.02</v>
      </c>
      <c r="BZ130" s="3" t="s">
        <v>86</v>
      </c>
      <c r="CA130" s="3" t="s">
        <v>429</v>
      </c>
      <c r="CC130" s="3" t="s">
        <v>341</v>
      </c>
      <c r="CD130" s="3">
        <v>1748</v>
      </c>
      <c r="CE130" s="3" t="s">
        <v>87</v>
      </c>
      <c r="CF130" s="4">
        <v>44586</v>
      </c>
      <c r="CI130" s="3">
        <v>1</v>
      </c>
      <c r="CJ130" s="3">
        <v>1</v>
      </c>
      <c r="CK130" s="3">
        <v>44</v>
      </c>
      <c r="CL130" s="3" t="s">
        <v>88</v>
      </c>
    </row>
    <row r="131" spans="1:90" x14ac:dyDescent="0.2">
      <c r="A131" s="3" t="s">
        <v>72</v>
      </c>
      <c r="B131" s="3" t="s">
        <v>73</v>
      </c>
      <c r="C131" s="3" t="s">
        <v>74</v>
      </c>
      <c r="E131" s="3" t="str">
        <f>"009941640786"</f>
        <v>009941640786</v>
      </c>
      <c r="F131" s="4">
        <v>44585</v>
      </c>
      <c r="G131" s="3">
        <v>202207</v>
      </c>
      <c r="H131" s="3" t="s">
        <v>75</v>
      </c>
      <c r="I131" s="3" t="s">
        <v>76</v>
      </c>
      <c r="J131" s="3" t="s">
        <v>77</v>
      </c>
      <c r="K131" s="3" t="s">
        <v>78</v>
      </c>
      <c r="L131" s="3" t="s">
        <v>188</v>
      </c>
      <c r="M131" s="3" t="s">
        <v>189</v>
      </c>
      <c r="N131" s="3" t="s">
        <v>91</v>
      </c>
      <c r="O131" s="3" t="s">
        <v>82</v>
      </c>
      <c r="P131" s="3" t="str">
        <f t="shared" si="3"/>
        <v xml:space="preserve">..                            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12.08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1</v>
      </c>
      <c r="BI131" s="3">
        <v>0.2</v>
      </c>
      <c r="BJ131" s="3">
        <v>0.3</v>
      </c>
      <c r="BK131" s="3">
        <v>1</v>
      </c>
      <c r="BL131" s="3">
        <v>46.1</v>
      </c>
      <c r="BM131" s="3">
        <v>6.92</v>
      </c>
      <c r="BN131" s="3">
        <v>53.02</v>
      </c>
      <c r="BO131" s="3">
        <v>53.02</v>
      </c>
      <c r="BQ131" s="3" t="s">
        <v>430</v>
      </c>
      <c r="BR131" s="3" t="s">
        <v>84</v>
      </c>
      <c r="BS131" s="4">
        <v>44586</v>
      </c>
      <c r="BT131" s="5">
        <v>0.34652777777777777</v>
      </c>
      <c r="BU131" s="3" t="s">
        <v>431</v>
      </c>
      <c r="BV131" s="3" t="s">
        <v>94</v>
      </c>
      <c r="BY131" s="3">
        <v>1616.47</v>
      </c>
      <c r="BZ131" s="3" t="s">
        <v>86</v>
      </c>
      <c r="CA131" s="3" t="s">
        <v>432</v>
      </c>
      <c r="CC131" s="3" t="s">
        <v>189</v>
      </c>
      <c r="CD131" s="3">
        <v>1685</v>
      </c>
      <c r="CE131" s="3" t="s">
        <v>87</v>
      </c>
      <c r="CF131" s="4">
        <v>44587</v>
      </c>
      <c r="CI131" s="3">
        <v>1</v>
      </c>
      <c r="CJ131" s="3">
        <v>1</v>
      </c>
      <c r="CK131" s="3">
        <v>32</v>
      </c>
      <c r="CL131" s="3" t="s">
        <v>88</v>
      </c>
    </row>
    <row r="132" spans="1:90" x14ac:dyDescent="0.2">
      <c r="A132" s="3" t="s">
        <v>72</v>
      </c>
      <c r="B132" s="3" t="s">
        <v>73</v>
      </c>
      <c r="C132" s="3" t="s">
        <v>74</v>
      </c>
      <c r="E132" s="3" t="str">
        <f>"009941640789"</f>
        <v>009941640789</v>
      </c>
      <c r="F132" s="4">
        <v>44585</v>
      </c>
      <c r="G132" s="3">
        <v>202207</v>
      </c>
      <c r="H132" s="3" t="s">
        <v>75</v>
      </c>
      <c r="I132" s="3" t="s">
        <v>76</v>
      </c>
      <c r="J132" s="3" t="s">
        <v>77</v>
      </c>
      <c r="K132" s="3" t="s">
        <v>78</v>
      </c>
      <c r="L132" s="3" t="s">
        <v>213</v>
      </c>
      <c r="M132" s="3" t="s">
        <v>214</v>
      </c>
      <c r="N132" s="3" t="s">
        <v>433</v>
      </c>
      <c r="O132" s="3" t="s">
        <v>82</v>
      </c>
      <c r="P132" s="3" t="str">
        <f t="shared" si="3"/>
        <v xml:space="preserve">..                            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12.08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1</v>
      </c>
      <c r="BI132" s="3">
        <v>0.6</v>
      </c>
      <c r="BJ132" s="3">
        <v>0.9</v>
      </c>
      <c r="BK132" s="3">
        <v>1</v>
      </c>
      <c r="BL132" s="3">
        <v>46.1</v>
      </c>
      <c r="BM132" s="3">
        <v>6.92</v>
      </c>
      <c r="BN132" s="3">
        <v>53.02</v>
      </c>
      <c r="BO132" s="3">
        <v>53.02</v>
      </c>
      <c r="BQ132" s="3" t="s">
        <v>98</v>
      </c>
      <c r="BR132" s="3" t="s">
        <v>84</v>
      </c>
      <c r="BS132" s="4">
        <v>44586</v>
      </c>
      <c r="BT132" s="5">
        <v>0.3520833333333333</v>
      </c>
      <c r="BU132" s="3" t="s">
        <v>434</v>
      </c>
      <c r="BV132" s="3" t="s">
        <v>94</v>
      </c>
      <c r="BY132" s="3">
        <v>4541.67</v>
      </c>
      <c r="BZ132" s="3" t="s">
        <v>86</v>
      </c>
      <c r="CA132" s="3" t="s">
        <v>435</v>
      </c>
      <c r="CC132" s="3" t="s">
        <v>214</v>
      </c>
      <c r="CD132" s="3">
        <v>1610</v>
      </c>
      <c r="CE132" s="3" t="s">
        <v>87</v>
      </c>
      <c r="CF132" s="4">
        <v>44587</v>
      </c>
      <c r="CI132" s="3">
        <v>1</v>
      </c>
      <c r="CJ132" s="3">
        <v>1</v>
      </c>
      <c r="CK132" s="3">
        <v>32</v>
      </c>
      <c r="CL132" s="3" t="s">
        <v>88</v>
      </c>
    </row>
    <row r="133" spans="1:90" x14ac:dyDescent="0.2">
      <c r="A133" s="3" t="s">
        <v>72</v>
      </c>
      <c r="B133" s="3" t="s">
        <v>73</v>
      </c>
      <c r="C133" s="3" t="s">
        <v>74</v>
      </c>
      <c r="E133" s="3" t="str">
        <f>"009941640790"</f>
        <v>009941640790</v>
      </c>
      <c r="F133" s="4">
        <v>44585</v>
      </c>
      <c r="G133" s="3">
        <v>202207</v>
      </c>
      <c r="H133" s="3" t="s">
        <v>75</v>
      </c>
      <c r="I133" s="3" t="s">
        <v>76</v>
      </c>
      <c r="J133" s="3" t="s">
        <v>77</v>
      </c>
      <c r="K133" s="3" t="s">
        <v>78</v>
      </c>
      <c r="L133" s="3" t="s">
        <v>436</v>
      </c>
      <c r="M133" s="3" t="s">
        <v>437</v>
      </c>
      <c r="N133" s="3" t="s">
        <v>438</v>
      </c>
      <c r="O133" s="3" t="s">
        <v>82</v>
      </c>
      <c r="P133" s="3" t="str">
        <f t="shared" si="3"/>
        <v xml:space="preserve">..                            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29.95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1</v>
      </c>
      <c r="BI133" s="3">
        <v>0.7</v>
      </c>
      <c r="BJ133" s="3">
        <v>3.8</v>
      </c>
      <c r="BK133" s="3">
        <v>4</v>
      </c>
      <c r="BL133" s="3">
        <v>114.31</v>
      </c>
      <c r="BM133" s="3">
        <v>17.149999999999999</v>
      </c>
      <c r="BN133" s="3">
        <v>131.46</v>
      </c>
      <c r="BO133" s="3">
        <v>131.46</v>
      </c>
      <c r="BQ133" s="3" t="s">
        <v>439</v>
      </c>
      <c r="BR133" s="3" t="s">
        <v>84</v>
      </c>
      <c r="BS133" s="4">
        <v>44586</v>
      </c>
      <c r="BT133" s="5">
        <v>0.43055555555555558</v>
      </c>
      <c r="BU133" s="3" t="s">
        <v>440</v>
      </c>
      <c r="BV133" s="3" t="s">
        <v>94</v>
      </c>
      <c r="BY133" s="3">
        <v>18750.03</v>
      </c>
      <c r="BZ133" s="3" t="s">
        <v>86</v>
      </c>
      <c r="CA133" s="3" t="s">
        <v>441</v>
      </c>
      <c r="CC133" s="3" t="s">
        <v>437</v>
      </c>
      <c r="CD133" s="3">
        <v>2470</v>
      </c>
      <c r="CE133" s="3" t="s">
        <v>87</v>
      </c>
      <c r="CF133" s="4">
        <v>44587</v>
      </c>
      <c r="CI133" s="3">
        <v>5</v>
      </c>
      <c r="CJ133" s="3">
        <v>1</v>
      </c>
      <c r="CK133" s="3">
        <v>33</v>
      </c>
      <c r="CL133" s="3" t="s">
        <v>88</v>
      </c>
    </row>
    <row r="134" spans="1:90" x14ac:dyDescent="0.2">
      <c r="A134" s="3" t="s">
        <v>72</v>
      </c>
      <c r="B134" s="3" t="s">
        <v>73</v>
      </c>
      <c r="C134" s="3" t="s">
        <v>74</v>
      </c>
      <c r="E134" s="3" t="str">
        <f>"009941640785"</f>
        <v>009941640785</v>
      </c>
      <c r="F134" s="4">
        <v>44586</v>
      </c>
      <c r="G134" s="3">
        <v>202207</v>
      </c>
      <c r="H134" s="3" t="s">
        <v>75</v>
      </c>
      <c r="I134" s="3" t="s">
        <v>76</v>
      </c>
      <c r="J134" s="3" t="s">
        <v>77</v>
      </c>
      <c r="K134" s="3" t="s">
        <v>78</v>
      </c>
      <c r="L134" s="3" t="s">
        <v>96</v>
      </c>
      <c r="M134" s="3" t="s">
        <v>97</v>
      </c>
      <c r="N134" s="3" t="s">
        <v>91</v>
      </c>
      <c r="O134" s="3" t="s">
        <v>82</v>
      </c>
      <c r="P134" s="3" t="str">
        <f t="shared" si="3"/>
        <v xml:space="preserve">..                            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115.93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1</v>
      </c>
      <c r="BI134" s="3">
        <v>8.9</v>
      </c>
      <c r="BJ134" s="3">
        <v>15.6</v>
      </c>
      <c r="BK134" s="3">
        <v>16</v>
      </c>
      <c r="BL134" s="3">
        <v>442.49</v>
      </c>
      <c r="BM134" s="3">
        <v>66.37</v>
      </c>
      <c r="BN134" s="3">
        <v>508.86</v>
      </c>
      <c r="BO134" s="3">
        <v>508.86</v>
      </c>
      <c r="BQ134" s="3" t="s">
        <v>442</v>
      </c>
      <c r="BR134" s="3" t="s">
        <v>84</v>
      </c>
      <c r="BS134" s="4">
        <v>44587</v>
      </c>
      <c r="BT134" s="5">
        <v>0.49513888888888885</v>
      </c>
      <c r="BU134" s="3" t="s">
        <v>443</v>
      </c>
      <c r="BV134" s="3" t="s">
        <v>94</v>
      </c>
      <c r="BY134" s="3">
        <v>78054.75</v>
      </c>
      <c r="BZ134" s="3" t="s">
        <v>86</v>
      </c>
      <c r="CA134" s="3" t="s">
        <v>444</v>
      </c>
      <c r="CC134" s="3" t="s">
        <v>97</v>
      </c>
      <c r="CD134" s="3">
        <v>7441</v>
      </c>
      <c r="CE134" s="3" t="s">
        <v>87</v>
      </c>
      <c r="CF134" s="4">
        <v>44588</v>
      </c>
      <c r="CI134" s="3">
        <v>1</v>
      </c>
      <c r="CJ134" s="3">
        <v>1</v>
      </c>
      <c r="CK134" s="3">
        <v>31</v>
      </c>
      <c r="CL134" s="3" t="s">
        <v>88</v>
      </c>
    </row>
    <row r="135" spans="1:90" x14ac:dyDescent="0.2">
      <c r="A135" s="3" t="s">
        <v>72</v>
      </c>
      <c r="B135" s="3" t="s">
        <v>73</v>
      </c>
      <c r="C135" s="3" t="s">
        <v>74</v>
      </c>
      <c r="E135" s="3" t="str">
        <f>"009941985997"</f>
        <v>009941985997</v>
      </c>
      <c r="F135" s="4">
        <v>44586</v>
      </c>
      <c r="G135" s="3">
        <v>202207</v>
      </c>
      <c r="H135" s="3" t="s">
        <v>183</v>
      </c>
      <c r="I135" s="3" t="s">
        <v>184</v>
      </c>
      <c r="J135" s="3" t="s">
        <v>265</v>
      </c>
      <c r="K135" s="3" t="s">
        <v>78</v>
      </c>
      <c r="L135" s="3" t="s">
        <v>75</v>
      </c>
      <c r="M135" s="3" t="s">
        <v>76</v>
      </c>
      <c r="N135" s="3" t="s">
        <v>445</v>
      </c>
      <c r="O135" s="3" t="s">
        <v>130</v>
      </c>
      <c r="P135" s="3" t="str">
        <f>"YOGITA                        "</f>
        <v xml:space="preserve">YOGITA                        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42.16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15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1</v>
      </c>
      <c r="BI135" s="3">
        <v>1</v>
      </c>
      <c r="BJ135" s="3">
        <v>0.2</v>
      </c>
      <c r="BK135" s="3">
        <v>1</v>
      </c>
      <c r="BL135" s="3">
        <v>181.16</v>
      </c>
      <c r="BM135" s="3">
        <v>27.17</v>
      </c>
      <c r="BN135" s="3">
        <v>208.33</v>
      </c>
      <c r="BO135" s="3">
        <v>208.33</v>
      </c>
      <c r="BQ135" s="3" t="s">
        <v>147</v>
      </c>
      <c r="BR135" s="3" t="s">
        <v>358</v>
      </c>
      <c r="BS135" s="4">
        <v>44587</v>
      </c>
      <c r="BT135" s="5">
        <v>0.31597222222222221</v>
      </c>
      <c r="BU135" s="3" t="s">
        <v>113</v>
      </c>
      <c r="BV135" s="3" t="s">
        <v>94</v>
      </c>
      <c r="BY135" s="3">
        <v>1200</v>
      </c>
      <c r="BZ135" s="3" t="s">
        <v>133</v>
      </c>
      <c r="CA135" s="3" t="s">
        <v>115</v>
      </c>
      <c r="CC135" s="3" t="s">
        <v>76</v>
      </c>
      <c r="CD135" s="3">
        <v>2000</v>
      </c>
      <c r="CE135" s="3" t="s">
        <v>87</v>
      </c>
      <c r="CF135" s="4">
        <v>44588</v>
      </c>
      <c r="CI135" s="3">
        <v>1</v>
      </c>
      <c r="CJ135" s="3">
        <v>1</v>
      </c>
      <c r="CK135" s="3">
        <v>43</v>
      </c>
      <c r="CL135" s="3" t="s">
        <v>88</v>
      </c>
    </row>
    <row r="136" spans="1:90" x14ac:dyDescent="0.2">
      <c r="A136" s="3" t="s">
        <v>72</v>
      </c>
      <c r="B136" s="3" t="s">
        <v>73</v>
      </c>
      <c r="C136" s="3" t="s">
        <v>74</v>
      </c>
      <c r="E136" s="3" t="str">
        <f>"009941300139"</f>
        <v>009941300139</v>
      </c>
      <c r="F136" s="4">
        <v>44586</v>
      </c>
      <c r="G136" s="3">
        <v>202207</v>
      </c>
      <c r="H136" s="3" t="s">
        <v>75</v>
      </c>
      <c r="I136" s="3" t="s">
        <v>76</v>
      </c>
      <c r="J136" s="3" t="s">
        <v>209</v>
      </c>
      <c r="K136" s="3" t="s">
        <v>78</v>
      </c>
      <c r="L136" s="3" t="s">
        <v>75</v>
      </c>
      <c r="M136" s="3" t="s">
        <v>76</v>
      </c>
      <c r="N136" s="3" t="s">
        <v>136</v>
      </c>
      <c r="O136" s="3" t="s">
        <v>110</v>
      </c>
      <c r="P136" s="3" t="str">
        <f>"N A                           "</f>
        <v xml:space="preserve">N A                           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12.07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1</v>
      </c>
      <c r="BI136" s="3">
        <v>1</v>
      </c>
      <c r="BJ136" s="3">
        <v>0.2</v>
      </c>
      <c r="BK136" s="3">
        <v>1</v>
      </c>
      <c r="BL136" s="3">
        <v>46.08</v>
      </c>
      <c r="BM136" s="3">
        <v>6.91</v>
      </c>
      <c r="BN136" s="3">
        <v>52.99</v>
      </c>
      <c r="BO136" s="3">
        <v>52.99</v>
      </c>
      <c r="BQ136" s="3" t="s">
        <v>446</v>
      </c>
      <c r="BR136" s="3" t="s">
        <v>98</v>
      </c>
      <c r="BS136" s="4">
        <v>44587</v>
      </c>
      <c r="BT136" s="5">
        <v>0.31527777777777777</v>
      </c>
      <c r="BU136" s="3" t="s">
        <v>113</v>
      </c>
      <c r="BV136" s="3" t="s">
        <v>94</v>
      </c>
      <c r="BY136" s="3">
        <v>1200</v>
      </c>
      <c r="BZ136" s="3" t="s">
        <v>114</v>
      </c>
      <c r="CA136" s="3" t="s">
        <v>115</v>
      </c>
      <c r="CC136" s="3" t="s">
        <v>76</v>
      </c>
      <c r="CD136" s="3">
        <v>2013</v>
      </c>
      <c r="CE136" s="3" t="s">
        <v>87</v>
      </c>
      <c r="CF136" s="4">
        <v>44588</v>
      </c>
      <c r="CI136" s="3">
        <v>1</v>
      </c>
      <c r="CJ136" s="3">
        <v>1</v>
      </c>
      <c r="CK136" s="3">
        <v>22</v>
      </c>
      <c r="CL136" s="3" t="s">
        <v>88</v>
      </c>
    </row>
    <row r="137" spans="1:90" x14ac:dyDescent="0.2">
      <c r="A137" s="3" t="s">
        <v>72</v>
      </c>
      <c r="B137" s="3" t="s">
        <v>73</v>
      </c>
      <c r="C137" s="3" t="s">
        <v>74</v>
      </c>
      <c r="E137" s="3" t="str">
        <f>"009942411070"</f>
        <v>009942411070</v>
      </c>
      <c r="F137" s="4">
        <v>44581</v>
      </c>
      <c r="G137" s="3">
        <v>202207</v>
      </c>
      <c r="H137" s="3" t="s">
        <v>96</v>
      </c>
      <c r="I137" s="3" t="s">
        <v>97</v>
      </c>
      <c r="J137" s="3" t="s">
        <v>255</v>
      </c>
      <c r="K137" s="3" t="s">
        <v>78</v>
      </c>
      <c r="L137" s="3" t="s">
        <v>75</v>
      </c>
      <c r="M137" s="3" t="s">
        <v>76</v>
      </c>
      <c r="N137" s="3" t="s">
        <v>109</v>
      </c>
      <c r="O137" s="3" t="s">
        <v>130</v>
      </c>
      <c r="P137" s="3" t="str">
        <f>"                              "</f>
        <v xml:space="preserve">                              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29.89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1</v>
      </c>
      <c r="BI137" s="3">
        <v>0.3</v>
      </c>
      <c r="BJ137" s="3">
        <v>1.4</v>
      </c>
      <c r="BK137" s="3">
        <v>2</v>
      </c>
      <c r="BL137" s="3">
        <v>119.34</v>
      </c>
      <c r="BM137" s="3">
        <v>17.899999999999999</v>
      </c>
      <c r="BN137" s="3">
        <v>137.24</v>
      </c>
      <c r="BO137" s="3">
        <v>137.24</v>
      </c>
      <c r="BQ137" s="3" t="s">
        <v>306</v>
      </c>
      <c r="BR137" s="3" t="s">
        <v>307</v>
      </c>
      <c r="BS137" s="4">
        <v>44585</v>
      </c>
      <c r="BT137" s="5">
        <v>0.31527777777777777</v>
      </c>
      <c r="BU137" s="3" t="s">
        <v>447</v>
      </c>
      <c r="BV137" s="3" t="s">
        <v>94</v>
      </c>
      <c r="BY137" s="3">
        <v>7229.82</v>
      </c>
      <c r="BZ137" s="3" t="s">
        <v>86</v>
      </c>
      <c r="CA137" s="3" t="s">
        <v>448</v>
      </c>
      <c r="CC137" s="3" t="s">
        <v>76</v>
      </c>
      <c r="CD137" s="3">
        <v>2016</v>
      </c>
      <c r="CE137" s="3" t="s">
        <v>87</v>
      </c>
      <c r="CF137" s="4">
        <v>44586</v>
      </c>
      <c r="CI137" s="3">
        <v>2</v>
      </c>
      <c r="CJ137" s="3">
        <v>2</v>
      </c>
      <c r="CK137" s="3">
        <v>41</v>
      </c>
      <c r="CL137" s="3" t="s">
        <v>88</v>
      </c>
    </row>
    <row r="138" spans="1:90" x14ac:dyDescent="0.2">
      <c r="A138" s="3" t="s">
        <v>72</v>
      </c>
      <c r="B138" s="3" t="s">
        <v>73</v>
      </c>
      <c r="C138" s="3" t="s">
        <v>74</v>
      </c>
      <c r="E138" s="3" t="str">
        <f>"009941300431"</f>
        <v>009941300431</v>
      </c>
      <c r="F138" s="4">
        <v>44586</v>
      </c>
      <c r="G138" s="3">
        <v>202207</v>
      </c>
      <c r="H138" s="3" t="s">
        <v>104</v>
      </c>
      <c r="I138" s="3" t="s">
        <v>105</v>
      </c>
      <c r="J138" s="3" t="s">
        <v>208</v>
      </c>
      <c r="K138" s="3" t="s">
        <v>78</v>
      </c>
      <c r="L138" s="3" t="s">
        <v>75</v>
      </c>
      <c r="M138" s="3" t="s">
        <v>76</v>
      </c>
      <c r="N138" s="3" t="s">
        <v>109</v>
      </c>
      <c r="O138" s="3" t="s">
        <v>130</v>
      </c>
      <c r="P138" s="3" t="str">
        <f>"NOREF                         "</f>
        <v xml:space="preserve">NOREF                         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29.89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1</v>
      </c>
      <c r="BI138" s="3">
        <v>1</v>
      </c>
      <c r="BJ138" s="3">
        <v>2.4</v>
      </c>
      <c r="BK138" s="3">
        <v>3</v>
      </c>
      <c r="BL138" s="3">
        <v>119.34</v>
      </c>
      <c r="BM138" s="3">
        <v>17.899999999999999</v>
      </c>
      <c r="BN138" s="3">
        <v>137.24</v>
      </c>
      <c r="BO138" s="3">
        <v>137.24</v>
      </c>
      <c r="BQ138" s="3" t="s">
        <v>449</v>
      </c>
      <c r="BR138" s="3" t="s">
        <v>135</v>
      </c>
      <c r="BS138" s="4">
        <v>44588</v>
      </c>
      <c r="BT138" s="5">
        <v>0.30208333333333331</v>
      </c>
      <c r="BU138" s="3" t="s">
        <v>113</v>
      </c>
      <c r="BV138" s="3" t="s">
        <v>94</v>
      </c>
      <c r="BY138" s="3">
        <v>12000</v>
      </c>
      <c r="BZ138" s="3" t="s">
        <v>86</v>
      </c>
      <c r="CA138" s="3" t="s">
        <v>115</v>
      </c>
      <c r="CC138" s="3" t="s">
        <v>76</v>
      </c>
      <c r="CD138" s="3">
        <v>2013</v>
      </c>
      <c r="CE138" s="3" t="s">
        <v>87</v>
      </c>
      <c r="CF138" s="4">
        <v>44588</v>
      </c>
      <c r="CI138" s="3">
        <v>1</v>
      </c>
      <c r="CJ138" s="3">
        <v>1</v>
      </c>
      <c r="CK138" s="3">
        <v>41</v>
      </c>
      <c r="CL138" s="3" t="s">
        <v>88</v>
      </c>
    </row>
    <row r="139" spans="1:90" x14ac:dyDescent="0.2">
      <c r="A139" s="3" t="s">
        <v>72</v>
      </c>
      <c r="B139" s="3" t="s">
        <v>73</v>
      </c>
      <c r="C139" s="3" t="s">
        <v>74</v>
      </c>
      <c r="E139" s="3" t="str">
        <f>"009941342491"</f>
        <v>009941342491</v>
      </c>
      <c r="F139" s="4">
        <v>44586</v>
      </c>
      <c r="G139" s="3">
        <v>202207</v>
      </c>
      <c r="H139" s="3" t="s">
        <v>104</v>
      </c>
      <c r="I139" s="3" t="s">
        <v>105</v>
      </c>
      <c r="J139" s="3" t="s">
        <v>123</v>
      </c>
      <c r="K139" s="3" t="s">
        <v>78</v>
      </c>
      <c r="L139" s="3" t="s">
        <v>75</v>
      </c>
      <c r="M139" s="3" t="s">
        <v>76</v>
      </c>
      <c r="N139" s="3" t="s">
        <v>416</v>
      </c>
      <c r="O139" s="3" t="s">
        <v>130</v>
      </c>
      <c r="P139" s="3" t="str">
        <f>"NOREF                         "</f>
        <v xml:space="preserve">NOREF                         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29.89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1</v>
      </c>
      <c r="BI139" s="3">
        <v>1</v>
      </c>
      <c r="BJ139" s="3">
        <v>2.4</v>
      </c>
      <c r="BK139" s="3">
        <v>3</v>
      </c>
      <c r="BL139" s="3">
        <v>119.34</v>
      </c>
      <c r="BM139" s="3">
        <v>17.899999999999999</v>
      </c>
      <c r="BN139" s="3">
        <v>137.24</v>
      </c>
      <c r="BO139" s="3">
        <v>137.24</v>
      </c>
      <c r="BQ139" s="3" t="s">
        <v>450</v>
      </c>
      <c r="BR139" s="3" t="s">
        <v>451</v>
      </c>
      <c r="BS139" s="4">
        <v>44588</v>
      </c>
      <c r="BT139" s="5">
        <v>0.30208333333333331</v>
      </c>
      <c r="BU139" s="3" t="s">
        <v>113</v>
      </c>
      <c r="BV139" s="3" t="s">
        <v>94</v>
      </c>
      <c r="BY139" s="3">
        <v>12000</v>
      </c>
      <c r="BZ139" s="3" t="s">
        <v>86</v>
      </c>
      <c r="CA139" s="3" t="s">
        <v>115</v>
      </c>
      <c r="CC139" s="3" t="s">
        <v>76</v>
      </c>
      <c r="CD139" s="3">
        <v>2013</v>
      </c>
      <c r="CE139" s="3" t="s">
        <v>87</v>
      </c>
      <c r="CF139" s="4">
        <v>44588</v>
      </c>
      <c r="CI139" s="3">
        <v>1</v>
      </c>
      <c r="CJ139" s="3">
        <v>1</v>
      </c>
      <c r="CK139" s="3">
        <v>41</v>
      </c>
      <c r="CL139" s="3" t="s">
        <v>88</v>
      </c>
    </row>
    <row r="140" spans="1:90" x14ac:dyDescent="0.2">
      <c r="A140" s="3" t="s">
        <v>72</v>
      </c>
      <c r="B140" s="3" t="s">
        <v>73</v>
      </c>
      <c r="C140" s="3" t="s">
        <v>74</v>
      </c>
      <c r="E140" s="3" t="str">
        <f>"009941301741"</f>
        <v>009941301741</v>
      </c>
      <c r="F140" s="4">
        <v>44586</v>
      </c>
      <c r="G140" s="3">
        <v>202207</v>
      </c>
      <c r="H140" s="3" t="s">
        <v>99</v>
      </c>
      <c r="I140" s="3" t="s">
        <v>100</v>
      </c>
      <c r="J140" s="3" t="s">
        <v>452</v>
      </c>
      <c r="K140" s="3" t="s">
        <v>78</v>
      </c>
      <c r="L140" s="3" t="s">
        <v>75</v>
      </c>
      <c r="M140" s="3" t="s">
        <v>76</v>
      </c>
      <c r="N140" s="3" t="s">
        <v>416</v>
      </c>
      <c r="O140" s="3" t="s">
        <v>110</v>
      </c>
      <c r="P140" s="3" t="str">
        <f>"NOREF                         "</f>
        <v xml:space="preserve">NOREF                         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15.46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1</v>
      </c>
      <c r="BI140" s="3">
        <v>2</v>
      </c>
      <c r="BJ140" s="3">
        <v>0.5</v>
      </c>
      <c r="BK140" s="3">
        <v>2</v>
      </c>
      <c r="BL140" s="3">
        <v>59</v>
      </c>
      <c r="BM140" s="3">
        <v>8.85</v>
      </c>
      <c r="BN140" s="3">
        <v>67.849999999999994</v>
      </c>
      <c r="BO140" s="3">
        <v>67.849999999999994</v>
      </c>
      <c r="BQ140" s="3" t="s">
        <v>417</v>
      </c>
      <c r="BR140" s="3" t="s">
        <v>135</v>
      </c>
      <c r="BS140" s="4">
        <v>44588</v>
      </c>
      <c r="BT140" s="5">
        <v>0.30555555555555552</v>
      </c>
      <c r="BU140" s="3" t="s">
        <v>113</v>
      </c>
      <c r="BV140" s="3" t="s">
        <v>94</v>
      </c>
      <c r="BY140" s="3">
        <v>2400</v>
      </c>
      <c r="BZ140" s="3" t="s">
        <v>114</v>
      </c>
      <c r="CA140" s="3" t="s">
        <v>115</v>
      </c>
      <c r="CC140" s="3" t="s">
        <v>76</v>
      </c>
      <c r="CD140" s="3">
        <v>2013</v>
      </c>
      <c r="CE140" s="3" t="s">
        <v>87</v>
      </c>
      <c r="CF140" s="4">
        <v>44588</v>
      </c>
      <c r="CI140" s="3">
        <v>1</v>
      </c>
      <c r="CJ140" s="3">
        <v>1</v>
      </c>
      <c r="CK140" s="3">
        <v>21</v>
      </c>
      <c r="CL140" s="3" t="s">
        <v>88</v>
      </c>
    </row>
    <row r="141" spans="1:90" x14ac:dyDescent="0.2">
      <c r="A141" s="3" t="s">
        <v>72</v>
      </c>
      <c r="B141" s="3" t="s">
        <v>73</v>
      </c>
      <c r="C141" s="3" t="s">
        <v>74</v>
      </c>
      <c r="E141" s="3" t="str">
        <f>"009940130248"</f>
        <v>009940130248</v>
      </c>
      <c r="F141" s="4">
        <v>44585</v>
      </c>
      <c r="G141" s="3">
        <v>202207</v>
      </c>
      <c r="H141" s="3" t="s">
        <v>96</v>
      </c>
      <c r="I141" s="3" t="s">
        <v>97</v>
      </c>
      <c r="J141" s="3" t="s">
        <v>109</v>
      </c>
      <c r="K141" s="3" t="s">
        <v>78</v>
      </c>
      <c r="L141" s="3" t="s">
        <v>116</v>
      </c>
      <c r="M141" s="3" t="s">
        <v>117</v>
      </c>
      <c r="N141" s="3" t="s">
        <v>109</v>
      </c>
      <c r="O141" s="3" t="s">
        <v>130</v>
      </c>
      <c r="P141" s="3" t="str">
        <f>"NA                            "</f>
        <v xml:space="preserve">NA                            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34.82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2</v>
      </c>
      <c r="BI141" s="3">
        <v>5.8</v>
      </c>
      <c r="BJ141" s="3">
        <v>18.7</v>
      </c>
      <c r="BK141" s="3">
        <v>19</v>
      </c>
      <c r="BL141" s="3">
        <v>138.15</v>
      </c>
      <c r="BM141" s="3">
        <v>20.72</v>
      </c>
      <c r="BN141" s="3">
        <v>158.87</v>
      </c>
      <c r="BO141" s="3">
        <v>158.87</v>
      </c>
      <c r="BQ141" s="3" t="s">
        <v>453</v>
      </c>
      <c r="BR141" s="3" t="s">
        <v>112</v>
      </c>
      <c r="BS141" s="4">
        <v>44587</v>
      </c>
      <c r="BT141" s="5">
        <v>0.34097222222222223</v>
      </c>
      <c r="BU141" s="3" t="s">
        <v>454</v>
      </c>
      <c r="BV141" s="3" t="s">
        <v>94</v>
      </c>
      <c r="BY141" s="3">
        <v>93395.23</v>
      </c>
      <c r="BZ141" s="3" t="s">
        <v>86</v>
      </c>
      <c r="CA141" s="3" t="s">
        <v>455</v>
      </c>
      <c r="CC141" s="3" t="s">
        <v>117</v>
      </c>
      <c r="CD141" s="3">
        <v>3629</v>
      </c>
      <c r="CE141" s="3" t="s">
        <v>87</v>
      </c>
      <c r="CF141" s="4">
        <v>44587</v>
      </c>
      <c r="CI141" s="3">
        <v>3</v>
      </c>
      <c r="CJ141" s="3">
        <v>2</v>
      </c>
      <c r="CK141" s="3">
        <v>41</v>
      </c>
      <c r="CL141" s="3" t="s">
        <v>88</v>
      </c>
    </row>
    <row r="142" spans="1:90" x14ac:dyDescent="0.2">
      <c r="A142" s="3" t="s">
        <v>72</v>
      </c>
      <c r="B142" s="3" t="s">
        <v>73</v>
      </c>
      <c r="C142" s="3" t="s">
        <v>74</v>
      </c>
      <c r="E142" s="3" t="str">
        <f>"009940714845"</f>
        <v>009940714845</v>
      </c>
      <c r="F142" s="4">
        <v>44587</v>
      </c>
      <c r="G142" s="3">
        <v>202207</v>
      </c>
      <c r="H142" s="3" t="s">
        <v>116</v>
      </c>
      <c r="I142" s="3" t="s">
        <v>117</v>
      </c>
      <c r="J142" s="3" t="s">
        <v>109</v>
      </c>
      <c r="K142" s="3" t="s">
        <v>78</v>
      </c>
      <c r="L142" s="3" t="s">
        <v>75</v>
      </c>
      <c r="M142" s="3" t="s">
        <v>76</v>
      </c>
      <c r="N142" s="3" t="s">
        <v>118</v>
      </c>
      <c r="O142" s="3" t="s">
        <v>110</v>
      </c>
      <c r="P142" s="3" t="str">
        <f>"                              "</f>
        <v xml:space="preserve">                              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15.46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1</v>
      </c>
      <c r="BI142" s="3">
        <v>0.1</v>
      </c>
      <c r="BJ142" s="3">
        <v>0.2</v>
      </c>
      <c r="BK142" s="3">
        <v>0.5</v>
      </c>
      <c r="BL142" s="3">
        <v>59</v>
      </c>
      <c r="BM142" s="3">
        <v>8.85</v>
      </c>
      <c r="BN142" s="3">
        <v>67.849999999999994</v>
      </c>
      <c r="BO142" s="3">
        <v>67.849999999999994</v>
      </c>
      <c r="BQ142" s="3" t="s">
        <v>119</v>
      </c>
      <c r="BR142" s="3" t="s">
        <v>153</v>
      </c>
      <c r="BS142" s="4">
        <v>44588</v>
      </c>
      <c r="BT142" s="5">
        <v>0.30416666666666664</v>
      </c>
      <c r="BU142" s="3" t="s">
        <v>113</v>
      </c>
      <c r="BV142" s="3" t="s">
        <v>94</v>
      </c>
      <c r="BY142" s="3">
        <v>1200</v>
      </c>
      <c r="BZ142" s="3" t="s">
        <v>114</v>
      </c>
      <c r="CA142" s="3" t="s">
        <v>115</v>
      </c>
      <c r="CC142" s="3" t="s">
        <v>76</v>
      </c>
      <c r="CD142" s="3">
        <v>2190</v>
      </c>
      <c r="CE142" s="3" t="s">
        <v>87</v>
      </c>
      <c r="CF142" s="4">
        <v>44588</v>
      </c>
      <c r="CI142" s="3">
        <v>1</v>
      </c>
      <c r="CJ142" s="3">
        <v>1</v>
      </c>
      <c r="CK142" s="3">
        <v>21</v>
      </c>
      <c r="CL142" s="3" t="s">
        <v>88</v>
      </c>
    </row>
    <row r="143" spans="1:90" x14ac:dyDescent="0.2">
      <c r="A143" s="3" t="s">
        <v>72</v>
      </c>
      <c r="B143" s="3" t="s">
        <v>73</v>
      </c>
      <c r="C143" s="3" t="s">
        <v>74</v>
      </c>
      <c r="E143" s="3" t="str">
        <f>"009941626313"</f>
        <v>009941626313</v>
      </c>
      <c r="F143" s="4">
        <v>44587</v>
      </c>
      <c r="G143" s="3">
        <v>202207</v>
      </c>
      <c r="H143" s="3" t="s">
        <v>75</v>
      </c>
      <c r="I143" s="3" t="s">
        <v>76</v>
      </c>
      <c r="J143" s="3" t="s">
        <v>456</v>
      </c>
      <c r="K143" s="3" t="s">
        <v>78</v>
      </c>
      <c r="L143" s="3" t="s">
        <v>127</v>
      </c>
      <c r="M143" s="3" t="s">
        <v>128</v>
      </c>
      <c r="N143" s="3" t="s">
        <v>91</v>
      </c>
      <c r="O143" s="3" t="s">
        <v>82</v>
      </c>
      <c r="P143" s="3" t="str">
        <f>"..                            "</f>
        <v xml:space="preserve">..                            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15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28.98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1</v>
      </c>
      <c r="BI143" s="3">
        <v>1.8</v>
      </c>
      <c r="BJ143" s="3">
        <v>3.9</v>
      </c>
      <c r="BK143" s="3">
        <v>4</v>
      </c>
      <c r="BL143" s="3">
        <v>125.62</v>
      </c>
      <c r="BM143" s="3">
        <v>18.84</v>
      </c>
      <c r="BN143" s="3">
        <v>144.46</v>
      </c>
      <c r="BO143" s="3">
        <v>144.46</v>
      </c>
      <c r="BQ143" s="3" t="s">
        <v>457</v>
      </c>
      <c r="BR143" s="3" t="s">
        <v>98</v>
      </c>
      <c r="BS143" s="4">
        <v>44588</v>
      </c>
      <c r="BT143" s="5">
        <v>0.60763888888888895</v>
      </c>
      <c r="BU143" s="3" t="s">
        <v>458</v>
      </c>
      <c r="BV143" s="3" t="s">
        <v>88</v>
      </c>
      <c r="BW143" s="3" t="s">
        <v>138</v>
      </c>
      <c r="BX143" s="3" t="s">
        <v>459</v>
      </c>
      <c r="BY143" s="3">
        <v>19423.22</v>
      </c>
      <c r="BZ143" s="3" t="s">
        <v>163</v>
      </c>
      <c r="CA143" s="3" t="s">
        <v>331</v>
      </c>
      <c r="CC143" s="3" t="s">
        <v>128</v>
      </c>
      <c r="CD143" s="3">
        <v>3610</v>
      </c>
      <c r="CE143" s="3" t="s">
        <v>87</v>
      </c>
      <c r="CF143" s="4">
        <v>44589</v>
      </c>
      <c r="CI143" s="3">
        <v>1</v>
      </c>
      <c r="CJ143" s="3">
        <v>1</v>
      </c>
      <c r="CK143" s="3">
        <v>31</v>
      </c>
      <c r="CL143" s="3" t="s">
        <v>88</v>
      </c>
    </row>
    <row r="144" spans="1:90" x14ac:dyDescent="0.2">
      <c r="A144" s="3" t="s">
        <v>72</v>
      </c>
      <c r="B144" s="3" t="s">
        <v>73</v>
      </c>
      <c r="C144" s="3" t="s">
        <v>74</v>
      </c>
      <c r="E144" s="3" t="str">
        <f>"009941626312"</f>
        <v>009941626312</v>
      </c>
      <c r="F144" s="4">
        <v>44587</v>
      </c>
      <c r="G144" s="3">
        <v>202207</v>
      </c>
      <c r="H144" s="3" t="s">
        <v>75</v>
      </c>
      <c r="I144" s="3" t="s">
        <v>76</v>
      </c>
      <c r="J144" s="3" t="s">
        <v>77</v>
      </c>
      <c r="K144" s="3" t="s">
        <v>78</v>
      </c>
      <c r="L144" s="3" t="s">
        <v>116</v>
      </c>
      <c r="M144" s="3" t="s">
        <v>117</v>
      </c>
      <c r="N144" s="3" t="s">
        <v>460</v>
      </c>
      <c r="O144" s="3" t="s">
        <v>110</v>
      </c>
      <c r="P144" s="3" t="str">
        <f>"..                            "</f>
        <v xml:space="preserve">..                            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15.46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1</v>
      </c>
      <c r="BI144" s="3">
        <v>1</v>
      </c>
      <c r="BJ144" s="3">
        <v>0.2</v>
      </c>
      <c r="BK144" s="3">
        <v>1</v>
      </c>
      <c r="BL144" s="3">
        <v>59</v>
      </c>
      <c r="BM144" s="3">
        <v>8.85</v>
      </c>
      <c r="BN144" s="3">
        <v>67.849999999999994</v>
      </c>
      <c r="BO144" s="3">
        <v>67.849999999999994</v>
      </c>
      <c r="BQ144" s="3" t="s">
        <v>461</v>
      </c>
      <c r="BR144" s="3" t="s">
        <v>84</v>
      </c>
      <c r="BS144" s="4">
        <v>44588</v>
      </c>
      <c r="BT144" s="5">
        <v>0.31111111111111112</v>
      </c>
      <c r="BU144" s="3" t="s">
        <v>462</v>
      </c>
      <c r="BV144" s="3" t="s">
        <v>94</v>
      </c>
      <c r="BY144" s="3">
        <v>1200</v>
      </c>
      <c r="BZ144" s="3" t="s">
        <v>114</v>
      </c>
      <c r="CA144" s="3" t="s">
        <v>351</v>
      </c>
      <c r="CC144" s="3" t="s">
        <v>117</v>
      </c>
      <c r="CD144" s="3">
        <v>3630</v>
      </c>
      <c r="CE144" s="3" t="s">
        <v>87</v>
      </c>
      <c r="CF144" s="4">
        <v>44589</v>
      </c>
      <c r="CI144" s="3">
        <v>1</v>
      </c>
      <c r="CJ144" s="3">
        <v>1</v>
      </c>
      <c r="CK144" s="3">
        <v>21</v>
      </c>
      <c r="CL144" s="3" t="s">
        <v>88</v>
      </c>
    </row>
    <row r="145" spans="1:90" x14ac:dyDescent="0.2">
      <c r="A145" s="3" t="s">
        <v>72</v>
      </c>
      <c r="B145" s="3" t="s">
        <v>73</v>
      </c>
      <c r="C145" s="3" t="s">
        <v>74</v>
      </c>
      <c r="E145" s="3" t="str">
        <f>"009941123296"</f>
        <v>009941123296</v>
      </c>
      <c r="F145" s="4">
        <v>44587</v>
      </c>
      <c r="G145" s="3">
        <v>202207</v>
      </c>
      <c r="H145" s="3" t="s">
        <v>116</v>
      </c>
      <c r="I145" s="3" t="s">
        <v>117</v>
      </c>
      <c r="J145" s="3" t="s">
        <v>274</v>
      </c>
      <c r="K145" s="3" t="s">
        <v>78</v>
      </c>
      <c r="L145" s="3" t="s">
        <v>75</v>
      </c>
      <c r="M145" s="3" t="s">
        <v>76</v>
      </c>
      <c r="N145" s="3" t="s">
        <v>118</v>
      </c>
      <c r="O145" s="3" t="s">
        <v>130</v>
      </c>
      <c r="P145" s="3" t="str">
        <f>"                              "</f>
        <v xml:space="preserve">                              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29.89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1</v>
      </c>
      <c r="BI145" s="3">
        <v>1</v>
      </c>
      <c r="BJ145" s="3">
        <v>0.2</v>
      </c>
      <c r="BK145" s="3">
        <v>1</v>
      </c>
      <c r="BL145" s="3">
        <v>119.34</v>
      </c>
      <c r="BM145" s="3">
        <v>17.899999999999999</v>
      </c>
      <c r="BN145" s="3">
        <v>137.24</v>
      </c>
      <c r="BO145" s="3">
        <v>137.24</v>
      </c>
      <c r="BQ145" s="3" t="s">
        <v>124</v>
      </c>
      <c r="BR145" s="3" t="s">
        <v>124</v>
      </c>
      <c r="BS145" s="4">
        <v>44588</v>
      </c>
      <c r="BT145" s="5">
        <v>0.30416666666666664</v>
      </c>
      <c r="BU145" s="3" t="s">
        <v>113</v>
      </c>
      <c r="BV145" s="3" t="s">
        <v>94</v>
      </c>
      <c r="BY145" s="3">
        <v>1200</v>
      </c>
      <c r="BZ145" s="3" t="s">
        <v>86</v>
      </c>
      <c r="CA145" s="3" t="s">
        <v>115</v>
      </c>
      <c r="CC145" s="3" t="s">
        <v>76</v>
      </c>
      <c r="CD145" s="3">
        <v>2013</v>
      </c>
      <c r="CE145" s="3" t="s">
        <v>87</v>
      </c>
      <c r="CF145" s="4">
        <v>44588</v>
      </c>
      <c r="CI145" s="3">
        <v>1</v>
      </c>
      <c r="CJ145" s="3">
        <v>1</v>
      </c>
      <c r="CK145" s="3">
        <v>41</v>
      </c>
      <c r="CL145" s="3" t="s">
        <v>88</v>
      </c>
    </row>
    <row r="146" spans="1:90" x14ac:dyDescent="0.2">
      <c r="A146" s="3" t="s">
        <v>72</v>
      </c>
      <c r="B146" s="3" t="s">
        <v>73</v>
      </c>
      <c r="C146" s="3" t="s">
        <v>74</v>
      </c>
      <c r="E146" s="3" t="str">
        <f>"009941640781"</f>
        <v>009941640781</v>
      </c>
      <c r="F146" s="4">
        <v>44587</v>
      </c>
      <c r="G146" s="3">
        <v>202207</v>
      </c>
      <c r="H146" s="3" t="s">
        <v>75</v>
      </c>
      <c r="I146" s="3" t="s">
        <v>76</v>
      </c>
      <c r="J146" s="3" t="s">
        <v>77</v>
      </c>
      <c r="K146" s="3" t="s">
        <v>78</v>
      </c>
      <c r="L146" s="3" t="s">
        <v>104</v>
      </c>
      <c r="M146" s="3" t="s">
        <v>105</v>
      </c>
      <c r="N146" s="3" t="s">
        <v>91</v>
      </c>
      <c r="O146" s="3" t="s">
        <v>110</v>
      </c>
      <c r="P146" s="3" t="str">
        <f>"..                            "</f>
        <v xml:space="preserve">..                            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15.46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1</v>
      </c>
      <c r="BI146" s="3">
        <v>0.6</v>
      </c>
      <c r="BJ146" s="3">
        <v>1.9</v>
      </c>
      <c r="BK146" s="3">
        <v>2</v>
      </c>
      <c r="BL146" s="3">
        <v>59</v>
      </c>
      <c r="BM146" s="3">
        <v>8.85</v>
      </c>
      <c r="BN146" s="3">
        <v>67.849999999999994</v>
      </c>
      <c r="BO146" s="3">
        <v>67.849999999999994</v>
      </c>
      <c r="BQ146" s="3" t="s">
        <v>463</v>
      </c>
      <c r="BR146" s="3" t="s">
        <v>84</v>
      </c>
      <c r="BS146" s="4">
        <v>44588</v>
      </c>
      <c r="BT146" s="5">
        <v>0.49236111111111108</v>
      </c>
      <c r="BU146" s="3" t="s">
        <v>464</v>
      </c>
      <c r="BV146" s="3" t="s">
        <v>88</v>
      </c>
      <c r="BY146" s="3">
        <v>9708.34</v>
      </c>
      <c r="BZ146" s="3" t="s">
        <v>114</v>
      </c>
      <c r="CA146" s="3">
        <v>9942413474</v>
      </c>
      <c r="CC146" s="3" t="s">
        <v>105</v>
      </c>
      <c r="CD146" s="3">
        <v>41</v>
      </c>
      <c r="CE146" s="3" t="s">
        <v>87</v>
      </c>
      <c r="CF146" s="4">
        <v>44588</v>
      </c>
      <c r="CI146" s="3">
        <v>1</v>
      </c>
      <c r="CJ146" s="3">
        <v>1</v>
      </c>
      <c r="CK146" s="3">
        <v>21</v>
      </c>
      <c r="CL146" s="3" t="s">
        <v>88</v>
      </c>
    </row>
    <row r="147" spans="1:90" x14ac:dyDescent="0.2">
      <c r="A147" s="3" t="s">
        <v>72</v>
      </c>
      <c r="B147" s="3" t="s">
        <v>73</v>
      </c>
      <c r="C147" s="3" t="s">
        <v>74</v>
      </c>
      <c r="E147" s="3" t="str">
        <f>"009941640779"</f>
        <v>009941640779</v>
      </c>
      <c r="F147" s="4">
        <v>44587</v>
      </c>
      <c r="G147" s="3">
        <v>202207</v>
      </c>
      <c r="H147" s="3" t="s">
        <v>75</v>
      </c>
      <c r="I147" s="3" t="s">
        <v>76</v>
      </c>
      <c r="J147" s="3" t="s">
        <v>77</v>
      </c>
      <c r="K147" s="3" t="s">
        <v>78</v>
      </c>
      <c r="L147" s="3" t="s">
        <v>465</v>
      </c>
      <c r="M147" s="3" t="s">
        <v>466</v>
      </c>
      <c r="N147" s="3" t="s">
        <v>467</v>
      </c>
      <c r="O147" s="3" t="s">
        <v>82</v>
      </c>
      <c r="P147" s="3" t="str">
        <f>"..                            "</f>
        <v xml:space="preserve">..                            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12.08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1</v>
      </c>
      <c r="BI147" s="3">
        <v>0.2</v>
      </c>
      <c r="BJ147" s="3">
        <v>1.8</v>
      </c>
      <c r="BK147" s="3">
        <v>2</v>
      </c>
      <c r="BL147" s="3">
        <v>46.1</v>
      </c>
      <c r="BM147" s="3">
        <v>6.92</v>
      </c>
      <c r="BN147" s="3">
        <v>53.02</v>
      </c>
      <c r="BO147" s="3">
        <v>53.02</v>
      </c>
      <c r="BQ147" s="3" t="s">
        <v>98</v>
      </c>
      <c r="BR147" s="3" t="s">
        <v>84</v>
      </c>
      <c r="BS147" s="4">
        <v>44588</v>
      </c>
      <c r="BT147" s="5">
        <v>0.42777777777777781</v>
      </c>
      <c r="BU147" s="3" t="s">
        <v>468</v>
      </c>
      <c r="BV147" s="3" t="s">
        <v>94</v>
      </c>
      <c r="BY147" s="3">
        <v>8954.3700000000008</v>
      </c>
      <c r="BZ147" s="3" t="s">
        <v>86</v>
      </c>
      <c r="CA147" s="3" t="s">
        <v>469</v>
      </c>
      <c r="CC147" s="3" t="s">
        <v>466</v>
      </c>
      <c r="CD147" s="3">
        <v>1406</v>
      </c>
      <c r="CE147" s="3" t="s">
        <v>87</v>
      </c>
      <c r="CF147" s="4">
        <v>44588</v>
      </c>
      <c r="CI147" s="3">
        <v>1</v>
      </c>
      <c r="CJ147" s="3">
        <v>1</v>
      </c>
      <c r="CK147" s="3">
        <v>32</v>
      </c>
      <c r="CL147" s="3" t="s">
        <v>88</v>
      </c>
    </row>
    <row r="148" spans="1:90" x14ac:dyDescent="0.2">
      <c r="A148" s="3" t="s">
        <v>72</v>
      </c>
      <c r="B148" s="3" t="s">
        <v>73</v>
      </c>
      <c r="C148" s="3" t="s">
        <v>74</v>
      </c>
      <c r="E148" s="3" t="str">
        <f>"009941640780"</f>
        <v>009941640780</v>
      </c>
      <c r="F148" s="4">
        <v>44587</v>
      </c>
      <c r="G148" s="3">
        <v>202207</v>
      </c>
      <c r="H148" s="3" t="s">
        <v>75</v>
      </c>
      <c r="I148" s="3" t="s">
        <v>76</v>
      </c>
      <c r="J148" s="3" t="s">
        <v>77</v>
      </c>
      <c r="K148" s="3" t="s">
        <v>78</v>
      </c>
      <c r="L148" s="3" t="s">
        <v>470</v>
      </c>
      <c r="M148" s="3" t="s">
        <v>471</v>
      </c>
      <c r="N148" s="3" t="s">
        <v>91</v>
      </c>
      <c r="O148" s="3" t="s">
        <v>82</v>
      </c>
      <c r="P148" s="3" t="str">
        <f>"..                            "</f>
        <v xml:space="preserve">..                            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61.34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1</v>
      </c>
      <c r="BI148" s="3">
        <v>3.8</v>
      </c>
      <c r="BJ148" s="3">
        <v>7.8</v>
      </c>
      <c r="BK148" s="3">
        <v>8</v>
      </c>
      <c r="BL148" s="3">
        <v>234.14</v>
      </c>
      <c r="BM148" s="3">
        <v>35.119999999999997</v>
      </c>
      <c r="BN148" s="3">
        <v>269.26</v>
      </c>
      <c r="BO148" s="3">
        <v>269.26</v>
      </c>
      <c r="BQ148" s="3" t="s">
        <v>472</v>
      </c>
      <c r="BR148" s="3" t="s">
        <v>84</v>
      </c>
      <c r="BS148" s="4">
        <v>44588</v>
      </c>
      <c r="BT148" s="5">
        <v>0.55138888888888882</v>
      </c>
      <c r="BU148" s="3" t="s">
        <v>473</v>
      </c>
      <c r="BV148" s="3" t="s">
        <v>94</v>
      </c>
      <c r="BY148" s="3">
        <v>39049.96</v>
      </c>
      <c r="BZ148" s="3" t="s">
        <v>86</v>
      </c>
      <c r="CA148" s="3" t="s">
        <v>474</v>
      </c>
      <c r="CC148" s="3" t="s">
        <v>471</v>
      </c>
      <c r="CD148" s="3">
        <v>2520</v>
      </c>
      <c r="CE148" s="3" t="s">
        <v>87</v>
      </c>
      <c r="CF148" s="4">
        <v>44589</v>
      </c>
      <c r="CI148" s="3">
        <v>1</v>
      </c>
      <c r="CJ148" s="3">
        <v>1</v>
      </c>
      <c r="CK148" s="3">
        <v>33</v>
      </c>
      <c r="CL148" s="3" t="s">
        <v>88</v>
      </c>
    </row>
    <row r="149" spans="1:90" x14ac:dyDescent="0.2">
      <c r="A149" s="3" t="s">
        <v>72</v>
      </c>
      <c r="B149" s="3" t="s">
        <v>73</v>
      </c>
      <c r="C149" s="3" t="s">
        <v>74</v>
      </c>
      <c r="E149" s="3" t="str">
        <f>"009941640782"</f>
        <v>009941640782</v>
      </c>
      <c r="F149" s="4">
        <v>44587</v>
      </c>
      <c r="G149" s="3">
        <v>202207</v>
      </c>
      <c r="H149" s="3" t="s">
        <v>75</v>
      </c>
      <c r="I149" s="3" t="s">
        <v>76</v>
      </c>
      <c r="J149" s="3" t="s">
        <v>77</v>
      </c>
      <c r="K149" s="3" t="s">
        <v>78</v>
      </c>
      <c r="L149" s="3" t="s">
        <v>144</v>
      </c>
      <c r="M149" s="3" t="s">
        <v>145</v>
      </c>
      <c r="N149" s="3" t="s">
        <v>91</v>
      </c>
      <c r="O149" s="3" t="s">
        <v>82</v>
      </c>
      <c r="P149" s="3" t="str">
        <f>"..                            "</f>
        <v xml:space="preserve">..                            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36.229999999999997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1</v>
      </c>
      <c r="BI149" s="3">
        <v>2.6</v>
      </c>
      <c r="BJ149" s="3">
        <v>5</v>
      </c>
      <c r="BK149" s="3">
        <v>5</v>
      </c>
      <c r="BL149" s="3">
        <v>138.28</v>
      </c>
      <c r="BM149" s="3">
        <v>20.74</v>
      </c>
      <c r="BN149" s="3">
        <v>159.02000000000001</v>
      </c>
      <c r="BO149" s="3">
        <v>159.02000000000001</v>
      </c>
      <c r="BQ149" s="3" t="s">
        <v>475</v>
      </c>
      <c r="BR149" s="3" t="s">
        <v>84</v>
      </c>
      <c r="BS149" s="4">
        <v>44588</v>
      </c>
      <c r="BT149" s="5">
        <v>0.52013888888888882</v>
      </c>
      <c r="BU149" s="3" t="s">
        <v>476</v>
      </c>
      <c r="BV149" s="3" t="s">
        <v>94</v>
      </c>
      <c r="BY149" s="3">
        <v>25063.48</v>
      </c>
      <c r="BZ149" s="3" t="s">
        <v>86</v>
      </c>
      <c r="CA149" s="3" t="s">
        <v>477</v>
      </c>
      <c r="CC149" s="3" t="s">
        <v>145</v>
      </c>
      <c r="CD149" s="3">
        <v>6025</v>
      </c>
      <c r="CE149" s="3" t="s">
        <v>87</v>
      </c>
      <c r="CF149" s="4">
        <v>44588</v>
      </c>
      <c r="CI149" s="3">
        <v>1</v>
      </c>
      <c r="CJ149" s="3">
        <v>1</v>
      </c>
      <c r="CK149" s="3">
        <v>31</v>
      </c>
      <c r="CL149" s="3" t="s">
        <v>88</v>
      </c>
    </row>
    <row r="150" spans="1:90" x14ac:dyDescent="0.2">
      <c r="A150" s="3" t="s">
        <v>72</v>
      </c>
      <c r="B150" s="3" t="s">
        <v>73</v>
      </c>
      <c r="C150" s="3" t="s">
        <v>74</v>
      </c>
      <c r="E150" s="3" t="str">
        <f>"009940460394"</f>
        <v>009940460394</v>
      </c>
      <c r="F150" s="4">
        <v>44586</v>
      </c>
      <c r="G150" s="3">
        <v>202207</v>
      </c>
      <c r="H150" s="3" t="s">
        <v>96</v>
      </c>
      <c r="I150" s="3" t="s">
        <v>97</v>
      </c>
      <c r="J150" s="3" t="s">
        <v>134</v>
      </c>
      <c r="K150" s="3" t="s">
        <v>78</v>
      </c>
      <c r="L150" s="3" t="s">
        <v>75</v>
      </c>
      <c r="M150" s="3" t="s">
        <v>76</v>
      </c>
      <c r="N150" s="3" t="s">
        <v>109</v>
      </c>
      <c r="O150" s="3" t="s">
        <v>110</v>
      </c>
      <c r="P150" s="3" t="str">
        <f>"NA                            "</f>
        <v xml:space="preserve">NA                            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15.46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15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1</v>
      </c>
      <c r="BI150" s="3">
        <v>0.2</v>
      </c>
      <c r="BJ150" s="3">
        <v>1.3</v>
      </c>
      <c r="BK150" s="3">
        <v>1.5</v>
      </c>
      <c r="BL150" s="3">
        <v>74</v>
      </c>
      <c r="BM150" s="3">
        <v>11.1</v>
      </c>
      <c r="BN150" s="3">
        <v>85.1</v>
      </c>
      <c r="BO150" s="3">
        <v>85.1</v>
      </c>
      <c r="BQ150" s="3" t="s">
        <v>135</v>
      </c>
      <c r="BR150" s="3" t="s">
        <v>135</v>
      </c>
      <c r="BS150" s="4">
        <v>44587</v>
      </c>
      <c r="BT150" s="5">
        <v>0.31597222222222221</v>
      </c>
      <c r="BU150" s="3" t="s">
        <v>113</v>
      </c>
      <c r="BV150" s="3" t="s">
        <v>94</v>
      </c>
      <c r="BY150" s="3">
        <v>6276.4</v>
      </c>
      <c r="BZ150" s="3" t="s">
        <v>126</v>
      </c>
      <c r="CA150" s="3" t="s">
        <v>115</v>
      </c>
      <c r="CC150" s="3" t="s">
        <v>76</v>
      </c>
      <c r="CD150" s="3">
        <v>2000</v>
      </c>
      <c r="CE150" s="3" t="s">
        <v>87</v>
      </c>
      <c r="CF150" s="4">
        <v>44588</v>
      </c>
      <c r="CI150" s="3">
        <v>1</v>
      </c>
      <c r="CJ150" s="3">
        <v>1</v>
      </c>
      <c r="CK150" s="3">
        <v>21</v>
      </c>
      <c r="CL150" s="3" t="s">
        <v>88</v>
      </c>
    </row>
    <row r="151" spans="1:90" x14ac:dyDescent="0.2">
      <c r="A151" s="3" t="s">
        <v>72</v>
      </c>
      <c r="B151" s="3" t="s">
        <v>73</v>
      </c>
      <c r="C151" s="3" t="s">
        <v>74</v>
      </c>
      <c r="E151" s="3" t="str">
        <f>"009941984062"</f>
        <v>009941984062</v>
      </c>
      <c r="F151" s="4">
        <v>44587</v>
      </c>
      <c r="G151" s="3">
        <v>202207</v>
      </c>
      <c r="H151" s="3" t="s">
        <v>116</v>
      </c>
      <c r="I151" s="3" t="s">
        <v>117</v>
      </c>
      <c r="J151" s="3" t="s">
        <v>478</v>
      </c>
      <c r="K151" s="3" t="s">
        <v>78</v>
      </c>
      <c r="L151" s="3" t="s">
        <v>75</v>
      </c>
      <c r="M151" s="3" t="s">
        <v>76</v>
      </c>
      <c r="N151" s="3" t="s">
        <v>109</v>
      </c>
      <c r="O151" s="3" t="s">
        <v>110</v>
      </c>
      <c r="P151" s="3" t="str">
        <f>"                              "</f>
        <v xml:space="preserve">                              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15.46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1</v>
      </c>
      <c r="BI151" s="3">
        <v>1</v>
      </c>
      <c r="BJ151" s="3">
        <v>0.2</v>
      </c>
      <c r="BK151" s="3">
        <v>1</v>
      </c>
      <c r="BL151" s="3">
        <v>59</v>
      </c>
      <c r="BM151" s="3">
        <v>8.85</v>
      </c>
      <c r="BN151" s="3">
        <v>67.849999999999994</v>
      </c>
      <c r="BO151" s="3">
        <v>67.849999999999994</v>
      </c>
      <c r="BQ151" s="3" t="s">
        <v>124</v>
      </c>
      <c r="BR151" s="3" t="s">
        <v>124</v>
      </c>
      <c r="BS151" s="4">
        <v>44588</v>
      </c>
      <c r="BT151" s="5">
        <v>0.30486111111111108</v>
      </c>
      <c r="BU151" s="3" t="s">
        <v>113</v>
      </c>
      <c r="BV151" s="3" t="s">
        <v>94</v>
      </c>
      <c r="BY151" s="3">
        <v>1200</v>
      </c>
      <c r="BZ151" s="3" t="s">
        <v>114</v>
      </c>
      <c r="CA151" s="3" t="s">
        <v>115</v>
      </c>
      <c r="CC151" s="3" t="s">
        <v>76</v>
      </c>
      <c r="CD151" s="3">
        <v>2190</v>
      </c>
      <c r="CE151" s="3" t="s">
        <v>87</v>
      </c>
      <c r="CF151" s="4">
        <v>44588</v>
      </c>
      <c r="CI151" s="3">
        <v>1</v>
      </c>
      <c r="CJ151" s="3">
        <v>1</v>
      </c>
      <c r="CK151" s="3">
        <v>21</v>
      </c>
      <c r="CL151" s="3" t="s">
        <v>88</v>
      </c>
    </row>
    <row r="152" spans="1:90" x14ac:dyDescent="0.2">
      <c r="A152" s="3" t="s">
        <v>72</v>
      </c>
      <c r="B152" s="3" t="s">
        <v>73</v>
      </c>
      <c r="C152" s="3" t="s">
        <v>74</v>
      </c>
      <c r="E152" s="3" t="str">
        <f>"009941301593"</f>
        <v>009941301593</v>
      </c>
      <c r="F152" s="4">
        <v>44587</v>
      </c>
      <c r="G152" s="3">
        <v>202207</v>
      </c>
      <c r="H152" s="3" t="s">
        <v>75</v>
      </c>
      <c r="I152" s="3" t="s">
        <v>76</v>
      </c>
      <c r="J152" s="3" t="s">
        <v>232</v>
      </c>
      <c r="K152" s="3" t="s">
        <v>78</v>
      </c>
      <c r="L152" s="3" t="s">
        <v>75</v>
      </c>
      <c r="M152" s="3" t="s">
        <v>76</v>
      </c>
      <c r="N152" s="3" t="s">
        <v>109</v>
      </c>
      <c r="O152" s="3" t="s">
        <v>110</v>
      </c>
      <c r="P152" s="3" t="str">
        <f>"..                            "</f>
        <v xml:space="preserve">..                            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12.07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1</v>
      </c>
      <c r="BI152" s="3">
        <v>1</v>
      </c>
      <c r="BJ152" s="3">
        <v>0.2</v>
      </c>
      <c r="BK152" s="3">
        <v>1</v>
      </c>
      <c r="BL152" s="3">
        <v>46.08</v>
      </c>
      <c r="BM152" s="3">
        <v>6.91</v>
      </c>
      <c r="BN152" s="3">
        <v>52.99</v>
      </c>
      <c r="BO152" s="3">
        <v>52.99</v>
      </c>
      <c r="BQ152" s="3" t="s">
        <v>162</v>
      </c>
      <c r="BR152" s="3" t="s">
        <v>175</v>
      </c>
      <c r="BS152" s="4">
        <v>44588</v>
      </c>
      <c r="BT152" s="5">
        <v>0.30277777777777776</v>
      </c>
      <c r="BU152" s="3" t="s">
        <v>113</v>
      </c>
      <c r="BV152" s="3" t="s">
        <v>94</v>
      </c>
      <c r="BY152" s="3">
        <v>1200</v>
      </c>
      <c r="BZ152" s="3" t="s">
        <v>114</v>
      </c>
      <c r="CA152" s="3" t="s">
        <v>115</v>
      </c>
      <c r="CC152" s="3" t="s">
        <v>76</v>
      </c>
      <c r="CD152" s="3">
        <v>2013</v>
      </c>
      <c r="CE152" s="3" t="s">
        <v>87</v>
      </c>
      <c r="CF152" s="4">
        <v>44588</v>
      </c>
      <c r="CI152" s="3">
        <v>1</v>
      </c>
      <c r="CJ152" s="3">
        <v>1</v>
      </c>
      <c r="CK152" s="3">
        <v>22</v>
      </c>
      <c r="CL152" s="3" t="s">
        <v>88</v>
      </c>
    </row>
    <row r="153" spans="1:90" x14ac:dyDescent="0.2">
      <c r="A153" s="3" t="s">
        <v>72</v>
      </c>
      <c r="B153" s="3" t="s">
        <v>73</v>
      </c>
      <c r="C153" s="3" t="s">
        <v>74</v>
      </c>
      <c r="E153" s="3" t="str">
        <f>"009941301683"</f>
        <v>009941301683</v>
      </c>
      <c r="F153" s="4">
        <v>44587</v>
      </c>
      <c r="G153" s="3">
        <v>202207</v>
      </c>
      <c r="H153" s="3" t="s">
        <v>318</v>
      </c>
      <c r="I153" s="3" t="s">
        <v>319</v>
      </c>
      <c r="J153" s="3" t="s">
        <v>320</v>
      </c>
      <c r="K153" s="3" t="s">
        <v>78</v>
      </c>
      <c r="L153" s="3" t="s">
        <v>75</v>
      </c>
      <c r="M153" s="3" t="s">
        <v>76</v>
      </c>
      <c r="N153" s="3" t="s">
        <v>109</v>
      </c>
      <c r="O153" s="3" t="s">
        <v>110</v>
      </c>
      <c r="P153" s="3" t="str">
        <f>"NA                            "</f>
        <v xml:space="preserve">NA                            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12.07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1</v>
      </c>
      <c r="BI153" s="3">
        <v>1</v>
      </c>
      <c r="BJ153" s="3">
        <v>0.2</v>
      </c>
      <c r="BK153" s="3">
        <v>1</v>
      </c>
      <c r="BL153" s="3">
        <v>46.08</v>
      </c>
      <c r="BM153" s="3">
        <v>6.91</v>
      </c>
      <c r="BN153" s="3">
        <v>52.99</v>
      </c>
      <c r="BO153" s="3">
        <v>52.99</v>
      </c>
      <c r="BQ153" s="3" t="s">
        <v>162</v>
      </c>
      <c r="BR153" s="3" t="s">
        <v>409</v>
      </c>
      <c r="BS153" s="4">
        <v>44588</v>
      </c>
      <c r="BT153" s="5">
        <v>0.30624999999999997</v>
      </c>
      <c r="BU153" s="3" t="s">
        <v>113</v>
      </c>
      <c r="BV153" s="3" t="s">
        <v>94</v>
      </c>
      <c r="BY153" s="3">
        <v>1200</v>
      </c>
      <c r="BZ153" s="3" t="s">
        <v>114</v>
      </c>
      <c r="CA153" s="3" t="s">
        <v>115</v>
      </c>
      <c r="CC153" s="3" t="s">
        <v>76</v>
      </c>
      <c r="CD153" s="3">
        <v>2013</v>
      </c>
      <c r="CE153" s="3" t="s">
        <v>87</v>
      </c>
      <c r="CF153" s="4">
        <v>44588</v>
      </c>
      <c r="CI153" s="3">
        <v>1</v>
      </c>
      <c r="CJ153" s="3">
        <v>1</v>
      </c>
      <c r="CK153" s="3">
        <v>22</v>
      </c>
      <c r="CL153" s="3" t="s">
        <v>88</v>
      </c>
    </row>
    <row r="154" spans="1:90" x14ac:dyDescent="0.2">
      <c r="A154" s="3" t="s">
        <v>72</v>
      </c>
      <c r="B154" s="3" t="s">
        <v>73</v>
      </c>
      <c r="C154" s="3" t="s">
        <v>74</v>
      </c>
      <c r="E154" s="3" t="str">
        <f>"009941300109"</f>
        <v>009941300109</v>
      </c>
      <c r="F154" s="4">
        <v>44587</v>
      </c>
      <c r="G154" s="3">
        <v>202207</v>
      </c>
      <c r="H154" s="3" t="s">
        <v>241</v>
      </c>
      <c r="I154" s="3" t="s">
        <v>242</v>
      </c>
      <c r="J154" s="3" t="s">
        <v>77</v>
      </c>
      <c r="K154" s="3" t="s">
        <v>78</v>
      </c>
      <c r="L154" s="3" t="s">
        <v>75</v>
      </c>
      <c r="M154" s="3" t="s">
        <v>76</v>
      </c>
      <c r="N154" s="3" t="s">
        <v>109</v>
      </c>
      <c r="O154" s="3" t="s">
        <v>130</v>
      </c>
      <c r="P154" s="3" t="str">
        <f>"..                            "</f>
        <v xml:space="preserve">..                            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23.06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1</v>
      </c>
      <c r="BI154" s="3">
        <v>1</v>
      </c>
      <c r="BJ154" s="3">
        <v>0.2</v>
      </c>
      <c r="BK154" s="3">
        <v>1</v>
      </c>
      <c r="BL154" s="3">
        <v>93.28</v>
      </c>
      <c r="BM154" s="3">
        <v>13.99</v>
      </c>
      <c r="BN154" s="3">
        <v>107.27</v>
      </c>
      <c r="BO154" s="3">
        <v>107.27</v>
      </c>
      <c r="BQ154" s="3" t="s">
        <v>162</v>
      </c>
      <c r="BR154" s="3" t="s">
        <v>98</v>
      </c>
      <c r="BS154" s="4">
        <v>44588</v>
      </c>
      <c r="BT154" s="5">
        <v>0.30486111111111108</v>
      </c>
      <c r="BU154" s="3" t="s">
        <v>113</v>
      </c>
      <c r="BV154" s="3" t="s">
        <v>94</v>
      </c>
      <c r="BY154" s="3">
        <v>1200</v>
      </c>
      <c r="BZ154" s="3" t="s">
        <v>86</v>
      </c>
      <c r="CA154" s="3" t="s">
        <v>115</v>
      </c>
      <c r="CC154" s="3" t="s">
        <v>76</v>
      </c>
      <c r="CD154" s="3">
        <v>2013</v>
      </c>
      <c r="CE154" s="3" t="s">
        <v>87</v>
      </c>
      <c r="CF154" s="4">
        <v>44588</v>
      </c>
      <c r="CI154" s="3">
        <v>1</v>
      </c>
      <c r="CJ154" s="3">
        <v>1</v>
      </c>
      <c r="CK154" s="3">
        <v>42</v>
      </c>
      <c r="CL154" s="3" t="s">
        <v>88</v>
      </c>
    </row>
    <row r="155" spans="1:90" x14ac:dyDescent="0.2">
      <c r="A155" s="3" t="s">
        <v>72</v>
      </c>
      <c r="B155" s="3" t="s">
        <v>73</v>
      </c>
      <c r="C155" s="3" t="s">
        <v>74</v>
      </c>
      <c r="E155" s="3" t="str">
        <f>"009941300254"</f>
        <v>009941300254</v>
      </c>
      <c r="F155" s="4">
        <v>44587</v>
      </c>
      <c r="G155" s="3">
        <v>202207</v>
      </c>
      <c r="H155" s="3" t="s">
        <v>188</v>
      </c>
      <c r="I155" s="3" t="s">
        <v>189</v>
      </c>
      <c r="J155" s="3" t="s">
        <v>190</v>
      </c>
      <c r="K155" s="3" t="s">
        <v>78</v>
      </c>
      <c r="L155" s="3" t="s">
        <v>75</v>
      </c>
      <c r="M155" s="3" t="s">
        <v>76</v>
      </c>
      <c r="N155" s="3" t="s">
        <v>109</v>
      </c>
      <c r="O155" s="3" t="s">
        <v>110</v>
      </c>
      <c r="P155" s="3" t="str">
        <f>"N A                           "</f>
        <v xml:space="preserve">N A                           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12.07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1</v>
      </c>
      <c r="BI155" s="3">
        <v>1</v>
      </c>
      <c r="BJ155" s="3">
        <v>0.2</v>
      </c>
      <c r="BK155" s="3">
        <v>1</v>
      </c>
      <c r="BL155" s="3">
        <v>46.08</v>
      </c>
      <c r="BM155" s="3">
        <v>6.91</v>
      </c>
      <c r="BN155" s="3">
        <v>52.99</v>
      </c>
      <c r="BO155" s="3">
        <v>52.99</v>
      </c>
      <c r="BQ155" s="3" t="s">
        <v>162</v>
      </c>
      <c r="BR155" s="3" t="s">
        <v>191</v>
      </c>
      <c r="BS155" s="4">
        <v>44588</v>
      </c>
      <c r="BT155" s="5">
        <v>0.3034722222222222</v>
      </c>
      <c r="BU155" s="3" t="s">
        <v>113</v>
      </c>
      <c r="BV155" s="3" t="s">
        <v>94</v>
      </c>
      <c r="BY155" s="3">
        <v>1200</v>
      </c>
      <c r="BZ155" s="3" t="s">
        <v>114</v>
      </c>
      <c r="CA155" s="3" t="s">
        <v>115</v>
      </c>
      <c r="CC155" s="3" t="s">
        <v>76</v>
      </c>
      <c r="CD155" s="3">
        <v>2013</v>
      </c>
      <c r="CE155" s="3" t="s">
        <v>87</v>
      </c>
      <c r="CF155" s="4">
        <v>44588</v>
      </c>
      <c r="CI155" s="3">
        <v>1</v>
      </c>
      <c r="CJ155" s="3">
        <v>1</v>
      </c>
      <c r="CK155" s="3">
        <v>22</v>
      </c>
      <c r="CL155" s="3" t="s">
        <v>88</v>
      </c>
    </row>
    <row r="156" spans="1:90" x14ac:dyDescent="0.2">
      <c r="A156" s="3" t="s">
        <v>72</v>
      </c>
      <c r="B156" s="3" t="s">
        <v>73</v>
      </c>
      <c r="C156" s="3" t="s">
        <v>74</v>
      </c>
      <c r="E156" s="3" t="str">
        <f>"009942065928"</f>
        <v>009942065928</v>
      </c>
      <c r="F156" s="4">
        <v>44587</v>
      </c>
      <c r="G156" s="3">
        <v>202207</v>
      </c>
      <c r="H156" s="3" t="s">
        <v>224</v>
      </c>
      <c r="I156" s="3" t="s">
        <v>225</v>
      </c>
      <c r="J156" s="3" t="s">
        <v>77</v>
      </c>
      <c r="K156" s="3" t="s">
        <v>78</v>
      </c>
      <c r="L156" s="3" t="s">
        <v>75</v>
      </c>
      <c r="M156" s="3" t="s">
        <v>76</v>
      </c>
      <c r="N156" s="3" t="s">
        <v>479</v>
      </c>
      <c r="O156" s="3" t="s">
        <v>130</v>
      </c>
      <c r="P156" s="3" t="str">
        <f>"..                            "</f>
        <v xml:space="preserve">..                            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23.06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1</v>
      </c>
      <c r="BI156" s="3">
        <v>1</v>
      </c>
      <c r="BJ156" s="3">
        <v>0.2</v>
      </c>
      <c r="BK156" s="3">
        <v>1</v>
      </c>
      <c r="BL156" s="3">
        <v>93.28</v>
      </c>
      <c r="BM156" s="3">
        <v>13.99</v>
      </c>
      <c r="BN156" s="3">
        <v>107.27</v>
      </c>
      <c r="BO156" s="3">
        <v>107.27</v>
      </c>
      <c r="BQ156" s="3" t="s">
        <v>98</v>
      </c>
      <c r="BR156" s="3" t="s">
        <v>98</v>
      </c>
      <c r="BS156" s="4">
        <v>44588</v>
      </c>
      <c r="BT156" s="5">
        <v>0.3034722222222222</v>
      </c>
      <c r="BU156" s="3" t="s">
        <v>113</v>
      </c>
      <c r="BV156" s="3" t="s">
        <v>94</v>
      </c>
      <c r="BY156" s="3">
        <v>1200</v>
      </c>
      <c r="BZ156" s="3" t="s">
        <v>86</v>
      </c>
      <c r="CA156" s="3" t="s">
        <v>115</v>
      </c>
      <c r="CC156" s="3" t="s">
        <v>76</v>
      </c>
      <c r="CD156" s="3">
        <v>2190</v>
      </c>
      <c r="CE156" s="3" t="s">
        <v>87</v>
      </c>
      <c r="CF156" s="4">
        <v>44588</v>
      </c>
      <c r="CI156" s="3">
        <v>1</v>
      </c>
      <c r="CJ156" s="3">
        <v>1</v>
      </c>
      <c r="CK156" s="3">
        <v>42</v>
      </c>
      <c r="CL156" s="3" t="s">
        <v>88</v>
      </c>
    </row>
    <row r="157" spans="1:90" x14ac:dyDescent="0.2">
      <c r="A157" s="3" t="s">
        <v>72</v>
      </c>
      <c r="B157" s="3" t="s">
        <v>73</v>
      </c>
      <c r="C157" s="3" t="s">
        <v>74</v>
      </c>
      <c r="E157" s="3" t="str">
        <f>"009941590708"</f>
        <v>009941590708</v>
      </c>
      <c r="F157" s="4">
        <v>44586</v>
      </c>
      <c r="G157" s="3">
        <v>202207</v>
      </c>
      <c r="H157" s="3" t="s">
        <v>96</v>
      </c>
      <c r="I157" s="3" t="s">
        <v>97</v>
      </c>
      <c r="J157" s="3" t="s">
        <v>480</v>
      </c>
      <c r="K157" s="3" t="s">
        <v>78</v>
      </c>
      <c r="L157" s="3" t="s">
        <v>75</v>
      </c>
      <c r="M157" s="3" t="s">
        <v>76</v>
      </c>
      <c r="N157" s="3" t="s">
        <v>109</v>
      </c>
      <c r="O157" s="3" t="s">
        <v>130</v>
      </c>
      <c r="P157" s="3" t="str">
        <f>"                              "</f>
        <v xml:space="preserve">                              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29.89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1</v>
      </c>
      <c r="BI157" s="3">
        <v>0.5</v>
      </c>
      <c r="BJ157" s="3">
        <v>1.9</v>
      </c>
      <c r="BK157" s="3">
        <v>2</v>
      </c>
      <c r="BL157" s="3">
        <v>119.34</v>
      </c>
      <c r="BM157" s="3">
        <v>17.899999999999999</v>
      </c>
      <c r="BN157" s="3">
        <v>137.24</v>
      </c>
      <c r="BO157" s="3">
        <v>137.24</v>
      </c>
      <c r="BR157" s="3" t="s">
        <v>137</v>
      </c>
      <c r="BS157" s="4">
        <v>44588</v>
      </c>
      <c r="BT157" s="5">
        <v>0.3034722222222222</v>
      </c>
      <c r="BU157" s="3" t="s">
        <v>113</v>
      </c>
      <c r="BV157" s="3" t="s">
        <v>94</v>
      </c>
      <c r="BY157" s="3">
        <v>9559.23</v>
      </c>
      <c r="BZ157" s="3" t="s">
        <v>86</v>
      </c>
      <c r="CA157" s="3" t="s">
        <v>115</v>
      </c>
      <c r="CC157" s="3" t="s">
        <v>76</v>
      </c>
      <c r="CD157" s="3">
        <v>2013</v>
      </c>
      <c r="CE157" s="3" t="s">
        <v>87</v>
      </c>
      <c r="CF157" s="4">
        <v>44588</v>
      </c>
      <c r="CI157" s="3">
        <v>2</v>
      </c>
      <c r="CJ157" s="3">
        <v>2</v>
      </c>
      <c r="CK157" s="3">
        <v>41</v>
      </c>
      <c r="CL157" s="3" t="s">
        <v>88</v>
      </c>
    </row>
    <row r="158" spans="1:90" x14ac:dyDescent="0.2">
      <c r="A158" s="3" t="s">
        <v>72</v>
      </c>
      <c r="B158" s="3" t="s">
        <v>73</v>
      </c>
      <c r="C158" s="3" t="s">
        <v>74</v>
      </c>
      <c r="E158" s="3" t="str">
        <f>"009941301488"</f>
        <v>009941301488</v>
      </c>
      <c r="F158" s="4">
        <v>44587</v>
      </c>
      <c r="G158" s="3">
        <v>202207</v>
      </c>
      <c r="H158" s="3" t="s">
        <v>75</v>
      </c>
      <c r="I158" s="3" t="s">
        <v>76</v>
      </c>
      <c r="J158" s="3" t="s">
        <v>239</v>
      </c>
      <c r="K158" s="3" t="s">
        <v>78</v>
      </c>
      <c r="L158" s="3" t="s">
        <v>75</v>
      </c>
      <c r="M158" s="3" t="s">
        <v>76</v>
      </c>
      <c r="N158" s="3" t="s">
        <v>109</v>
      </c>
      <c r="O158" s="3" t="s">
        <v>110</v>
      </c>
      <c r="P158" s="3" t="str">
        <f>"..                            "</f>
        <v xml:space="preserve">..                            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17.87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1</v>
      </c>
      <c r="BI158" s="3">
        <v>1</v>
      </c>
      <c r="BJ158" s="3">
        <v>9.6</v>
      </c>
      <c r="BK158" s="3">
        <v>10</v>
      </c>
      <c r="BL158" s="3">
        <v>68.2</v>
      </c>
      <c r="BM158" s="3">
        <v>10.23</v>
      </c>
      <c r="BN158" s="3">
        <v>78.430000000000007</v>
      </c>
      <c r="BO158" s="3">
        <v>78.430000000000007</v>
      </c>
      <c r="BQ158" s="3" t="s">
        <v>162</v>
      </c>
      <c r="BR158" s="3" t="s">
        <v>175</v>
      </c>
      <c r="BS158" s="4">
        <v>44588</v>
      </c>
      <c r="BT158" s="5">
        <v>0.30555555555555552</v>
      </c>
      <c r="BU158" s="3" t="s">
        <v>113</v>
      </c>
      <c r="BV158" s="3" t="s">
        <v>94</v>
      </c>
      <c r="BY158" s="3">
        <v>48000</v>
      </c>
      <c r="BZ158" s="3" t="s">
        <v>114</v>
      </c>
      <c r="CA158" s="3" t="s">
        <v>115</v>
      </c>
      <c r="CC158" s="3" t="s">
        <v>76</v>
      </c>
      <c r="CD158" s="3">
        <v>2013</v>
      </c>
      <c r="CE158" s="3" t="s">
        <v>87</v>
      </c>
      <c r="CF158" s="4">
        <v>44588</v>
      </c>
      <c r="CI158" s="3">
        <v>1</v>
      </c>
      <c r="CJ158" s="3">
        <v>1</v>
      </c>
      <c r="CK158" s="3">
        <v>22</v>
      </c>
      <c r="CL158" s="3" t="s">
        <v>88</v>
      </c>
    </row>
    <row r="159" spans="1:90" x14ac:dyDescent="0.2">
      <c r="A159" s="3" t="s">
        <v>72</v>
      </c>
      <c r="B159" s="3" t="s">
        <v>73</v>
      </c>
      <c r="C159" s="3" t="s">
        <v>74</v>
      </c>
      <c r="E159" s="3" t="str">
        <f>"009941301834"</f>
        <v>009941301834</v>
      </c>
      <c r="F159" s="4">
        <v>44587</v>
      </c>
      <c r="G159" s="3">
        <v>202207</v>
      </c>
      <c r="H159" s="3" t="s">
        <v>227</v>
      </c>
      <c r="I159" s="3" t="s">
        <v>228</v>
      </c>
      <c r="J159" s="3" t="s">
        <v>229</v>
      </c>
      <c r="K159" s="3" t="s">
        <v>78</v>
      </c>
      <c r="L159" s="3" t="s">
        <v>75</v>
      </c>
      <c r="M159" s="3" t="s">
        <v>76</v>
      </c>
      <c r="N159" s="3" t="s">
        <v>109</v>
      </c>
      <c r="O159" s="3" t="s">
        <v>110</v>
      </c>
      <c r="P159" s="3" t="str">
        <f>"NA                            "</f>
        <v xml:space="preserve">NA                            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106.43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1</v>
      </c>
      <c r="BI159" s="3">
        <v>1</v>
      </c>
      <c r="BJ159" s="3">
        <v>9.6</v>
      </c>
      <c r="BK159" s="3">
        <v>10</v>
      </c>
      <c r="BL159" s="3">
        <v>406.23</v>
      </c>
      <c r="BM159" s="3">
        <v>60.93</v>
      </c>
      <c r="BN159" s="3">
        <v>467.16</v>
      </c>
      <c r="BO159" s="3">
        <v>467.16</v>
      </c>
      <c r="BQ159" s="3" t="s">
        <v>162</v>
      </c>
      <c r="BR159" s="3" t="s">
        <v>98</v>
      </c>
      <c r="BS159" s="4">
        <v>44588</v>
      </c>
      <c r="BT159" s="5">
        <v>0.30277777777777776</v>
      </c>
      <c r="BU159" s="3" t="s">
        <v>113</v>
      </c>
      <c r="BV159" s="3" t="s">
        <v>94</v>
      </c>
      <c r="BY159" s="3">
        <v>48000</v>
      </c>
      <c r="BZ159" s="3" t="s">
        <v>114</v>
      </c>
      <c r="CA159" s="3" t="s">
        <v>115</v>
      </c>
      <c r="CC159" s="3" t="s">
        <v>76</v>
      </c>
      <c r="CD159" s="3">
        <v>2013</v>
      </c>
      <c r="CE159" s="3" t="s">
        <v>87</v>
      </c>
      <c r="CF159" s="4">
        <v>44588</v>
      </c>
      <c r="CI159" s="3">
        <v>1</v>
      </c>
      <c r="CJ159" s="3">
        <v>1</v>
      </c>
      <c r="CK159" s="3">
        <v>24</v>
      </c>
      <c r="CL159" s="3" t="s">
        <v>88</v>
      </c>
    </row>
    <row r="160" spans="1:90" x14ac:dyDescent="0.2">
      <c r="A160" s="3" t="s">
        <v>72</v>
      </c>
      <c r="B160" s="3" t="s">
        <v>73</v>
      </c>
      <c r="C160" s="3" t="s">
        <v>74</v>
      </c>
      <c r="E160" s="3" t="str">
        <f>"009942411069"</f>
        <v>009942411069</v>
      </c>
      <c r="F160" s="4">
        <v>44587</v>
      </c>
      <c r="G160" s="3">
        <v>202207</v>
      </c>
      <c r="H160" s="3" t="s">
        <v>96</v>
      </c>
      <c r="I160" s="3" t="s">
        <v>97</v>
      </c>
      <c r="J160" s="3" t="s">
        <v>255</v>
      </c>
      <c r="K160" s="3" t="s">
        <v>78</v>
      </c>
      <c r="L160" s="3" t="s">
        <v>75</v>
      </c>
      <c r="M160" s="3" t="s">
        <v>76</v>
      </c>
      <c r="N160" s="3" t="s">
        <v>109</v>
      </c>
      <c r="O160" s="3" t="s">
        <v>110</v>
      </c>
      <c r="P160" s="3" t="str">
        <f>"                              "</f>
        <v xml:space="preserve">                              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15.46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1</v>
      </c>
      <c r="BI160" s="3">
        <v>0.3</v>
      </c>
      <c r="BJ160" s="3">
        <v>1.6</v>
      </c>
      <c r="BK160" s="3">
        <v>2</v>
      </c>
      <c r="BL160" s="3">
        <v>59</v>
      </c>
      <c r="BM160" s="3">
        <v>8.85</v>
      </c>
      <c r="BN160" s="3">
        <v>67.849999999999994</v>
      </c>
      <c r="BO160" s="3">
        <v>67.849999999999994</v>
      </c>
      <c r="BQ160" s="3" t="s">
        <v>306</v>
      </c>
      <c r="BR160" s="3" t="s">
        <v>307</v>
      </c>
      <c r="BS160" s="4">
        <v>44589</v>
      </c>
      <c r="BT160" s="5">
        <v>0.32013888888888892</v>
      </c>
      <c r="BU160" s="3" t="s">
        <v>113</v>
      </c>
      <c r="BV160" s="3" t="s">
        <v>88</v>
      </c>
      <c r="BW160" s="3" t="s">
        <v>138</v>
      </c>
      <c r="BX160" s="3" t="s">
        <v>139</v>
      </c>
      <c r="BY160" s="3">
        <v>7888.4</v>
      </c>
      <c r="BZ160" s="3" t="s">
        <v>114</v>
      </c>
      <c r="CA160" s="3" t="s">
        <v>115</v>
      </c>
      <c r="CC160" s="3" t="s">
        <v>76</v>
      </c>
      <c r="CD160" s="3">
        <v>2016</v>
      </c>
      <c r="CE160" s="3" t="s">
        <v>87</v>
      </c>
      <c r="CF160" s="4">
        <v>44590</v>
      </c>
      <c r="CI160" s="3">
        <v>1</v>
      </c>
      <c r="CJ160" s="3">
        <v>2</v>
      </c>
      <c r="CK160" s="3">
        <v>21</v>
      </c>
      <c r="CL160" s="3" t="s">
        <v>88</v>
      </c>
    </row>
    <row r="161" spans="1:90" x14ac:dyDescent="0.2">
      <c r="A161" s="3" t="s">
        <v>72</v>
      </c>
      <c r="B161" s="3" t="s">
        <v>73</v>
      </c>
      <c r="C161" s="3" t="s">
        <v>74</v>
      </c>
      <c r="E161" s="3" t="str">
        <f>"009940751418"</f>
        <v>009940751418</v>
      </c>
      <c r="F161" s="4">
        <v>44587</v>
      </c>
      <c r="G161" s="3">
        <v>202207</v>
      </c>
      <c r="H161" s="3" t="s">
        <v>96</v>
      </c>
      <c r="I161" s="3" t="s">
        <v>97</v>
      </c>
      <c r="J161" s="3" t="s">
        <v>158</v>
      </c>
      <c r="K161" s="3" t="s">
        <v>78</v>
      </c>
      <c r="L161" s="3" t="s">
        <v>75</v>
      </c>
      <c r="M161" s="3" t="s">
        <v>76</v>
      </c>
      <c r="N161" s="3" t="s">
        <v>136</v>
      </c>
      <c r="O161" s="3" t="s">
        <v>130</v>
      </c>
      <c r="P161" s="3" t="str">
        <f>"NA                            "</f>
        <v xml:space="preserve">NA                            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29.89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1</v>
      </c>
      <c r="BI161" s="3">
        <v>0.4</v>
      </c>
      <c r="BJ161" s="3">
        <v>1.9</v>
      </c>
      <c r="BK161" s="3">
        <v>2</v>
      </c>
      <c r="BL161" s="3">
        <v>119.34</v>
      </c>
      <c r="BM161" s="3">
        <v>17.899999999999999</v>
      </c>
      <c r="BN161" s="3">
        <v>137.24</v>
      </c>
      <c r="BO161" s="3">
        <v>137.24</v>
      </c>
      <c r="BQ161" s="3" t="s">
        <v>159</v>
      </c>
      <c r="BR161" s="3" t="s">
        <v>160</v>
      </c>
      <c r="BS161" s="4">
        <v>44589</v>
      </c>
      <c r="BT161" s="5">
        <v>0.31944444444444448</v>
      </c>
      <c r="BU161" s="3" t="s">
        <v>113</v>
      </c>
      <c r="BV161" s="3" t="s">
        <v>94</v>
      </c>
      <c r="BY161" s="3">
        <v>9476.73</v>
      </c>
      <c r="BZ161" s="3" t="s">
        <v>86</v>
      </c>
      <c r="CA161" s="3" t="s">
        <v>115</v>
      </c>
      <c r="CC161" s="3" t="s">
        <v>76</v>
      </c>
      <c r="CD161" s="3">
        <v>2013</v>
      </c>
      <c r="CE161" s="3" t="s">
        <v>87</v>
      </c>
      <c r="CF161" s="4">
        <v>44590</v>
      </c>
      <c r="CI161" s="3">
        <v>2</v>
      </c>
      <c r="CJ161" s="3">
        <v>2</v>
      </c>
      <c r="CK161" s="3">
        <v>41</v>
      </c>
      <c r="CL161" s="3" t="s">
        <v>88</v>
      </c>
    </row>
    <row r="162" spans="1:90" x14ac:dyDescent="0.2">
      <c r="A162" s="3" t="s">
        <v>72</v>
      </c>
      <c r="B162" s="3" t="s">
        <v>73</v>
      </c>
      <c r="C162" s="3" t="s">
        <v>74</v>
      </c>
      <c r="E162" s="3" t="str">
        <f>"009940714846"</f>
        <v>009940714846</v>
      </c>
      <c r="F162" s="4">
        <v>44588</v>
      </c>
      <c r="G162" s="3">
        <v>202207</v>
      </c>
      <c r="H162" s="3" t="s">
        <v>116</v>
      </c>
      <c r="I162" s="3" t="s">
        <v>117</v>
      </c>
      <c r="J162" s="3" t="s">
        <v>109</v>
      </c>
      <c r="K162" s="3" t="s">
        <v>78</v>
      </c>
      <c r="L162" s="3" t="s">
        <v>75</v>
      </c>
      <c r="M162" s="3" t="s">
        <v>76</v>
      </c>
      <c r="N162" s="3" t="s">
        <v>481</v>
      </c>
      <c r="O162" s="3" t="s">
        <v>110</v>
      </c>
      <c r="P162" s="3" t="str">
        <f>"                              "</f>
        <v xml:space="preserve">                              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15.46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15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1</v>
      </c>
      <c r="BI162" s="3">
        <v>1</v>
      </c>
      <c r="BJ162" s="3">
        <v>0.2</v>
      </c>
      <c r="BK162" s="3">
        <v>1</v>
      </c>
      <c r="BL162" s="3">
        <v>74</v>
      </c>
      <c r="BM162" s="3">
        <v>11.1</v>
      </c>
      <c r="BN162" s="3">
        <v>85.1</v>
      </c>
      <c r="BO162" s="3">
        <v>85.1</v>
      </c>
      <c r="BQ162" s="3" t="s">
        <v>482</v>
      </c>
      <c r="BR162" s="3" t="s">
        <v>120</v>
      </c>
      <c r="BS162" s="4">
        <v>44589</v>
      </c>
      <c r="BT162" s="5">
        <v>0.36874999999999997</v>
      </c>
      <c r="BU162" s="3" t="s">
        <v>483</v>
      </c>
      <c r="BV162" s="3" t="s">
        <v>94</v>
      </c>
      <c r="BY162" s="3">
        <v>1224</v>
      </c>
      <c r="BZ162" s="3" t="s">
        <v>126</v>
      </c>
      <c r="CA162" s="3" t="s">
        <v>484</v>
      </c>
      <c r="CC162" s="3" t="s">
        <v>76</v>
      </c>
      <c r="CD162" s="3">
        <v>2001</v>
      </c>
      <c r="CE162" s="3" t="s">
        <v>87</v>
      </c>
      <c r="CF162" s="4">
        <v>44590</v>
      </c>
      <c r="CI162" s="3">
        <v>1</v>
      </c>
      <c r="CJ162" s="3">
        <v>1</v>
      </c>
      <c r="CK162" s="3">
        <v>21</v>
      </c>
      <c r="CL162" s="3" t="s">
        <v>88</v>
      </c>
    </row>
    <row r="163" spans="1:90" x14ac:dyDescent="0.2">
      <c r="A163" s="3" t="s">
        <v>72</v>
      </c>
      <c r="B163" s="3" t="s">
        <v>73</v>
      </c>
      <c r="C163" s="3" t="s">
        <v>74</v>
      </c>
      <c r="E163" s="3" t="str">
        <f>"009941772008"</f>
        <v>009941772008</v>
      </c>
      <c r="F163" s="4">
        <v>44587</v>
      </c>
      <c r="G163" s="3">
        <v>202207</v>
      </c>
      <c r="H163" s="3" t="s">
        <v>376</v>
      </c>
      <c r="I163" s="3" t="s">
        <v>377</v>
      </c>
      <c r="J163" s="3" t="s">
        <v>287</v>
      </c>
      <c r="K163" s="3" t="s">
        <v>78</v>
      </c>
      <c r="L163" s="3" t="s">
        <v>127</v>
      </c>
      <c r="M163" s="3" t="s">
        <v>128</v>
      </c>
      <c r="N163" s="3" t="s">
        <v>161</v>
      </c>
      <c r="O163" s="3" t="s">
        <v>130</v>
      </c>
      <c r="P163" s="3" t="str">
        <f>"NA                            "</f>
        <v xml:space="preserve">NA                            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42.16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1</v>
      </c>
      <c r="BI163" s="3">
        <v>0.2</v>
      </c>
      <c r="BJ163" s="3">
        <v>2.2999999999999998</v>
      </c>
      <c r="BK163" s="3">
        <v>3</v>
      </c>
      <c r="BL163" s="3">
        <v>166.16</v>
      </c>
      <c r="BM163" s="3">
        <v>24.92</v>
      </c>
      <c r="BN163" s="3">
        <v>191.08</v>
      </c>
      <c r="BO163" s="3">
        <v>191.08</v>
      </c>
      <c r="BQ163" s="3" t="s">
        <v>132</v>
      </c>
      <c r="BR163" s="3" t="s">
        <v>378</v>
      </c>
      <c r="BS163" s="4">
        <v>44589</v>
      </c>
      <c r="BT163" s="5">
        <v>0.4375</v>
      </c>
      <c r="BU163" s="3" t="s">
        <v>485</v>
      </c>
      <c r="BV163" s="3" t="s">
        <v>94</v>
      </c>
      <c r="BY163" s="3">
        <v>11337.48</v>
      </c>
      <c r="BZ163" s="3" t="s">
        <v>86</v>
      </c>
      <c r="CA163" s="3" t="s">
        <v>486</v>
      </c>
      <c r="CC163" s="3" t="s">
        <v>128</v>
      </c>
      <c r="CD163" s="3">
        <v>3610</v>
      </c>
      <c r="CE163" s="3" t="s">
        <v>87</v>
      </c>
      <c r="CI163" s="3">
        <v>3</v>
      </c>
      <c r="CJ163" s="3">
        <v>2</v>
      </c>
      <c r="CK163" s="3">
        <v>43</v>
      </c>
      <c r="CL163" s="3" t="s">
        <v>88</v>
      </c>
    </row>
    <row r="164" spans="1:90" x14ac:dyDescent="0.2">
      <c r="A164" s="3" t="s">
        <v>72</v>
      </c>
      <c r="B164" s="3" t="s">
        <v>73</v>
      </c>
      <c r="C164" s="3" t="s">
        <v>74</v>
      </c>
      <c r="E164" s="3" t="str">
        <f>"009938696989"</f>
        <v>009938696989</v>
      </c>
      <c r="F164" s="4">
        <v>44588</v>
      </c>
      <c r="G164" s="3">
        <v>202207</v>
      </c>
      <c r="H164" s="3" t="s">
        <v>75</v>
      </c>
      <c r="I164" s="3" t="s">
        <v>76</v>
      </c>
      <c r="J164" s="3" t="s">
        <v>487</v>
      </c>
      <c r="K164" s="3" t="s">
        <v>78</v>
      </c>
      <c r="L164" s="3" t="s">
        <v>488</v>
      </c>
      <c r="M164" s="3" t="s">
        <v>489</v>
      </c>
      <c r="N164" s="3" t="s">
        <v>287</v>
      </c>
      <c r="O164" s="3" t="s">
        <v>130</v>
      </c>
      <c r="P164" s="3" t="str">
        <f>"..                            "</f>
        <v xml:space="preserve">..                            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23.06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1</v>
      </c>
      <c r="BI164" s="3">
        <v>0.2</v>
      </c>
      <c r="BJ164" s="3">
        <v>0.9</v>
      </c>
      <c r="BK164" s="3">
        <v>1</v>
      </c>
      <c r="BL164" s="3">
        <v>93.28</v>
      </c>
      <c r="BM164" s="3">
        <v>13.99</v>
      </c>
      <c r="BN164" s="3">
        <v>107.27</v>
      </c>
      <c r="BO164" s="3">
        <v>107.27</v>
      </c>
      <c r="BQ164" s="3" t="s">
        <v>490</v>
      </c>
      <c r="BR164" s="3" t="s">
        <v>84</v>
      </c>
      <c r="BS164" s="4">
        <v>44589</v>
      </c>
      <c r="BT164" s="5">
        <v>0.33124999999999999</v>
      </c>
      <c r="BU164" s="3" t="s">
        <v>491</v>
      </c>
      <c r="BV164" s="3" t="s">
        <v>94</v>
      </c>
      <c r="BY164" s="3">
        <v>4278.58</v>
      </c>
      <c r="BZ164" s="3" t="s">
        <v>86</v>
      </c>
      <c r="CA164" s="3" t="s">
        <v>492</v>
      </c>
      <c r="CC164" s="3" t="s">
        <v>489</v>
      </c>
      <c r="CD164" s="3">
        <v>1500</v>
      </c>
      <c r="CE164" s="3" t="s">
        <v>87</v>
      </c>
      <c r="CF164" s="4">
        <v>44589</v>
      </c>
      <c r="CI164" s="3">
        <v>1</v>
      </c>
      <c r="CJ164" s="3">
        <v>1</v>
      </c>
      <c r="CK164" s="3">
        <v>42</v>
      </c>
      <c r="CL164" s="3" t="s">
        <v>88</v>
      </c>
    </row>
    <row r="165" spans="1:90" x14ac:dyDescent="0.2">
      <c r="A165" s="3" t="s">
        <v>72</v>
      </c>
      <c r="B165" s="3" t="s">
        <v>73</v>
      </c>
      <c r="C165" s="3" t="s">
        <v>74</v>
      </c>
      <c r="E165" s="3" t="str">
        <f>"009941300229"</f>
        <v>009941300229</v>
      </c>
      <c r="F165" s="4">
        <v>44586</v>
      </c>
      <c r="G165" s="3">
        <v>202207</v>
      </c>
      <c r="H165" s="3" t="s">
        <v>172</v>
      </c>
      <c r="I165" s="3" t="s">
        <v>173</v>
      </c>
      <c r="J165" s="3" t="s">
        <v>174</v>
      </c>
      <c r="K165" s="3" t="s">
        <v>78</v>
      </c>
      <c r="L165" s="3" t="s">
        <v>75</v>
      </c>
      <c r="M165" s="3" t="s">
        <v>76</v>
      </c>
      <c r="N165" s="3" t="s">
        <v>136</v>
      </c>
      <c r="O165" s="3" t="s">
        <v>110</v>
      </c>
      <c r="P165" s="3" t="str">
        <f>"..                            "</f>
        <v xml:space="preserve">..                            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12.07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1</v>
      </c>
      <c r="BI165" s="3">
        <v>1</v>
      </c>
      <c r="BJ165" s="3">
        <v>0.2</v>
      </c>
      <c r="BK165" s="3">
        <v>1</v>
      </c>
      <c r="BL165" s="3">
        <v>46.08</v>
      </c>
      <c r="BM165" s="3">
        <v>6.91</v>
      </c>
      <c r="BN165" s="3">
        <v>52.99</v>
      </c>
      <c r="BO165" s="3">
        <v>52.99</v>
      </c>
      <c r="BQ165" s="3" t="s">
        <v>162</v>
      </c>
      <c r="BS165" s="4">
        <v>44587</v>
      </c>
      <c r="BT165" s="5">
        <v>0.31666666666666665</v>
      </c>
      <c r="BU165" s="3" t="s">
        <v>113</v>
      </c>
      <c r="BV165" s="3" t="s">
        <v>94</v>
      </c>
      <c r="BY165" s="3">
        <v>1200</v>
      </c>
      <c r="BZ165" s="3" t="s">
        <v>114</v>
      </c>
      <c r="CA165" s="3" t="s">
        <v>115</v>
      </c>
      <c r="CC165" s="3" t="s">
        <v>76</v>
      </c>
      <c r="CD165" s="3">
        <v>2013</v>
      </c>
      <c r="CE165" s="3" t="s">
        <v>87</v>
      </c>
      <c r="CF165" s="4">
        <v>44588</v>
      </c>
      <c r="CI165" s="3">
        <v>1</v>
      </c>
      <c r="CJ165" s="3">
        <v>1</v>
      </c>
      <c r="CK165" s="3">
        <v>22</v>
      </c>
      <c r="CL165" s="3" t="s">
        <v>88</v>
      </c>
    </row>
    <row r="166" spans="1:90" x14ac:dyDescent="0.2">
      <c r="A166" s="3" t="s">
        <v>72</v>
      </c>
      <c r="B166" s="3" t="s">
        <v>73</v>
      </c>
      <c r="C166" s="3" t="s">
        <v>74</v>
      </c>
      <c r="E166" s="3" t="str">
        <f>"009942456525"</f>
        <v>009942456525</v>
      </c>
      <c r="F166" s="4">
        <v>44586</v>
      </c>
      <c r="G166" s="3">
        <v>202207</v>
      </c>
      <c r="H166" s="3" t="s">
        <v>75</v>
      </c>
      <c r="I166" s="3" t="s">
        <v>76</v>
      </c>
      <c r="J166" s="3" t="s">
        <v>123</v>
      </c>
      <c r="K166" s="3" t="s">
        <v>78</v>
      </c>
      <c r="L166" s="3" t="s">
        <v>75</v>
      </c>
      <c r="M166" s="3" t="s">
        <v>76</v>
      </c>
      <c r="N166" s="3" t="s">
        <v>136</v>
      </c>
      <c r="O166" s="3" t="s">
        <v>110</v>
      </c>
      <c r="P166" s="3" t="str">
        <f>"..                            "</f>
        <v xml:space="preserve">..                            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12.07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1</v>
      </c>
      <c r="BI166" s="3">
        <v>0.2</v>
      </c>
      <c r="BJ166" s="3">
        <v>1.3</v>
      </c>
      <c r="BK166" s="3">
        <v>1.5</v>
      </c>
      <c r="BL166" s="3">
        <v>46.08</v>
      </c>
      <c r="BM166" s="3">
        <v>6.91</v>
      </c>
      <c r="BN166" s="3">
        <v>52.99</v>
      </c>
      <c r="BO166" s="3">
        <v>52.99</v>
      </c>
      <c r="BQ166" s="3" t="s">
        <v>98</v>
      </c>
      <c r="BR166" s="3" t="s">
        <v>137</v>
      </c>
      <c r="BS166" s="4">
        <v>44587</v>
      </c>
      <c r="BT166" s="5">
        <v>0.31388888888888888</v>
      </c>
      <c r="BU166" s="3" t="s">
        <v>113</v>
      </c>
      <c r="BV166" s="3" t="s">
        <v>94</v>
      </c>
      <c r="BY166" s="3">
        <v>6737.26</v>
      </c>
      <c r="BZ166" s="3" t="s">
        <v>114</v>
      </c>
      <c r="CA166" s="3" t="s">
        <v>115</v>
      </c>
      <c r="CC166" s="3" t="s">
        <v>76</v>
      </c>
      <c r="CD166" s="3">
        <v>2013</v>
      </c>
      <c r="CE166" s="3" t="s">
        <v>87</v>
      </c>
      <c r="CF166" s="4">
        <v>44588</v>
      </c>
      <c r="CI166" s="3">
        <v>1</v>
      </c>
      <c r="CJ166" s="3">
        <v>1</v>
      </c>
      <c r="CK166" s="3">
        <v>22</v>
      </c>
      <c r="CL166" s="3" t="s">
        <v>88</v>
      </c>
    </row>
    <row r="167" spans="1:90" x14ac:dyDescent="0.2">
      <c r="A167" s="3" t="s">
        <v>72</v>
      </c>
      <c r="B167" s="3" t="s">
        <v>73</v>
      </c>
      <c r="C167" s="3" t="s">
        <v>74</v>
      </c>
      <c r="E167" s="3" t="str">
        <f>"009941976894"</f>
        <v>009941976894</v>
      </c>
      <c r="F167" s="4">
        <v>44586</v>
      </c>
      <c r="G167" s="3">
        <v>202207</v>
      </c>
      <c r="H167" s="3" t="s">
        <v>127</v>
      </c>
      <c r="I167" s="3" t="s">
        <v>128</v>
      </c>
      <c r="J167" s="3" t="s">
        <v>129</v>
      </c>
      <c r="K167" s="3" t="s">
        <v>78</v>
      </c>
      <c r="L167" s="3" t="s">
        <v>89</v>
      </c>
      <c r="M167" s="3" t="s">
        <v>90</v>
      </c>
      <c r="N167" s="3">
        <v>1</v>
      </c>
      <c r="O167" s="3" t="s">
        <v>110</v>
      </c>
      <c r="P167" s="3" t="str">
        <f>"                              "</f>
        <v xml:space="preserve">                              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15.46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1</v>
      </c>
      <c r="BI167" s="3">
        <v>1</v>
      </c>
      <c r="BJ167" s="3">
        <v>1.6</v>
      </c>
      <c r="BK167" s="3">
        <v>2</v>
      </c>
      <c r="BL167" s="3">
        <v>59</v>
      </c>
      <c r="BM167" s="3">
        <v>8.85</v>
      </c>
      <c r="BN167" s="3">
        <v>67.849999999999994</v>
      </c>
      <c r="BO167" s="3">
        <v>67.849999999999994</v>
      </c>
      <c r="BQ167" s="3" t="s">
        <v>493</v>
      </c>
      <c r="BR167" s="3" t="s">
        <v>494</v>
      </c>
      <c r="BS167" s="4">
        <v>44587</v>
      </c>
      <c r="BT167" s="5">
        <v>0.30138888888888887</v>
      </c>
      <c r="BU167" s="3" t="s">
        <v>495</v>
      </c>
      <c r="BV167" s="3" t="s">
        <v>94</v>
      </c>
      <c r="BY167" s="3">
        <v>8000</v>
      </c>
      <c r="BZ167" s="3" t="s">
        <v>114</v>
      </c>
      <c r="CA167" s="3" t="s">
        <v>95</v>
      </c>
      <c r="CC167" s="3" t="s">
        <v>90</v>
      </c>
      <c r="CD167" s="3">
        <v>1560</v>
      </c>
      <c r="CE167" s="3" t="s">
        <v>87</v>
      </c>
      <c r="CF167" s="4">
        <v>44587</v>
      </c>
      <c r="CI167" s="3">
        <v>1</v>
      </c>
      <c r="CJ167" s="3">
        <v>1</v>
      </c>
      <c r="CK167" s="3">
        <v>21</v>
      </c>
      <c r="CL167" s="3" t="s">
        <v>88</v>
      </c>
    </row>
    <row r="168" spans="1:90" x14ac:dyDescent="0.2">
      <c r="A168" s="3" t="s">
        <v>72</v>
      </c>
      <c r="B168" s="3" t="s">
        <v>73</v>
      </c>
      <c r="C168" s="3" t="s">
        <v>74</v>
      </c>
      <c r="E168" s="3" t="str">
        <f>"009941976893"</f>
        <v>009941976893</v>
      </c>
      <c r="F168" s="4">
        <v>44586</v>
      </c>
      <c r="G168" s="3">
        <v>202207</v>
      </c>
      <c r="H168" s="3" t="s">
        <v>127</v>
      </c>
      <c r="I168" s="3" t="s">
        <v>128</v>
      </c>
      <c r="J168" s="3" t="s">
        <v>129</v>
      </c>
      <c r="K168" s="3" t="s">
        <v>78</v>
      </c>
      <c r="L168" s="3" t="s">
        <v>75</v>
      </c>
      <c r="M168" s="3" t="s">
        <v>76</v>
      </c>
      <c r="N168" s="3" t="s">
        <v>109</v>
      </c>
      <c r="O168" s="3" t="s">
        <v>130</v>
      </c>
      <c r="P168" s="3" t="str">
        <f>"                              "</f>
        <v xml:space="preserve">                              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29.89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1</v>
      </c>
      <c r="BI168" s="3">
        <v>2</v>
      </c>
      <c r="BJ168" s="3">
        <v>1.2</v>
      </c>
      <c r="BK168" s="3">
        <v>2</v>
      </c>
      <c r="BL168" s="3">
        <v>119.34</v>
      </c>
      <c r="BM168" s="3">
        <v>17.899999999999999</v>
      </c>
      <c r="BN168" s="3">
        <v>137.24</v>
      </c>
      <c r="BO168" s="3">
        <v>137.24</v>
      </c>
      <c r="BQ168" s="3" t="s">
        <v>131</v>
      </c>
      <c r="BR168" s="3" t="s">
        <v>132</v>
      </c>
      <c r="BS168" s="4">
        <v>44587</v>
      </c>
      <c r="BT168" s="5">
        <v>0.31527777777777777</v>
      </c>
      <c r="BU168" s="3" t="s">
        <v>113</v>
      </c>
      <c r="BV168" s="3" t="s">
        <v>94</v>
      </c>
      <c r="BY168" s="3">
        <v>6000</v>
      </c>
      <c r="BZ168" s="3" t="s">
        <v>86</v>
      </c>
      <c r="CA168" s="3" t="s">
        <v>115</v>
      </c>
      <c r="CC168" s="3" t="s">
        <v>76</v>
      </c>
      <c r="CD168" s="3">
        <v>2013</v>
      </c>
      <c r="CE168" s="3" t="s">
        <v>87</v>
      </c>
      <c r="CF168" s="4">
        <v>44588</v>
      </c>
      <c r="CI168" s="3">
        <v>1</v>
      </c>
      <c r="CJ168" s="3">
        <v>1</v>
      </c>
      <c r="CK168" s="3">
        <v>41</v>
      </c>
      <c r="CL168" s="3" t="s">
        <v>88</v>
      </c>
    </row>
    <row r="169" spans="1:90" x14ac:dyDescent="0.2">
      <c r="A169" s="3" t="s">
        <v>72</v>
      </c>
      <c r="B169" s="3" t="s">
        <v>73</v>
      </c>
      <c r="C169" s="3" t="s">
        <v>74</v>
      </c>
      <c r="E169" s="3" t="str">
        <f>"009941626311"</f>
        <v>009941626311</v>
      </c>
      <c r="F169" s="4">
        <v>44586</v>
      </c>
      <c r="G169" s="3">
        <v>202207</v>
      </c>
      <c r="H169" s="3" t="s">
        <v>75</v>
      </c>
      <c r="I169" s="3" t="s">
        <v>76</v>
      </c>
      <c r="J169" s="3" t="s">
        <v>77</v>
      </c>
      <c r="K169" s="3" t="s">
        <v>78</v>
      </c>
      <c r="L169" s="3" t="s">
        <v>116</v>
      </c>
      <c r="M169" s="3" t="s">
        <v>117</v>
      </c>
      <c r="N169" s="3" t="s">
        <v>496</v>
      </c>
      <c r="O169" s="3" t="s">
        <v>82</v>
      </c>
      <c r="P169" s="3" t="str">
        <f>"..                            "</f>
        <v xml:space="preserve">..                            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28.98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3">
        <v>1</v>
      </c>
      <c r="BI169" s="3">
        <v>0.2</v>
      </c>
      <c r="BJ169" s="3">
        <v>0.3</v>
      </c>
      <c r="BK169" s="3">
        <v>1</v>
      </c>
      <c r="BL169" s="3">
        <v>110.62</v>
      </c>
      <c r="BM169" s="3">
        <v>16.59</v>
      </c>
      <c r="BN169" s="3">
        <v>127.21</v>
      </c>
      <c r="BO169" s="3">
        <v>127.21</v>
      </c>
      <c r="BQ169" s="3" t="s">
        <v>497</v>
      </c>
      <c r="BR169" s="3" t="s">
        <v>498</v>
      </c>
      <c r="BS169" s="4">
        <v>44587</v>
      </c>
      <c r="BT169" s="5">
        <v>0.4597222222222222</v>
      </c>
      <c r="BU169" s="3" t="s">
        <v>499</v>
      </c>
      <c r="BV169" s="3" t="s">
        <v>94</v>
      </c>
      <c r="BY169" s="3">
        <v>1654.95</v>
      </c>
      <c r="BZ169" s="3" t="s">
        <v>86</v>
      </c>
      <c r="CA169" s="3" t="s">
        <v>500</v>
      </c>
      <c r="CC169" s="3" t="s">
        <v>117</v>
      </c>
      <c r="CD169" s="3">
        <v>3630</v>
      </c>
      <c r="CE169" s="3" t="s">
        <v>87</v>
      </c>
      <c r="CF169" s="4">
        <v>44588</v>
      </c>
      <c r="CI169" s="3">
        <v>1</v>
      </c>
      <c r="CJ169" s="3">
        <v>1</v>
      </c>
      <c r="CK169" s="3">
        <v>31</v>
      </c>
      <c r="CL169" s="3" t="s">
        <v>88</v>
      </c>
    </row>
    <row r="170" spans="1:90" x14ac:dyDescent="0.2">
      <c r="A170" s="3" t="s">
        <v>72</v>
      </c>
      <c r="B170" s="3" t="s">
        <v>73</v>
      </c>
      <c r="C170" s="3" t="s">
        <v>74</v>
      </c>
      <c r="E170" s="3" t="str">
        <f>"009941984023"</f>
        <v>009941984023</v>
      </c>
      <c r="F170" s="4">
        <v>44586</v>
      </c>
      <c r="G170" s="3">
        <v>202207</v>
      </c>
      <c r="H170" s="3" t="s">
        <v>121</v>
      </c>
      <c r="I170" s="3" t="s">
        <v>122</v>
      </c>
      <c r="J170" s="3" t="s">
        <v>123</v>
      </c>
      <c r="K170" s="3" t="s">
        <v>78</v>
      </c>
      <c r="L170" s="3" t="s">
        <v>75</v>
      </c>
      <c r="M170" s="3" t="s">
        <v>76</v>
      </c>
      <c r="N170" s="3" t="s">
        <v>178</v>
      </c>
      <c r="O170" s="3" t="s">
        <v>110</v>
      </c>
      <c r="P170" s="3" t="str">
        <f>"                              "</f>
        <v xml:space="preserve">                              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29.95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1</v>
      </c>
      <c r="BI170" s="3">
        <v>1</v>
      </c>
      <c r="BJ170" s="3">
        <v>0.2</v>
      </c>
      <c r="BK170" s="3">
        <v>1</v>
      </c>
      <c r="BL170" s="3">
        <v>114.31</v>
      </c>
      <c r="BM170" s="3">
        <v>17.149999999999999</v>
      </c>
      <c r="BN170" s="3">
        <v>131.46</v>
      </c>
      <c r="BO170" s="3">
        <v>131.46</v>
      </c>
      <c r="BR170" s="3" t="s">
        <v>137</v>
      </c>
      <c r="BS170" s="4">
        <v>44587</v>
      </c>
      <c r="BT170" s="5">
        <v>0.31458333333333333</v>
      </c>
      <c r="BU170" s="3" t="s">
        <v>113</v>
      </c>
      <c r="BV170" s="3" t="s">
        <v>94</v>
      </c>
      <c r="BY170" s="3">
        <v>1200</v>
      </c>
      <c r="BZ170" s="3" t="s">
        <v>114</v>
      </c>
      <c r="CA170" s="3" t="s">
        <v>115</v>
      </c>
      <c r="CC170" s="3" t="s">
        <v>76</v>
      </c>
      <c r="CD170" s="3">
        <v>2190</v>
      </c>
      <c r="CE170" s="3" t="s">
        <v>87</v>
      </c>
      <c r="CF170" s="4">
        <v>44588</v>
      </c>
      <c r="CI170" s="3">
        <v>1</v>
      </c>
      <c r="CJ170" s="3">
        <v>1</v>
      </c>
      <c r="CK170" s="3">
        <v>23</v>
      </c>
      <c r="CL170" s="3" t="s">
        <v>88</v>
      </c>
    </row>
    <row r="171" spans="1:90" x14ac:dyDescent="0.2">
      <c r="A171" s="3" t="s">
        <v>72</v>
      </c>
      <c r="B171" s="3" t="s">
        <v>73</v>
      </c>
      <c r="C171" s="3" t="s">
        <v>74</v>
      </c>
      <c r="E171" s="3" t="str">
        <f>"009942061976"</f>
        <v>009942061976</v>
      </c>
      <c r="F171" s="4">
        <v>44586</v>
      </c>
      <c r="G171" s="3">
        <v>202207</v>
      </c>
      <c r="H171" s="3" t="s">
        <v>144</v>
      </c>
      <c r="I171" s="3" t="s">
        <v>145</v>
      </c>
      <c r="J171" s="3" t="s">
        <v>501</v>
      </c>
      <c r="K171" s="3" t="s">
        <v>78</v>
      </c>
      <c r="L171" s="3" t="s">
        <v>75</v>
      </c>
      <c r="M171" s="3" t="s">
        <v>76</v>
      </c>
      <c r="N171" s="3" t="s">
        <v>118</v>
      </c>
      <c r="O171" s="3" t="s">
        <v>110</v>
      </c>
      <c r="P171" s="3" t="str">
        <f>"                              "</f>
        <v xml:space="preserve">                              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15.46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1</v>
      </c>
      <c r="BI171" s="3">
        <v>1</v>
      </c>
      <c r="BJ171" s="3">
        <v>0.2</v>
      </c>
      <c r="BK171" s="3">
        <v>1</v>
      </c>
      <c r="BL171" s="3">
        <v>59</v>
      </c>
      <c r="BM171" s="3">
        <v>8.85</v>
      </c>
      <c r="BN171" s="3">
        <v>67.849999999999994</v>
      </c>
      <c r="BO171" s="3">
        <v>67.849999999999994</v>
      </c>
      <c r="BQ171" s="3" t="s">
        <v>147</v>
      </c>
      <c r="BR171" s="3" t="s">
        <v>148</v>
      </c>
      <c r="BS171" s="4">
        <v>44587</v>
      </c>
      <c r="BT171" s="5">
        <v>0.31458333333333333</v>
      </c>
      <c r="BU171" s="3" t="s">
        <v>113</v>
      </c>
      <c r="BV171" s="3" t="s">
        <v>94</v>
      </c>
      <c r="BY171" s="3">
        <v>754</v>
      </c>
      <c r="BZ171" s="3" t="s">
        <v>114</v>
      </c>
      <c r="CA171" s="3" t="s">
        <v>115</v>
      </c>
      <c r="CC171" s="3" t="s">
        <v>76</v>
      </c>
      <c r="CD171" s="3">
        <v>2013</v>
      </c>
      <c r="CE171" s="3" t="s">
        <v>87</v>
      </c>
      <c r="CF171" s="4">
        <v>44588</v>
      </c>
      <c r="CI171" s="3">
        <v>1</v>
      </c>
      <c r="CJ171" s="3">
        <v>1</v>
      </c>
      <c r="CK171" s="3">
        <v>21</v>
      </c>
      <c r="CL171" s="3" t="s">
        <v>88</v>
      </c>
    </row>
    <row r="172" spans="1:90" x14ac:dyDescent="0.2">
      <c r="A172" s="3" t="s">
        <v>72</v>
      </c>
      <c r="B172" s="3" t="s">
        <v>73</v>
      </c>
      <c r="C172" s="3" t="s">
        <v>74</v>
      </c>
      <c r="E172" s="3" t="str">
        <f>"009941300314"</f>
        <v>009941300314</v>
      </c>
      <c r="F172" s="4">
        <v>44586</v>
      </c>
      <c r="G172" s="3">
        <v>202207</v>
      </c>
      <c r="H172" s="3" t="s">
        <v>140</v>
      </c>
      <c r="I172" s="3" t="s">
        <v>141</v>
      </c>
      <c r="J172" s="3" t="s">
        <v>142</v>
      </c>
      <c r="K172" s="3" t="s">
        <v>78</v>
      </c>
      <c r="L172" s="3" t="s">
        <v>75</v>
      </c>
      <c r="M172" s="3" t="s">
        <v>76</v>
      </c>
      <c r="N172" s="3" t="s">
        <v>109</v>
      </c>
      <c r="O172" s="3" t="s">
        <v>130</v>
      </c>
      <c r="P172" s="3" t="str">
        <f>"                              "</f>
        <v xml:space="preserve">                              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29.89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1</v>
      </c>
      <c r="BI172" s="3">
        <v>1</v>
      </c>
      <c r="BJ172" s="3">
        <v>0.2</v>
      </c>
      <c r="BK172" s="3">
        <v>1</v>
      </c>
      <c r="BL172" s="3">
        <v>119.34</v>
      </c>
      <c r="BM172" s="3">
        <v>17.899999999999999</v>
      </c>
      <c r="BN172" s="3">
        <v>137.24</v>
      </c>
      <c r="BO172" s="3">
        <v>137.24</v>
      </c>
      <c r="BQ172" s="3" t="s">
        <v>162</v>
      </c>
      <c r="BS172" s="4">
        <v>44587</v>
      </c>
      <c r="BT172" s="5">
        <v>0.31388888888888888</v>
      </c>
      <c r="BU172" s="3" t="s">
        <v>113</v>
      </c>
      <c r="BV172" s="3" t="s">
        <v>94</v>
      </c>
      <c r="BY172" s="3">
        <v>1200</v>
      </c>
      <c r="BZ172" s="3" t="s">
        <v>86</v>
      </c>
      <c r="CA172" s="3" t="s">
        <v>115</v>
      </c>
      <c r="CC172" s="3" t="s">
        <v>76</v>
      </c>
      <c r="CD172" s="3">
        <v>2013</v>
      </c>
      <c r="CE172" s="3" t="s">
        <v>87</v>
      </c>
      <c r="CF172" s="4">
        <v>44588</v>
      </c>
      <c r="CI172" s="3">
        <v>1</v>
      </c>
      <c r="CJ172" s="3">
        <v>1</v>
      </c>
      <c r="CK172" s="3">
        <v>41</v>
      </c>
      <c r="CL172" s="3" t="s">
        <v>88</v>
      </c>
    </row>
    <row r="173" spans="1:90" x14ac:dyDescent="0.2">
      <c r="A173" s="3" t="s">
        <v>72</v>
      </c>
      <c r="B173" s="3" t="s">
        <v>73</v>
      </c>
      <c r="C173" s="3" t="s">
        <v>74</v>
      </c>
      <c r="E173" s="3" t="str">
        <f>"009941640776"</f>
        <v>009941640776</v>
      </c>
      <c r="F173" s="4">
        <v>44588</v>
      </c>
      <c r="G173" s="3">
        <v>202207</v>
      </c>
      <c r="H173" s="3" t="s">
        <v>75</v>
      </c>
      <c r="I173" s="3" t="s">
        <v>76</v>
      </c>
      <c r="J173" s="3" t="s">
        <v>77</v>
      </c>
      <c r="K173" s="3" t="s">
        <v>78</v>
      </c>
      <c r="L173" s="3" t="s">
        <v>213</v>
      </c>
      <c r="M173" s="3" t="s">
        <v>214</v>
      </c>
      <c r="N173" s="3" t="s">
        <v>91</v>
      </c>
      <c r="O173" s="3" t="s">
        <v>110</v>
      </c>
      <c r="P173" s="3" t="str">
        <f>"..                            "</f>
        <v xml:space="preserve">..                            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12.07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1</v>
      </c>
      <c r="BI173" s="3">
        <v>1</v>
      </c>
      <c r="BJ173" s="3">
        <v>2.2999999999999998</v>
      </c>
      <c r="BK173" s="3">
        <v>2.5</v>
      </c>
      <c r="BL173" s="3">
        <v>46.08</v>
      </c>
      <c r="BM173" s="3">
        <v>6.91</v>
      </c>
      <c r="BN173" s="3">
        <v>52.99</v>
      </c>
      <c r="BO173" s="3">
        <v>52.99</v>
      </c>
      <c r="BQ173" s="3" t="s">
        <v>98</v>
      </c>
      <c r="BR173" s="3" t="s">
        <v>84</v>
      </c>
      <c r="BS173" s="4">
        <v>44589</v>
      </c>
      <c r="BT173" s="5">
        <v>0.46527777777777773</v>
      </c>
      <c r="BU173" s="3" t="s">
        <v>502</v>
      </c>
      <c r="BV173" s="3" t="s">
        <v>88</v>
      </c>
      <c r="BW173" s="3" t="s">
        <v>138</v>
      </c>
      <c r="BX173" s="3" t="s">
        <v>139</v>
      </c>
      <c r="BY173" s="3">
        <v>11552.44</v>
      </c>
      <c r="BZ173" s="3" t="s">
        <v>114</v>
      </c>
      <c r="CA173" s="3" t="s">
        <v>503</v>
      </c>
      <c r="CC173" s="3" t="s">
        <v>214</v>
      </c>
      <c r="CD173" s="3">
        <v>1619</v>
      </c>
      <c r="CE173" s="3" t="s">
        <v>87</v>
      </c>
      <c r="CI173" s="3">
        <v>1</v>
      </c>
      <c r="CJ173" s="3">
        <v>1</v>
      </c>
      <c r="CK173" s="3">
        <v>22</v>
      </c>
      <c r="CL173" s="3" t="s">
        <v>88</v>
      </c>
    </row>
    <row r="174" spans="1:90" x14ac:dyDescent="0.2">
      <c r="A174" s="3" t="s">
        <v>72</v>
      </c>
      <c r="B174" s="3" t="s">
        <v>73</v>
      </c>
      <c r="C174" s="3" t="s">
        <v>74</v>
      </c>
      <c r="E174" s="3" t="str">
        <f>"009941300415"</f>
        <v>009941300415</v>
      </c>
      <c r="F174" s="4">
        <v>44588</v>
      </c>
      <c r="G174" s="3">
        <v>202207</v>
      </c>
      <c r="H174" s="3" t="s">
        <v>75</v>
      </c>
      <c r="I174" s="3" t="s">
        <v>76</v>
      </c>
      <c r="J174" s="3" t="s">
        <v>285</v>
      </c>
      <c r="K174" s="3" t="s">
        <v>78</v>
      </c>
      <c r="L174" s="3" t="s">
        <v>75</v>
      </c>
      <c r="M174" s="3" t="s">
        <v>76</v>
      </c>
      <c r="N174" s="3" t="s">
        <v>109</v>
      </c>
      <c r="O174" s="3" t="s">
        <v>130</v>
      </c>
      <c r="P174" s="3" t="str">
        <f>"..                            "</f>
        <v xml:space="preserve">..                            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23.06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1</v>
      </c>
      <c r="BI174" s="3">
        <v>1</v>
      </c>
      <c r="BJ174" s="3">
        <v>9.6</v>
      </c>
      <c r="BK174" s="3">
        <v>10</v>
      </c>
      <c r="BL174" s="3">
        <v>93.28</v>
      </c>
      <c r="BM174" s="3">
        <v>13.99</v>
      </c>
      <c r="BN174" s="3">
        <v>107.27</v>
      </c>
      <c r="BO174" s="3">
        <v>107.27</v>
      </c>
      <c r="BQ174" s="3" t="s">
        <v>162</v>
      </c>
      <c r="BR174" s="3" t="s">
        <v>175</v>
      </c>
      <c r="BS174" s="4">
        <v>44589</v>
      </c>
      <c r="BT174" s="5">
        <v>0.32013888888888892</v>
      </c>
      <c r="BU174" s="3" t="s">
        <v>113</v>
      </c>
      <c r="BV174" s="3" t="s">
        <v>94</v>
      </c>
      <c r="BY174" s="3">
        <v>48000</v>
      </c>
      <c r="BZ174" s="3" t="s">
        <v>86</v>
      </c>
      <c r="CA174" s="3" t="s">
        <v>115</v>
      </c>
      <c r="CC174" s="3" t="s">
        <v>76</v>
      </c>
      <c r="CD174" s="3">
        <v>2013</v>
      </c>
      <c r="CE174" s="3" t="s">
        <v>87</v>
      </c>
      <c r="CF174" s="4">
        <v>44590</v>
      </c>
      <c r="CI174" s="3">
        <v>1</v>
      </c>
      <c r="CJ174" s="3">
        <v>1</v>
      </c>
      <c r="CK174" s="3">
        <v>42</v>
      </c>
      <c r="CL174" s="3" t="s">
        <v>88</v>
      </c>
    </row>
    <row r="175" spans="1:90" x14ac:dyDescent="0.2">
      <c r="A175" s="3" t="s">
        <v>72</v>
      </c>
      <c r="B175" s="3" t="s">
        <v>73</v>
      </c>
      <c r="C175" s="3" t="s">
        <v>74</v>
      </c>
      <c r="E175" s="3" t="str">
        <f>"009942214924"</f>
        <v>009942214924</v>
      </c>
      <c r="F175" s="4">
        <v>44565</v>
      </c>
      <c r="G175" s="3">
        <v>202207</v>
      </c>
      <c r="H175" s="3" t="s">
        <v>96</v>
      </c>
      <c r="I175" s="3" t="s">
        <v>97</v>
      </c>
      <c r="J175" s="3" t="s">
        <v>504</v>
      </c>
      <c r="K175" s="3" t="s">
        <v>78</v>
      </c>
      <c r="L175" s="3" t="s">
        <v>213</v>
      </c>
      <c r="M175" s="3" t="s">
        <v>214</v>
      </c>
      <c r="N175" s="3" t="s">
        <v>505</v>
      </c>
      <c r="O175" s="3" t="s">
        <v>130</v>
      </c>
      <c r="P175" s="3" t="str">
        <f>"NA                            "</f>
        <v xml:space="preserve">NA                            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32.840000000000003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1</v>
      </c>
      <c r="BI175" s="3">
        <v>0.6</v>
      </c>
      <c r="BJ175" s="3">
        <v>2</v>
      </c>
      <c r="BK175" s="3">
        <v>2</v>
      </c>
      <c r="BL175" s="3">
        <v>122.29</v>
      </c>
      <c r="BM175" s="3">
        <v>18.34</v>
      </c>
      <c r="BN175" s="3">
        <v>140.63</v>
      </c>
      <c r="BO175" s="3">
        <v>140.63</v>
      </c>
      <c r="BQ175" s="3" t="s">
        <v>135</v>
      </c>
      <c r="BR175" s="3" t="s">
        <v>506</v>
      </c>
      <c r="BS175" s="4">
        <v>44568</v>
      </c>
      <c r="BT175" s="5">
        <v>0.32013888888888892</v>
      </c>
      <c r="BU175" s="3" t="s">
        <v>507</v>
      </c>
      <c r="BV175" s="3" t="s">
        <v>88</v>
      </c>
      <c r="BW175" s="3" t="s">
        <v>399</v>
      </c>
      <c r="BX175" s="3" t="s">
        <v>508</v>
      </c>
      <c r="BY175" s="3">
        <v>10054.799999999999</v>
      </c>
      <c r="BZ175" s="3" t="s">
        <v>86</v>
      </c>
      <c r="CA175" s="3" t="s">
        <v>509</v>
      </c>
      <c r="CC175" s="3" t="s">
        <v>214</v>
      </c>
      <c r="CD175" s="3">
        <v>1619</v>
      </c>
      <c r="CE175" s="3" t="s">
        <v>87</v>
      </c>
      <c r="CF175" s="4">
        <v>44569</v>
      </c>
      <c r="CI175" s="3">
        <v>2</v>
      </c>
      <c r="CJ175" s="3">
        <v>3</v>
      </c>
      <c r="CK175" s="3">
        <v>41</v>
      </c>
      <c r="CL175" s="3" t="s">
        <v>88</v>
      </c>
    </row>
    <row r="176" spans="1:90" x14ac:dyDescent="0.2">
      <c r="A176" s="3" t="s">
        <v>72</v>
      </c>
      <c r="B176" s="3" t="s">
        <v>73</v>
      </c>
      <c r="C176" s="3" t="s">
        <v>74</v>
      </c>
      <c r="E176" s="3" t="str">
        <f>"009941590709"</f>
        <v>009941590709</v>
      </c>
      <c r="F176" s="4">
        <v>44565</v>
      </c>
      <c r="G176" s="3">
        <v>202207</v>
      </c>
      <c r="H176" s="3" t="s">
        <v>96</v>
      </c>
      <c r="I176" s="3" t="s">
        <v>97</v>
      </c>
      <c r="J176" s="3" t="s">
        <v>123</v>
      </c>
      <c r="K176" s="3" t="s">
        <v>78</v>
      </c>
      <c r="L176" s="3" t="s">
        <v>75</v>
      </c>
      <c r="M176" s="3" t="s">
        <v>76</v>
      </c>
      <c r="N176" s="3" t="s">
        <v>109</v>
      </c>
      <c r="O176" s="3" t="s">
        <v>130</v>
      </c>
      <c r="P176" s="3" t="str">
        <f>"NA                            "</f>
        <v xml:space="preserve">NA                            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32.840000000000003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1</v>
      </c>
      <c r="BI176" s="3">
        <v>0.1</v>
      </c>
      <c r="BJ176" s="3">
        <v>1.6</v>
      </c>
      <c r="BK176" s="3">
        <v>2</v>
      </c>
      <c r="BL176" s="3">
        <v>122.29</v>
      </c>
      <c r="BM176" s="3">
        <v>18.34</v>
      </c>
      <c r="BN176" s="3">
        <v>140.63</v>
      </c>
      <c r="BO176" s="3">
        <v>140.63</v>
      </c>
      <c r="BR176" s="3" t="s">
        <v>313</v>
      </c>
      <c r="BS176" s="4">
        <v>44568</v>
      </c>
      <c r="BT176" s="5">
        <v>0.54236111111111118</v>
      </c>
      <c r="BU176" s="3" t="s">
        <v>418</v>
      </c>
      <c r="BV176" s="3" t="s">
        <v>88</v>
      </c>
      <c r="BW176" s="3" t="s">
        <v>195</v>
      </c>
      <c r="BX176" s="3" t="s">
        <v>510</v>
      </c>
      <c r="BY176" s="3">
        <v>8136.45</v>
      </c>
      <c r="CA176" s="3" t="s">
        <v>511</v>
      </c>
      <c r="CC176" s="3" t="s">
        <v>76</v>
      </c>
      <c r="CD176" s="3">
        <v>2000</v>
      </c>
      <c r="CE176" s="3" t="s">
        <v>87</v>
      </c>
      <c r="CF176" s="4">
        <v>44568</v>
      </c>
      <c r="CI176" s="3">
        <v>2</v>
      </c>
      <c r="CJ176" s="3">
        <v>3</v>
      </c>
      <c r="CK176" s="3">
        <v>41</v>
      </c>
      <c r="CL176" s="3" t="s">
        <v>88</v>
      </c>
    </row>
    <row r="177" spans="1:90" x14ac:dyDescent="0.2">
      <c r="A177" s="3" t="s">
        <v>72</v>
      </c>
      <c r="B177" s="3" t="s">
        <v>73</v>
      </c>
      <c r="C177" s="3" t="s">
        <v>74</v>
      </c>
      <c r="E177" s="3" t="str">
        <f>"009940432665"</f>
        <v>009940432665</v>
      </c>
      <c r="F177" s="4">
        <v>44565</v>
      </c>
      <c r="G177" s="3">
        <v>202207</v>
      </c>
      <c r="H177" s="3" t="s">
        <v>96</v>
      </c>
      <c r="I177" s="3" t="s">
        <v>97</v>
      </c>
      <c r="J177" s="3" t="s">
        <v>134</v>
      </c>
      <c r="K177" s="3" t="s">
        <v>78</v>
      </c>
      <c r="L177" s="3" t="s">
        <v>75</v>
      </c>
      <c r="M177" s="3" t="s">
        <v>76</v>
      </c>
      <c r="N177" s="3" t="s">
        <v>109</v>
      </c>
      <c r="O177" s="3" t="s">
        <v>110</v>
      </c>
      <c r="P177" s="3" t="str">
        <f>"NA                            "</f>
        <v xml:space="preserve">NA                            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21.22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15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1</v>
      </c>
      <c r="BI177" s="3">
        <v>0.2</v>
      </c>
      <c r="BJ177" s="3">
        <v>2.1</v>
      </c>
      <c r="BK177" s="3">
        <v>2.5</v>
      </c>
      <c r="BL177" s="3">
        <v>90.64</v>
      </c>
      <c r="BM177" s="3">
        <v>13.6</v>
      </c>
      <c r="BN177" s="3">
        <v>104.24</v>
      </c>
      <c r="BO177" s="3">
        <v>104.24</v>
      </c>
      <c r="BR177" s="3" t="s">
        <v>512</v>
      </c>
      <c r="BS177" s="4">
        <v>44566</v>
      </c>
      <c r="BT177" s="5">
        <v>0.44722222222222219</v>
      </c>
      <c r="BU177" s="3" t="s">
        <v>418</v>
      </c>
      <c r="BV177" s="3" t="s">
        <v>88</v>
      </c>
      <c r="BW177" s="3" t="s">
        <v>138</v>
      </c>
      <c r="BX177" s="3" t="s">
        <v>139</v>
      </c>
      <c r="BY177" s="3">
        <v>10306.17</v>
      </c>
      <c r="BZ177" s="3" t="s">
        <v>126</v>
      </c>
      <c r="CC177" s="3" t="s">
        <v>76</v>
      </c>
      <c r="CD177" s="3">
        <v>2000</v>
      </c>
      <c r="CE177" s="3" t="s">
        <v>87</v>
      </c>
      <c r="CF177" s="4">
        <v>44567</v>
      </c>
      <c r="CI177" s="3">
        <v>1</v>
      </c>
      <c r="CJ177" s="3">
        <v>1</v>
      </c>
      <c r="CK177" s="3">
        <v>21</v>
      </c>
      <c r="CL177" s="3" t="s">
        <v>88</v>
      </c>
    </row>
    <row r="178" spans="1:90" x14ac:dyDescent="0.2">
      <c r="A178" s="3" t="s">
        <v>72</v>
      </c>
      <c r="B178" s="3" t="s">
        <v>73</v>
      </c>
      <c r="C178" s="3" t="s">
        <v>74</v>
      </c>
      <c r="E178" s="3" t="str">
        <f>"009940568068"</f>
        <v>009940568068</v>
      </c>
      <c r="F178" s="4">
        <v>44565</v>
      </c>
      <c r="G178" s="3">
        <v>202207</v>
      </c>
      <c r="H178" s="3" t="s">
        <v>96</v>
      </c>
      <c r="I178" s="3" t="s">
        <v>97</v>
      </c>
      <c r="J178" s="3" t="s">
        <v>158</v>
      </c>
      <c r="K178" s="3" t="s">
        <v>78</v>
      </c>
      <c r="L178" s="3" t="s">
        <v>75</v>
      </c>
      <c r="M178" s="3" t="s">
        <v>76</v>
      </c>
      <c r="N178" s="3" t="s">
        <v>109</v>
      </c>
      <c r="O178" s="3" t="s">
        <v>130</v>
      </c>
      <c r="P178" s="3" t="str">
        <f>"NA                            "</f>
        <v xml:space="preserve">NA                            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32.840000000000003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1</v>
      </c>
      <c r="BI178" s="3">
        <v>0.3</v>
      </c>
      <c r="BJ178" s="3">
        <v>2</v>
      </c>
      <c r="BK178" s="3">
        <v>2</v>
      </c>
      <c r="BL178" s="3">
        <v>122.29</v>
      </c>
      <c r="BM178" s="3">
        <v>18.34</v>
      </c>
      <c r="BN178" s="3">
        <v>140.63</v>
      </c>
      <c r="BO178" s="3">
        <v>140.63</v>
      </c>
      <c r="BQ178" s="3" t="s">
        <v>159</v>
      </c>
      <c r="BR178" s="3" t="s">
        <v>513</v>
      </c>
      <c r="BS178" s="4">
        <v>44568</v>
      </c>
      <c r="BT178" s="5">
        <v>0.54097222222222219</v>
      </c>
      <c r="BU178" s="3" t="s">
        <v>418</v>
      </c>
      <c r="BV178" s="3" t="s">
        <v>88</v>
      </c>
      <c r="BW178" s="3" t="s">
        <v>195</v>
      </c>
      <c r="BX178" s="3" t="s">
        <v>510</v>
      </c>
      <c r="BY178" s="3">
        <v>10076.27</v>
      </c>
      <c r="CA178" s="3" t="s">
        <v>511</v>
      </c>
      <c r="CC178" s="3" t="s">
        <v>76</v>
      </c>
      <c r="CD178" s="3">
        <v>2000</v>
      </c>
      <c r="CE178" s="3" t="s">
        <v>87</v>
      </c>
      <c r="CF178" s="4">
        <v>44568</v>
      </c>
      <c r="CI178" s="3">
        <v>2</v>
      </c>
      <c r="CJ178" s="3">
        <v>3</v>
      </c>
      <c r="CK178" s="3">
        <v>41</v>
      </c>
      <c r="CL178" s="3" t="s">
        <v>88</v>
      </c>
    </row>
    <row r="179" spans="1:90" x14ac:dyDescent="0.2">
      <c r="A179" s="3" t="s">
        <v>72</v>
      </c>
      <c r="B179" s="3" t="s">
        <v>73</v>
      </c>
      <c r="C179" s="3" t="s">
        <v>74</v>
      </c>
      <c r="E179" s="3" t="str">
        <f>"009941640828"</f>
        <v>009941640828</v>
      </c>
      <c r="F179" s="4">
        <v>44568</v>
      </c>
      <c r="G179" s="3">
        <v>202207</v>
      </c>
      <c r="H179" s="3" t="s">
        <v>75</v>
      </c>
      <c r="I179" s="3" t="s">
        <v>76</v>
      </c>
      <c r="J179" s="3" t="s">
        <v>77</v>
      </c>
      <c r="K179" s="3" t="s">
        <v>78</v>
      </c>
      <c r="L179" s="3" t="s">
        <v>116</v>
      </c>
      <c r="M179" s="3" t="s">
        <v>117</v>
      </c>
      <c r="N179" s="3" t="s">
        <v>514</v>
      </c>
      <c r="O179" s="3" t="s">
        <v>82</v>
      </c>
      <c r="P179" s="3" t="str">
        <f t="shared" ref="P179:P198" si="4">"..                            "</f>
        <v xml:space="preserve">..                            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72.459999999999994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1</v>
      </c>
      <c r="BI179" s="3">
        <v>2.6</v>
      </c>
      <c r="BJ179" s="3">
        <v>9.6</v>
      </c>
      <c r="BK179" s="3">
        <v>10</v>
      </c>
      <c r="BL179" s="3">
        <v>276.56</v>
      </c>
      <c r="BM179" s="3">
        <v>41.48</v>
      </c>
      <c r="BN179" s="3">
        <v>318.04000000000002</v>
      </c>
      <c r="BO179" s="3">
        <v>318.04000000000002</v>
      </c>
      <c r="BQ179" s="3" t="s">
        <v>515</v>
      </c>
      <c r="BR179" s="3" t="s">
        <v>84</v>
      </c>
      <c r="BS179" s="4">
        <v>44571</v>
      </c>
      <c r="BT179" s="5">
        <v>0.4201388888888889</v>
      </c>
      <c r="BU179" s="3" t="s">
        <v>516</v>
      </c>
      <c r="BV179" s="3" t="s">
        <v>94</v>
      </c>
      <c r="BY179" s="3">
        <v>48222.720000000001</v>
      </c>
      <c r="BZ179" s="3" t="s">
        <v>86</v>
      </c>
      <c r="CA179" s="3" t="s">
        <v>517</v>
      </c>
      <c r="CC179" s="3" t="s">
        <v>117</v>
      </c>
      <c r="CD179" s="3">
        <v>4067</v>
      </c>
      <c r="CE179" s="3" t="s">
        <v>87</v>
      </c>
      <c r="CF179" s="4">
        <v>44571</v>
      </c>
      <c r="CI179" s="3">
        <v>1</v>
      </c>
      <c r="CJ179" s="3">
        <v>1</v>
      </c>
      <c r="CK179" s="3">
        <v>31</v>
      </c>
      <c r="CL179" s="3" t="s">
        <v>88</v>
      </c>
    </row>
    <row r="180" spans="1:90" x14ac:dyDescent="0.2">
      <c r="A180" s="3" t="s">
        <v>72</v>
      </c>
      <c r="B180" s="3" t="s">
        <v>73</v>
      </c>
      <c r="C180" s="3" t="s">
        <v>74</v>
      </c>
      <c r="E180" s="3" t="str">
        <f>"009941640824"</f>
        <v>009941640824</v>
      </c>
      <c r="F180" s="4">
        <v>44568</v>
      </c>
      <c r="G180" s="3">
        <v>202207</v>
      </c>
      <c r="H180" s="3" t="s">
        <v>75</v>
      </c>
      <c r="I180" s="3" t="s">
        <v>76</v>
      </c>
      <c r="J180" s="3" t="s">
        <v>77</v>
      </c>
      <c r="K180" s="3" t="s">
        <v>78</v>
      </c>
      <c r="L180" s="3" t="s">
        <v>79</v>
      </c>
      <c r="M180" s="3" t="s">
        <v>80</v>
      </c>
      <c r="N180" s="3" t="s">
        <v>518</v>
      </c>
      <c r="O180" s="3" t="s">
        <v>82</v>
      </c>
      <c r="P180" s="3" t="str">
        <f t="shared" si="4"/>
        <v xml:space="preserve">..                            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65.209999999999994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3">
        <v>1</v>
      </c>
      <c r="BI180" s="3">
        <v>1.3</v>
      </c>
      <c r="BJ180" s="3">
        <v>8.3000000000000007</v>
      </c>
      <c r="BK180" s="3">
        <v>9</v>
      </c>
      <c r="BL180" s="3">
        <v>248.9</v>
      </c>
      <c r="BM180" s="3">
        <v>37.340000000000003</v>
      </c>
      <c r="BN180" s="3">
        <v>286.24</v>
      </c>
      <c r="BO180" s="3">
        <v>286.24</v>
      </c>
      <c r="BQ180" s="3" t="s">
        <v>519</v>
      </c>
      <c r="BR180" s="3" t="s">
        <v>84</v>
      </c>
      <c r="BS180" s="4">
        <v>44571</v>
      </c>
      <c r="BT180" s="5">
        <v>0.36180555555555555</v>
      </c>
      <c r="BU180" s="3" t="s">
        <v>520</v>
      </c>
      <c r="BV180" s="3" t="s">
        <v>94</v>
      </c>
      <c r="BY180" s="3">
        <v>41521.54</v>
      </c>
      <c r="BZ180" s="3" t="s">
        <v>86</v>
      </c>
      <c r="CA180" s="3" t="s">
        <v>486</v>
      </c>
      <c r="CC180" s="3" t="s">
        <v>80</v>
      </c>
      <c r="CD180" s="3">
        <v>3200</v>
      </c>
      <c r="CE180" s="3" t="s">
        <v>87</v>
      </c>
      <c r="CF180" s="4">
        <v>44572</v>
      </c>
      <c r="CI180" s="3">
        <v>1</v>
      </c>
      <c r="CJ180" s="3">
        <v>1</v>
      </c>
      <c r="CK180" s="3">
        <v>31</v>
      </c>
      <c r="CL180" s="3" t="s">
        <v>88</v>
      </c>
    </row>
    <row r="181" spans="1:90" x14ac:dyDescent="0.2">
      <c r="A181" s="3" t="s">
        <v>72</v>
      </c>
      <c r="B181" s="3" t="s">
        <v>73</v>
      </c>
      <c r="C181" s="3" t="s">
        <v>74</v>
      </c>
      <c r="E181" s="3" t="str">
        <f>"009941640825"</f>
        <v>009941640825</v>
      </c>
      <c r="F181" s="4">
        <v>44568</v>
      </c>
      <c r="G181" s="3">
        <v>202207</v>
      </c>
      <c r="H181" s="3" t="s">
        <v>75</v>
      </c>
      <c r="I181" s="3" t="s">
        <v>76</v>
      </c>
      <c r="J181" s="3" t="s">
        <v>77</v>
      </c>
      <c r="K181" s="3" t="s">
        <v>78</v>
      </c>
      <c r="L181" s="3" t="s">
        <v>116</v>
      </c>
      <c r="M181" s="3" t="s">
        <v>117</v>
      </c>
      <c r="N181" s="3" t="s">
        <v>514</v>
      </c>
      <c r="O181" s="3" t="s">
        <v>82</v>
      </c>
      <c r="P181" s="3" t="str">
        <f t="shared" si="4"/>
        <v xml:space="preserve">..                            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72.459999999999994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1</v>
      </c>
      <c r="BI181" s="3">
        <v>1.8</v>
      </c>
      <c r="BJ181" s="3">
        <v>9.1</v>
      </c>
      <c r="BK181" s="3">
        <v>10</v>
      </c>
      <c r="BL181" s="3">
        <v>276.56</v>
      </c>
      <c r="BM181" s="3">
        <v>41.48</v>
      </c>
      <c r="BN181" s="3">
        <v>318.04000000000002</v>
      </c>
      <c r="BO181" s="3">
        <v>318.04000000000002</v>
      </c>
      <c r="BQ181" s="3" t="s">
        <v>521</v>
      </c>
      <c r="BR181" s="3" t="s">
        <v>84</v>
      </c>
      <c r="BS181" s="4">
        <v>44571</v>
      </c>
      <c r="BT181" s="5">
        <v>0.4694444444444445</v>
      </c>
      <c r="BU181" s="3" t="s">
        <v>522</v>
      </c>
      <c r="BV181" s="3" t="s">
        <v>94</v>
      </c>
      <c r="BY181" s="3">
        <v>45268.42</v>
      </c>
      <c r="BZ181" s="3" t="s">
        <v>86</v>
      </c>
      <c r="CA181" s="3" t="s">
        <v>523</v>
      </c>
      <c r="CC181" s="3" t="s">
        <v>117</v>
      </c>
      <c r="CD181" s="3">
        <v>4051</v>
      </c>
      <c r="CE181" s="3" t="s">
        <v>87</v>
      </c>
      <c r="CF181" s="4">
        <v>44571</v>
      </c>
      <c r="CI181" s="3">
        <v>1</v>
      </c>
      <c r="CJ181" s="3">
        <v>1</v>
      </c>
      <c r="CK181" s="3">
        <v>31</v>
      </c>
      <c r="CL181" s="3" t="s">
        <v>88</v>
      </c>
    </row>
    <row r="182" spans="1:90" x14ac:dyDescent="0.2">
      <c r="A182" s="3" t="s">
        <v>72</v>
      </c>
      <c r="B182" s="3" t="s">
        <v>73</v>
      </c>
      <c r="C182" s="3" t="s">
        <v>74</v>
      </c>
      <c r="E182" s="3" t="str">
        <f>"009941640843"</f>
        <v>009941640843</v>
      </c>
      <c r="F182" s="4">
        <v>44568</v>
      </c>
      <c r="G182" s="3">
        <v>202207</v>
      </c>
      <c r="H182" s="3" t="s">
        <v>75</v>
      </c>
      <c r="I182" s="3" t="s">
        <v>76</v>
      </c>
      <c r="J182" s="3" t="s">
        <v>77</v>
      </c>
      <c r="K182" s="3" t="s">
        <v>78</v>
      </c>
      <c r="L182" s="3" t="s">
        <v>96</v>
      </c>
      <c r="M182" s="3" t="s">
        <v>97</v>
      </c>
      <c r="N182" s="3" t="s">
        <v>514</v>
      </c>
      <c r="O182" s="3" t="s">
        <v>82</v>
      </c>
      <c r="P182" s="3" t="str">
        <f t="shared" si="4"/>
        <v xml:space="preserve">..                            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28.98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1</v>
      </c>
      <c r="BI182" s="3">
        <v>1</v>
      </c>
      <c r="BJ182" s="3">
        <v>0.2</v>
      </c>
      <c r="BK182" s="3">
        <v>1</v>
      </c>
      <c r="BL182" s="3">
        <v>110.62</v>
      </c>
      <c r="BM182" s="3">
        <v>16.59</v>
      </c>
      <c r="BN182" s="3">
        <v>127.21</v>
      </c>
      <c r="BO182" s="3">
        <v>127.21</v>
      </c>
      <c r="BQ182" s="3" t="s">
        <v>524</v>
      </c>
      <c r="BR182" s="3" t="s">
        <v>84</v>
      </c>
      <c r="BS182" s="4">
        <v>44571</v>
      </c>
      <c r="BT182" s="5">
        <v>0.50902777777777775</v>
      </c>
      <c r="BU182" s="3" t="s">
        <v>525</v>
      </c>
      <c r="BV182" s="3" t="s">
        <v>94</v>
      </c>
      <c r="BY182" s="3">
        <v>1200</v>
      </c>
      <c r="BZ182" s="3" t="s">
        <v>86</v>
      </c>
      <c r="CA182" s="3" t="s">
        <v>526</v>
      </c>
      <c r="CC182" s="3" t="s">
        <v>97</v>
      </c>
      <c r="CD182" s="3">
        <v>8001</v>
      </c>
      <c r="CE182" s="3" t="s">
        <v>87</v>
      </c>
      <c r="CF182" s="4">
        <v>44572</v>
      </c>
      <c r="CI182" s="3">
        <v>1</v>
      </c>
      <c r="CJ182" s="3">
        <v>1</v>
      </c>
      <c r="CK182" s="3">
        <v>31</v>
      </c>
      <c r="CL182" s="3" t="s">
        <v>88</v>
      </c>
    </row>
    <row r="183" spans="1:90" x14ac:dyDescent="0.2">
      <c r="A183" s="3" t="s">
        <v>72</v>
      </c>
      <c r="B183" s="3" t="s">
        <v>73</v>
      </c>
      <c r="C183" s="3" t="s">
        <v>74</v>
      </c>
      <c r="E183" s="3" t="str">
        <f>"009941640827"</f>
        <v>009941640827</v>
      </c>
      <c r="F183" s="4">
        <v>44568</v>
      </c>
      <c r="G183" s="3">
        <v>202207</v>
      </c>
      <c r="H183" s="3" t="s">
        <v>75</v>
      </c>
      <c r="I183" s="3" t="s">
        <v>76</v>
      </c>
      <c r="J183" s="3" t="s">
        <v>77</v>
      </c>
      <c r="K183" s="3" t="s">
        <v>78</v>
      </c>
      <c r="L183" s="3" t="s">
        <v>332</v>
      </c>
      <c r="M183" s="3" t="s">
        <v>333</v>
      </c>
      <c r="N183" s="3" t="s">
        <v>514</v>
      </c>
      <c r="O183" s="3" t="s">
        <v>82</v>
      </c>
      <c r="P183" s="3" t="str">
        <f t="shared" si="4"/>
        <v xml:space="preserve">..                            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65.209999999999994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1</v>
      </c>
      <c r="BI183" s="3">
        <v>0.7</v>
      </c>
      <c r="BJ183" s="3">
        <v>8.4</v>
      </c>
      <c r="BK183" s="3">
        <v>9</v>
      </c>
      <c r="BL183" s="3">
        <v>248.9</v>
      </c>
      <c r="BM183" s="3">
        <v>37.340000000000003</v>
      </c>
      <c r="BN183" s="3">
        <v>286.24</v>
      </c>
      <c r="BO183" s="3">
        <v>286.24</v>
      </c>
      <c r="BQ183" s="3" t="s">
        <v>527</v>
      </c>
      <c r="BR183" s="3" t="s">
        <v>84</v>
      </c>
      <c r="BS183" s="4">
        <v>44571</v>
      </c>
      <c r="BT183" s="5">
        <v>0.47986111111111113</v>
      </c>
      <c r="BU183" s="3" t="s">
        <v>528</v>
      </c>
      <c r="BV183" s="3" t="s">
        <v>94</v>
      </c>
      <c r="BY183" s="3">
        <v>42014.76</v>
      </c>
      <c r="BZ183" s="3" t="s">
        <v>86</v>
      </c>
      <c r="CA183" s="3" t="s">
        <v>523</v>
      </c>
      <c r="CC183" s="3" t="s">
        <v>333</v>
      </c>
      <c r="CD183" s="3">
        <v>4319</v>
      </c>
      <c r="CE183" s="3" t="s">
        <v>87</v>
      </c>
      <c r="CF183" s="4">
        <v>44571</v>
      </c>
      <c r="CI183" s="3">
        <v>1</v>
      </c>
      <c r="CJ183" s="3">
        <v>1</v>
      </c>
      <c r="CK183" s="3">
        <v>31</v>
      </c>
      <c r="CL183" s="3" t="s">
        <v>88</v>
      </c>
    </row>
    <row r="184" spans="1:90" x14ac:dyDescent="0.2">
      <c r="A184" s="3" t="s">
        <v>72</v>
      </c>
      <c r="B184" s="3" t="s">
        <v>73</v>
      </c>
      <c r="C184" s="3" t="s">
        <v>74</v>
      </c>
      <c r="E184" s="3" t="str">
        <f>"009941640826"</f>
        <v>009941640826</v>
      </c>
      <c r="F184" s="4">
        <v>44568</v>
      </c>
      <c r="G184" s="3">
        <v>202207</v>
      </c>
      <c r="H184" s="3" t="s">
        <v>75</v>
      </c>
      <c r="I184" s="3" t="s">
        <v>76</v>
      </c>
      <c r="J184" s="3" t="s">
        <v>77</v>
      </c>
      <c r="K184" s="3" t="s">
        <v>78</v>
      </c>
      <c r="L184" s="3" t="s">
        <v>529</v>
      </c>
      <c r="M184" s="3" t="s">
        <v>529</v>
      </c>
      <c r="N184" s="3" t="s">
        <v>514</v>
      </c>
      <c r="O184" s="3" t="s">
        <v>82</v>
      </c>
      <c r="P184" s="3" t="str">
        <f t="shared" si="4"/>
        <v xml:space="preserve">..                            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29.95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3">
        <v>1</v>
      </c>
      <c r="BI184" s="3">
        <v>0.8</v>
      </c>
      <c r="BJ184" s="3">
        <v>3.7</v>
      </c>
      <c r="BK184" s="3">
        <v>4</v>
      </c>
      <c r="BL184" s="3">
        <v>114.31</v>
      </c>
      <c r="BM184" s="3">
        <v>17.149999999999999</v>
      </c>
      <c r="BN184" s="3">
        <v>131.46</v>
      </c>
      <c r="BO184" s="3">
        <v>131.46</v>
      </c>
      <c r="BQ184" s="3" t="s">
        <v>530</v>
      </c>
      <c r="BR184" s="3" t="s">
        <v>84</v>
      </c>
      <c r="BS184" s="4">
        <v>44571</v>
      </c>
      <c r="BT184" s="5">
        <v>0.54166666666666663</v>
      </c>
      <c r="BU184" s="3" t="s">
        <v>531</v>
      </c>
      <c r="BV184" s="3" t="s">
        <v>94</v>
      </c>
      <c r="BY184" s="3">
        <v>18666.48</v>
      </c>
      <c r="BZ184" s="3" t="s">
        <v>86</v>
      </c>
      <c r="CA184" s="3" t="s">
        <v>532</v>
      </c>
      <c r="CC184" s="3" t="s">
        <v>529</v>
      </c>
      <c r="CD184" s="3">
        <v>9585</v>
      </c>
      <c r="CE184" s="3" t="s">
        <v>87</v>
      </c>
      <c r="CF184" s="4">
        <v>44572</v>
      </c>
      <c r="CI184" s="3">
        <v>1</v>
      </c>
      <c r="CJ184" s="3">
        <v>1</v>
      </c>
      <c r="CK184" s="3">
        <v>33</v>
      </c>
      <c r="CL184" s="3" t="s">
        <v>88</v>
      </c>
    </row>
    <row r="185" spans="1:90" x14ac:dyDescent="0.2">
      <c r="A185" s="3" t="s">
        <v>72</v>
      </c>
      <c r="B185" s="3" t="s">
        <v>73</v>
      </c>
      <c r="C185" s="3" t="s">
        <v>74</v>
      </c>
      <c r="E185" s="3" t="str">
        <f>"009941300069"</f>
        <v>009941300069</v>
      </c>
      <c r="F185" s="4">
        <v>44566</v>
      </c>
      <c r="G185" s="3">
        <v>202207</v>
      </c>
      <c r="H185" s="3" t="s">
        <v>241</v>
      </c>
      <c r="I185" s="3" t="s">
        <v>242</v>
      </c>
      <c r="J185" s="3" t="s">
        <v>533</v>
      </c>
      <c r="K185" s="3" t="s">
        <v>78</v>
      </c>
      <c r="L185" s="3" t="s">
        <v>75</v>
      </c>
      <c r="M185" s="3" t="s">
        <v>76</v>
      </c>
      <c r="N185" s="3" t="s">
        <v>109</v>
      </c>
      <c r="O185" s="3" t="s">
        <v>130</v>
      </c>
      <c r="P185" s="3" t="str">
        <f t="shared" si="4"/>
        <v xml:space="preserve">..                            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23.06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3">
        <v>1</v>
      </c>
      <c r="BI185" s="3">
        <v>1</v>
      </c>
      <c r="BJ185" s="3">
        <v>0.2</v>
      </c>
      <c r="BK185" s="3">
        <v>1</v>
      </c>
      <c r="BL185" s="3">
        <v>93.28</v>
      </c>
      <c r="BM185" s="3">
        <v>13.99</v>
      </c>
      <c r="BN185" s="3">
        <v>107.27</v>
      </c>
      <c r="BO185" s="3">
        <v>107.27</v>
      </c>
      <c r="BQ185" s="3" t="s">
        <v>162</v>
      </c>
      <c r="BR185" s="3" t="s">
        <v>98</v>
      </c>
      <c r="BS185" s="4">
        <v>44567</v>
      </c>
      <c r="BT185" s="5">
        <v>0.63958333333333328</v>
      </c>
      <c r="BU185" s="3" t="s">
        <v>418</v>
      </c>
      <c r="BV185" s="3" t="s">
        <v>94</v>
      </c>
      <c r="BY185" s="3">
        <v>1200</v>
      </c>
      <c r="BZ185" s="3" t="s">
        <v>86</v>
      </c>
      <c r="CA185" s="3" t="s">
        <v>511</v>
      </c>
      <c r="CC185" s="3" t="s">
        <v>76</v>
      </c>
      <c r="CD185" s="3">
        <v>2013</v>
      </c>
      <c r="CE185" s="3" t="s">
        <v>87</v>
      </c>
      <c r="CF185" s="4">
        <v>44568</v>
      </c>
      <c r="CI185" s="3">
        <v>1</v>
      </c>
      <c r="CJ185" s="3">
        <v>1</v>
      </c>
      <c r="CK185" s="3">
        <v>42</v>
      </c>
      <c r="CL185" s="3" t="s">
        <v>88</v>
      </c>
    </row>
    <row r="186" spans="1:90" x14ac:dyDescent="0.2">
      <c r="A186" s="3" t="s">
        <v>72</v>
      </c>
      <c r="B186" s="3" t="s">
        <v>73</v>
      </c>
      <c r="C186" s="3" t="s">
        <v>74</v>
      </c>
      <c r="E186" s="3" t="str">
        <f>"009941626326"</f>
        <v>009941626326</v>
      </c>
      <c r="F186" s="4">
        <v>44566</v>
      </c>
      <c r="G186" s="3">
        <v>202207</v>
      </c>
      <c r="H186" s="3" t="s">
        <v>75</v>
      </c>
      <c r="I186" s="3" t="s">
        <v>76</v>
      </c>
      <c r="J186" s="3" t="s">
        <v>77</v>
      </c>
      <c r="K186" s="3" t="s">
        <v>78</v>
      </c>
      <c r="L186" s="3" t="s">
        <v>104</v>
      </c>
      <c r="M186" s="3" t="s">
        <v>105</v>
      </c>
      <c r="N186" s="3" t="s">
        <v>534</v>
      </c>
      <c r="O186" s="3" t="s">
        <v>110</v>
      </c>
      <c r="P186" s="3" t="str">
        <f t="shared" si="4"/>
        <v xml:space="preserve">..                            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15.46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1</v>
      </c>
      <c r="BI186" s="3">
        <v>1</v>
      </c>
      <c r="BJ186" s="3">
        <v>0.2</v>
      </c>
      <c r="BK186" s="3">
        <v>1</v>
      </c>
      <c r="BL186" s="3">
        <v>59</v>
      </c>
      <c r="BM186" s="3">
        <v>8.85</v>
      </c>
      <c r="BN186" s="3">
        <v>67.849999999999994</v>
      </c>
      <c r="BO186" s="3">
        <v>67.849999999999994</v>
      </c>
      <c r="BQ186" s="3" t="s">
        <v>535</v>
      </c>
      <c r="BR186" s="3" t="s">
        <v>84</v>
      </c>
      <c r="BS186" s="4">
        <v>44567</v>
      </c>
      <c r="BT186" s="5">
        <v>0.36805555555555558</v>
      </c>
      <c r="BU186" s="3" t="s">
        <v>536</v>
      </c>
      <c r="BV186" s="3" t="s">
        <v>94</v>
      </c>
      <c r="BY186" s="3">
        <v>1200</v>
      </c>
      <c r="BZ186" s="3" t="s">
        <v>114</v>
      </c>
      <c r="CA186" s="3" t="s">
        <v>537</v>
      </c>
      <c r="CC186" s="3" t="s">
        <v>105</v>
      </c>
      <c r="CD186" s="3">
        <v>1</v>
      </c>
      <c r="CE186" s="3" t="s">
        <v>87</v>
      </c>
      <c r="CF186" s="4">
        <v>44567</v>
      </c>
      <c r="CI186" s="3">
        <v>1</v>
      </c>
      <c r="CJ186" s="3">
        <v>1</v>
      </c>
      <c r="CK186" s="3">
        <v>21</v>
      </c>
      <c r="CL186" s="3" t="s">
        <v>88</v>
      </c>
    </row>
    <row r="187" spans="1:90" x14ac:dyDescent="0.2">
      <c r="A187" s="3" t="s">
        <v>72</v>
      </c>
      <c r="B187" s="3" t="s">
        <v>73</v>
      </c>
      <c r="C187" s="3" t="s">
        <v>74</v>
      </c>
      <c r="E187" s="3" t="str">
        <f>"009941640840"</f>
        <v>009941640840</v>
      </c>
      <c r="F187" s="4">
        <v>44566</v>
      </c>
      <c r="G187" s="3">
        <v>202207</v>
      </c>
      <c r="H187" s="3" t="s">
        <v>75</v>
      </c>
      <c r="I187" s="3" t="s">
        <v>76</v>
      </c>
      <c r="J187" s="3" t="s">
        <v>77</v>
      </c>
      <c r="K187" s="3" t="s">
        <v>78</v>
      </c>
      <c r="L187" s="3" t="s">
        <v>172</v>
      </c>
      <c r="M187" s="3" t="s">
        <v>173</v>
      </c>
      <c r="N187" s="3" t="s">
        <v>514</v>
      </c>
      <c r="O187" s="3" t="s">
        <v>82</v>
      </c>
      <c r="P187" s="3" t="str">
        <f t="shared" si="4"/>
        <v xml:space="preserve">..                            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12.08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1</v>
      </c>
      <c r="BI187" s="3">
        <v>0.2</v>
      </c>
      <c r="BJ187" s="3">
        <v>1</v>
      </c>
      <c r="BK187" s="3">
        <v>1</v>
      </c>
      <c r="BL187" s="3">
        <v>46.1</v>
      </c>
      <c r="BM187" s="3">
        <v>6.92</v>
      </c>
      <c r="BN187" s="3">
        <v>53.02</v>
      </c>
      <c r="BO187" s="3">
        <v>53.02</v>
      </c>
      <c r="BQ187" s="3" t="s">
        <v>538</v>
      </c>
      <c r="BR187" s="3" t="s">
        <v>84</v>
      </c>
      <c r="BS187" s="4">
        <v>44567</v>
      </c>
      <c r="BT187" s="5">
        <v>0.42499999999999999</v>
      </c>
      <c r="BU187" s="3" t="s">
        <v>539</v>
      </c>
      <c r="BV187" s="3" t="s">
        <v>94</v>
      </c>
      <c r="BY187" s="3">
        <v>4792.2</v>
      </c>
      <c r="BZ187" s="3" t="s">
        <v>86</v>
      </c>
      <c r="CA187" s="3" t="s">
        <v>284</v>
      </c>
      <c r="CC187" s="3" t="s">
        <v>173</v>
      </c>
      <c r="CD187" s="3">
        <v>1459</v>
      </c>
      <c r="CE187" s="3" t="s">
        <v>87</v>
      </c>
      <c r="CF187" s="4">
        <v>44568</v>
      </c>
      <c r="CI187" s="3">
        <v>1</v>
      </c>
      <c r="CJ187" s="3">
        <v>1</v>
      </c>
      <c r="CK187" s="3">
        <v>32</v>
      </c>
      <c r="CL187" s="3" t="s">
        <v>88</v>
      </c>
    </row>
    <row r="188" spans="1:90" x14ac:dyDescent="0.2">
      <c r="A188" s="3" t="s">
        <v>72</v>
      </c>
      <c r="B188" s="3" t="s">
        <v>73</v>
      </c>
      <c r="C188" s="3" t="s">
        <v>74</v>
      </c>
      <c r="E188" s="3" t="str">
        <f>"009941640841"</f>
        <v>009941640841</v>
      </c>
      <c r="F188" s="4">
        <v>44566</v>
      </c>
      <c r="G188" s="3">
        <v>202207</v>
      </c>
      <c r="H188" s="3" t="s">
        <v>75</v>
      </c>
      <c r="I188" s="3" t="s">
        <v>76</v>
      </c>
      <c r="J188" s="3" t="s">
        <v>77</v>
      </c>
      <c r="K188" s="3" t="s">
        <v>78</v>
      </c>
      <c r="L188" s="3" t="s">
        <v>540</v>
      </c>
      <c r="M188" s="3" t="s">
        <v>541</v>
      </c>
      <c r="N188" s="3" t="s">
        <v>514</v>
      </c>
      <c r="O188" s="3" t="s">
        <v>82</v>
      </c>
      <c r="P188" s="3" t="str">
        <f t="shared" si="4"/>
        <v xml:space="preserve">..                            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29.95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3">
        <v>1</v>
      </c>
      <c r="BI188" s="3">
        <v>1</v>
      </c>
      <c r="BJ188" s="3">
        <v>0.2</v>
      </c>
      <c r="BK188" s="3">
        <v>1</v>
      </c>
      <c r="BL188" s="3">
        <v>114.31</v>
      </c>
      <c r="BM188" s="3">
        <v>17.149999999999999</v>
      </c>
      <c r="BN188" s="3">
        <v>131.46</v>
      </c>
      <c r="BO188" s="3">
        <v>131.46</v>
      </c>
      <c r="BQ188" s="3" t="s">
        <v>542</v>
      </c>
      <c r="BR188" s="3" t="s">
        <v>84</v>
      </c>
      <c r="BS188" s="4">
        <v>44567</v>
      </c>
      <c r="BT188" s="5">
        <v>0.40416666666666662</v>
      </c>
      <c r="BU188" s="3" t="s">
        <v>543</v>
      </c>
      <c r="BV188" s="3" t="s">
        <v>94</v>
      </c>
      <c r="BY188" s="3">
        <v>1200</v>
      </c>
      <c r="BZ188" s="3" t="s">
        <v>86</v>
      </c>
      <c r="CA188" s="3" t="s">
        <v>544</v>
      </c>
      <c r="CC188" s="3" t="s">
        <v>541</v>
      </c>
      <c r="CD188" s="3">
        <v>2570</v>
      </c>
      <c r="CE188" s="3" t="s">
        <v>87</v>
      </c>
      <c r="CF188" s="4">
        <v>44568</v>
      </c>
      <c r="CI188" s="3">
        <v>1</v>
      </c>
      <c r="CJ188" s="3">
        <v>1</v>
      </c>
      <c r="CK188" s="3">
        <v>33</v>
      </c>
      <c r="CL188" s="3" t="s">
        <v>88</v>
      </c>
    </row>
    <row r="189" spans="1:90" x14ac:dyDescent="0.2">
      <c r="A189" s="3" t="s">
        <v>72</v>
      </c>
      <c r="B189" s="3" t="s">
        <v>73</v>
      </c>
      <c r="C189" s="3" t="s">
        <v>74</v>
      </c>
      <c r="E189" s="3" t="str">
        <f>"009941640845"</f>
        <v>009941640845</v>
      </c>
      <c r="F189" s="4">
        <v>44566</v>
      </c>
      <c r="G189" s="3">
        <v>202207</v>
      </c>
      <c r="H189" s="3" t="s">
        <v>75</v>
      </c>
      <c r="I189" s="3" t="s">
        <v>76</v>
      </c>
      <c r="J189" s="3" t="s">
        <v>77</v>
      </c>
      <c r="K189" s="3" t="s">
        <v>78</v>
      </c>
      <c r="L189" s="3" t="s">
        <v>104</v>
      </c>
      <c r="M189" s="3" t="s">
        <v>105</v>
      </c>
      <c r="N189" s="3" t="s">
        <v>514</v>
      </c>
      <c r="O189" s="3" t="s">
        <v>82</v>
      </c>
      <c r="P189" s="3" t="str">
        <f t="shared" si="4"/>
        <v xml:space="preserve">..                            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28.98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1</v>
      </c>
      <c r="BI189" s="3">
        <v>1.7</v>
      </c>
      <c r="BJ189" s="3">
        <v>2.9</v>
      </c>
      <c r="BK189" s="3">
        <v>3</v>
      </c>
      <c r="BL189" s="3">
        <v>110.62</v>
      </c>
      <c r="BM189" s="3">
        <v>16.59</v>
      </c>
      <c r="BN189" s="3">
        <v>127.21</v>
      </c>
      <c r="BO189" s="3">
        <v>127.21</v>
      </c>
      <c r="BQ189" s="3" t="s">
        <v>545</v>
      </c>
      <c r="BR189" s="3" t="s">
        <v>84</v>
      </c>
      <c r="BS189" s="4">
        <v>44568</v>
      </c>
      <c r="BT189" s="5">
        <v>0.52083333333333337</v>
      </c>
      <c r="BU189" s="3" t="s">
        <v>546</v>
      </c>
      <c r="BV189" s="3" t="s">
        <v>88</v>
      </c>
      <c r="BY189" s="3">
        <v>14354.26</v>
      </c>
      <c r="BZ189" s="3" t="s">
        <v>86</v>
      </c>
      <c r="CA189" s="3" t="s">
        <v>547</v>
      </c>
      <c r="CC189" s="3" t="s">
        <v>105</v>
      </c>
      <c r="CD189" s="3">
        <v>59</v>
      </c>
      <c r="CE189" s="3" t="s">
        <v>87</v>
      </c>
      <c r="CF189" s="4">
        <v>44568</v>
      </c>
      <c r="CI189" s="3">
        <v>1</v>
      </c>
      <c r="CJ189" s="3">
        <v>2</v>
      </c>
      <c r="CK189" s="3">
        <v>31</v>
      </c>
      <c r="CL189" s="3" t="s">
        <v>88</v>
      </c>
    </row>
    <row r="190" spans="1:90" x14ac:dyDescent="0.2">
      <c r="A190" s="3" t="s">
        <v>72</v>
      </c>
      <c r="B190" s="3" t="s">
        <v>73</v>
      </c>
      <c r="C190" s="3" t="s">
        <v>74</v>
      </c>
      <c r="E190" s="3" t="str">
        <f>"009941640846"</f>
        <v>009941640846</v>
      </c>
      <c r="F190" s="4">
        <v>44566</v>
      </c>
      <c r="G190" s="3">
        <v>202207</v>
      </c>
      <c r="H190" s="3" t="s">
        <v>75</v>
      </c>
      <c r="I190" s="3" t="s">
        <v>76</v>
      </c>
      <c r="J190" s="3" t="s">
        <v>77</v>
      </c>
      <c r="K190" s="3" t="s">
        <v>78</v>
      </c>
      <c r="L190" s="3" t="s">
        <v>395</v>
      </c>
      <c r="M190" s="3" t="s">
        <v>396</v>
      </c>
      <c r="N190" s="3" t="s">
        <v>514</v>
      </c>
      <c r="O190" s="3" t="s">
        <v>82</v>
      </c>
      <c r="P190" s="3" t="str">
        <f t="shared" si="4"/>
        <v xml:space="preserve">..                            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21.74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1</v>
      </c>
      <c r="BI190" s="3">
        <v>0.5</v>
      </c>
      <c r="BJ190" s="3">
        <v>1.3</v>
      </c>
      <c r="BK190" s="3">
        <v>2</v>
      </c>
      <c r="BL190" s="3">
        <v>82.98</v>
      </c>
      <c r="BM190" s="3">
        <v>12.45</v>
      </c>
      <c r="BN190" s="3">
        <v>95.43</v>
      </c>
      <c r="BO190" s="3">
        <v>95.43</v>
      </c>
      <c r="BQ190" s="3" t="s">
        <v>548</v>
      </c>
      <c r="BR190" s="3" t="s">
        <v>84</v>
      </c>
      <c r="BS190" s="4">
        <v>44567</v>
      </c>
      <c r="BT190" s="5">
        <v>0.62430555555555556</v>
      </c>
      <c r="BU190" s="3" t="s">
        <v>549</v>
      </c>
      <c r="BV190" s="3" t="s">
        <v>88</v>
      </c>
      <c r="BW190" s="3" t="s">
        <v>155</v>
      </c>
      <c r="BX190" s="3" t="s">
        <v>508</v>
      </c>
      <c r="BY190" s="3">
        <v>6718.46</v>
      </c>
      <c r="BZ190" s="3" t="s">
        <v>86</v>
      </c>
      <c r="CA190" s="3" t="s">
        <v>401</v>
      </c>
      <c r="CC190" s="3" t="s">
        <v>396</v>
      </c>
      <c r="CD190" s="3">
        <v>2302</v>
      </c>
      <c r="CE190" s="3" t="s">
        <v>87</v>
      </c>
      <c r="CF190" s="4">
        <v>44568</v>
      </c>
      <c r="CI190" s="3">
        <v>1</v>
      </c>
      <c r="CJ190" s="3">
        <v>1</v>
      </c>
      <c r="CK190" s="3">
        <v>34</v>
      </c>
      <c r="CL190" s="3" t="s">
        <v>88</v>
      </c>
    </row>
    <row r="191" spans="1:90" x14ac:dyDescent="0.2">
      <c r="A191" s="3" t="s">
        <v>72</v>
      </c>
      <c r="B191" s="3" t="s">
        <v>73</v>
      </c>
      <c r="C191" s="3" t="s">
        <v>74</v>
      </c>
      <c r="E191" s="3" t="str">
        <f>"009941640839"</f>
        <v>009941640839</v>
      </c>
      <c r="F191" s="4">
        <v>44566</v>
      </c>
      <c r="G191" s="3">
        <v>202207</v>
      </c>
      <c r="H191" s="3" t="s">
        <v>75</v>
      </c>
      <c r="I191" s="3" t="s">
        <v>76</v>
      </c>
      <c r="J191" s="3" t="s">
        <v>77</v>
      </c>
      <c r="K191" s="3" t="s">
        <v>78</v>
      </c>
      <c r="L191" s="3" t="s">
        <v>96</v>
      </c>
      <c r="M191" s="3" t="s">
        <v>97</v>
      </c>
      <c r="N191" s="3" t="s">
        <v>514</v>
      </c>
      <c r="O191" s="3" t="s">
        <v>82</v>
      </c>
      <c r="P191" s="3" t="str">
        <f t="shared" si="4"/>
        <v xml:space="preserve">..                            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28.98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15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1</v>
      </c>
      <c r="BI191" s="3">
        <v>0.2</v>
      </c>
      <c r="BJ191" s="3">
        <v>1</v>
      </c>
      <c r="BK191" s="3">
        <v>1</v>
      </c>
      <c r="BL191" s="3">
        <v>125.62</v>
      </c>
      <c r="BM191" s="3">
        <v>18.84</v>
      </c>
      <c r="BN191" s="3">
        <v>144.46</v>
      </c>
      <c r="BO191" s="3">
        <v>144.46</v>
      </c>
      <c r="BQ191" s="3" t="s">
        <v>550</v>
      </c>
      <c r="BR191" s="3" t="s">
        <v>84</v>
      </c>
      <c r="BS191" s="4">
        <v>44567</v>
      </c>
      <c r="BT191" s="5">
        <v>0.39305555555555555</v>
      </c>
      <c r="BU191" s="3" t="s">
        <v>551</v>
      </c>
      <c r="BV191" s="3" t="s">
        <v>94</v>
      </c>
      <c r="BY191" s="3">
        <v>4768.09</v>
      </c>
      <c r="BZ191" s="3" t="s">
        <v>133</v>
      </c>
      <c r="CA191" s="3" t="s">
        <v>552</v>
      </c>
      <c r="CC191" s="3" t="s">
        <v>97</v>
      </c>
      <c r="CD191" s="3">
        <v>7441</v>
      </c>
      <c r="CE191" s="3" t="s">
        <v>87</v>
      </c>
      <c r="CF191" s="4">
        <v>44568</v>
      </c>
      <c r="CI191" s="3">
        <v>1</v>
      </c>
      <c r="CJ191" s="3">
        <v>1</v>
      </c>
      <c r="CK191" s="3">
        <v>31</v>
      </c>
      <c r="CL191" s="3" t="s">
        <v>88</v>
      </c>
    </row>
    <row r="192" spans="1:90" x14ac:dyDescent="0.2">
      <c r="A192" s="3" t="s">
        <v>72</v>
      </c>
      <c r="B192" s="3" t="s">
        <v>73</v>
      </c>
      <c r="C192" s="3" t="s">
        <v>74</v>
      </c>
      <c r="E192" s="3" t="str">
        <f>"009941640834"</f>
        <v>009941640834</v>
      </c>
      <c r="F192" s="4">
        <v>44566</v>
      </c>
      <c r="G192" s="3">
        <v>202207</v>
      </c>
      <c r="H192" s="3" t="s">
        <v>75</v>
      </c>
      <c r="I192" s="3" t="s">
        <v>76</v>
      </c>
      <c r="J192" s="3" t="s">
        <v>77</v>
      </c>
      <c r="K192" s="3" t="s">
        <v>78</v>
      </c>
      <c r="L192" s="3" t="s">
        <v>553</v>
      </c>
      <c r="M192" s="3" t="s">
        <v>554</v>
      </c>
      <c r="N192" s="3" t="s">
        <v>555</v>
      </c>
      <c r="O192" s="3" t="s">
        <v>82</v>
      </c>
      <c r="P192" s="3" t="str">
        <f t="shared" si="4"/>
        <v xml:space="preserve">..                            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29.95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1</v>
      </c>
      <c r="BI192" s="3">
        <v>0.5</v>
      </c>
      <c r="BJ192" s="3">
        <v>1.3</v>
      </c>
      <c r="BK192" s="3">
        <v>2</v>
      </c>
      <c r="BL192" s="3">
        <v>114.31</v>
      </c>
      <c r="BM192" s="3">
        <v>17.149999999999999</v>
      </c>
      <c r="BN192" s="3">
        <v>131.46</v>
      </c>
      <c r="BO192" s="3">
        <v>131.46</v>
      </c>
      <c r="BQ192" s="3" t="s">
        <v>556</v>
      </c>
      <c r="BR192" s="3" t="s">
        <v>84</v>
      </c>
      <c r="BS192" s="4">
        <v>44567</v>
      </c>
      <c r="BT192" s="5">
        <v>0.61249999999999993</v>
      </c>
      <c r="BU192" s="3" t="s">
        <v>557</v>
      </c>
      <c r="BV192" s="3" t="s">
        <v>94</v>
      </c>
      <c r="BY192" s="3">
        <v>6578.61</v>
      </c>
      <c r="BZ192" s="3" t="s">
        <v>86</v>
      </c>
      <c r="CA192" s="3" t="s">
        <v>558</v>
      </c>
      <c r="CC192" s="3" t="s">
        <v>554</v>
      </c>
      <c r="CD192" s="3">
        <v>7220</v>
      </c>
      <c r="CE192" s="3" t="s">
        <v>87</v>
      </c>
      <c r="CF192" s="4">
        <v>44568</v>
      </c>
      <c r="CI192" s="3">
        <v>2</v>
      </c>
      <c r="CJ192" s="3">
        <v>1</v>
      </c>
      <c r="CK192" s="3">
        <v>33</v>
      </c>
      <c r="CL192" s="3" t="s">
        <v>88</v>
      </c>
    </row>
    <row r="193" spans="1:90" x14ac:dyDescent="0.2">
      <c r="A193" s="3" t="s">
        <v>72</v>
      </c>
      <c r="B193" s="3" t="s">
        <v>73</v>
      </c>
      <c r="C193" s="3" t="s">
        <v>74</v>
      </c>
      <c r="E193" s="3" t="str">
        <f>"009941640830"</f>
        <v>009941640830</v>
      </c>
      <c r="F193" s="4">
        <v>44566</v>
      </c>
      <c r="G193" s="3">
        <v>202207</v>
      </c>
      <c r="H193" s="3" t="s">
        <v>75</v>
      </c>
      <c r="I193" s="3" t="s">
        <v>76</v>
      </c>
      <c r="J193" s="3" t="s">
        <v>77</v>
      </c>
      <c r="K193" s="3" t="s">
        <v>78</v>
      </c>
      <c r="L193" s="3" t="s">
        <v>116</v>
      </c>
      <c r="M193" s="3" t="s">
        <v>117</v>
      </c>
      <c r="N193" s="3" t="s">
        <v>514</v>
      </c>
      <c r="O193" s="3" t="s">
        <v>82</v>
      </c>
      <c r="P193" s="3" t="str">
        <f t="shared" si="4"/>
        <v xml:space="preserve">..                            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28.98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1</v>
      </c>
      <c r="BI193" s="3">
        <v>0.2</v>
      </c>
      <c r="BJ193" s="3">
        <v>1.2</v>
      </c>
      <c r="BK193" s="3">
        <v>2</v>
      </c>
      <c r="BL193" s="3">
        <v>110.62</v>
      </c>
      <c r="BM193" s="3">
        <v>16.59</v>
      </c>
      <c r="BN193" s="3">
        <v>127.21</v>
      </c>
      <c r="BO193" s="3">
        <v>127.21</v>
      </c>
      <c r="BQ193" s="3" t="s">
        <v>559</v>
      </c>
      <c r="BR193" s="3" t="s">
        <v>84</v>
      </c>
      <c r="BS193" s="4">
        <v>44574</v>
      </c>
      <c r="BT193" s="5">
        <v>0.50694444444444442</v>
      </c>
      <c r="BU193" s="3" t="s">
        <v>560</v>
      </c>
      <c r="BV193" s="3" t="s">
        <v>88</v>
      </c>
      <c r="BW193" s="3" t="s">
        <v>165</v>
      </c>
      <c r="BX193" s="3" t="s">
        <v>263</v>
      </c>
      <c r="BY193" s="3">
        <v>6095.06</v>
      </c>
      <c r="BZ193" s="3" t="s">
        <v>86</v>
      </c>
      <c r="CA193" s="3" t="s">
        <v>517</v>
      </c>
      <c r="CC193" s="3" t="s">
        <v>117</v>
      </c>
      <c r="CD193" s="3">
        <v>4001</v>
      </c>
      <c r="CE193" s="3" t="s">
        <v>87</v>
      </c>
      <c r="CF193" s="4">
        <v>44574</v>
      </c>
      <c r="CI193" s="3">
        <v>1</v>
      </c>
      <c r="CJ193" s="3">
        <v>6</v>
      </c>
      <c r="CK193" s="3">
        <v>31</v>
      </c>
      <c r="CL193" s="3" t="s">
        <v>88</v>
      </c>
    </row>
    <row r="194" spans="1:90" x14ac:dyDescent="0.2">
      <c r="A194" s="3" t="s">
        <v>72</v>
      </c>
      <c r="B194" s="3" t="s">
        <v>73</v>
      </c>
      <c r="C194" s="3" t="s">
        <v>74</v>
      </c>
      <c r="E194" s="3" t="str">
        <f>"009941640838"</f>
        <v>009941640838</v>
      </c>
      <c r="F194" s="4">
        <v>44566</v>
      </c>
      <c r="G194" s="3">
        <v>202207</v>
      </c>
      <c r="H194" s="3" t="s">
        <v>75</v>
      </c>
      <c r="I194" s="3" t="s">
        <v>76</v>
      </c>
      <c r="J194" s="3" t="s">
        <v>77</v>
      </c>
      <c r="K194" s="3" t="s">
        <v>78</v>
      </c>
      <c r="L194" s="3" t="s">
        <v>104</v>
      </c>
      <c r="M194" s="3" t="s">
        <v>105</v>
      </c>
      <c r="N194" s="3" t="s">
        <v>514</v>
      </c>
      <c r="O194" s="3" t="s">
        <v>82</v>
      </c>
      <c r="P194" s="3" t="str">
        <f t="shared" si="4"/>
        <v xml:space="preserve">..                            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28.98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1</v>
      </c>
      <c r="BI194" s="3">
        <v>0.6</v>
      </c>
      <c r="BJ194" s="3">
        <v>1.9</v>
      </c>
      <c r="BK194" s="3">
        <v>2</v>
      </c>
      <c r="BL194" s="3">
        <v>110.62</v>
      </c>
      <c r="BM194" s="3">
        <v>16.59</v>
      </c>
      <c r="BN194" s="3">
        <v>127.21</v>
      </c>
      <c r="BO194" s="3">
        <v>127.21</v>
      </c>
      <c r="BQ194" s="3" t="s">
        <v>561</v>
      </c>
      <c r="BR194" s="3" t="s">
        <v>84</v>
      </c>
      <c r="BS194" s="4">
        <v>44567</v>
      </c>
      <c r="BT194" s="5">
        <v>0.50277777777777777</v>
      </c>
      <c r="BU194" s="3" t="s">
        <v>562</v>
      </c>
      <c r="BV194" s="3" t="s">
        <v>94</v>
      </c>
      <c r="BY194" s="3">
        <v>9720.59</v>
      </c>
      <c r="BZ194" s="3" t="s">
        <v>86</v>
      </c>
      <c r="CA194" s="3" t="s">
        <v>563</v>
      </c>
      <c r="CC194" s="3" t="s">
        <v>105</v>
      </c>
      <c r="CD194" s="3">
        <v>1</v>
      </c>
      <c r="CE194" s="3" t="s">
        <v>87</v>
      </c>
      <c r="CF194" s="4">
        <v>44567</v>
      </c>
      <c r="CI194" s="3">
        <v>1</v>
      </c>
      <c r="CJ194" s="3">
        <v>1</v>
      </c>
      <c r="CK194" s="3">
        <v>31</v>
      </c>
      <c r="CL194" s="3" t="s">
        <v>88</v>
      </c>
    </row>
    <row r="195" spans="1:90" x14ac:dyDescent="0.2">
      <c r="A195" s="3" t="s">
        <v>72</v>
      </c>
      <c r="B195" s="3" t="s">
        <v>73</v>
      </c>
      <c r="C195" s="3" t="s">
        <v>74</v>
      </c>
      <c r="E195" s="3" t="str">
        <f>"009941640842"</f>
        <v>009941640842</v>
      </c>
      <c r="F195" s="4">
        <v>44566</v>
      </c>
      <c r="G195" s="3">
        <v>202207</v>
      </c>
      <c r="H195" s="3" t="s">
        <v>75</v>
      </c>
      <c r="I195" s="3" t="s">
        <v>76</v>
      </c>
      <c r="J195" s="3" t="s">
        <v>77</v>
      </c>
      <c r="K195" s="3" t="s">
        <v>78</v>
      </c>
      <c r="L195" s="3" t="s">
        <v>564</v>
      </c>
      <c r="M195" s="3" t="s">
        <v>565</v>
      </c>
      <c r="N195" s="3" t="s">
        <v>514</v>
      </c>
      <c r="O195" s="3" t="s">
        <v>82</v>
      </c>
      <c r="P195" s="3" t="str">
        <f t="shared" si="4"/>
        <v xml:space="preserve">..                            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29.95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1</v>
      </c>
      <c r="BI195" s="3">
        <v>1</v>
      </c>
      <c r="BJ195" s="3">
        <v>0.2</v>
      </c>
      <c r="BK195" s="3">
        <v>1</v>
      </c>
      <c r="BL195" s="3">
        <v>114.31</v>
      </c>
      <c r="BM195" s="3">
        <v>17.149999999999999</v>
      </c>
      <c r="BN195" s="3">
        <v>131.46</v>
      </c>
      <c r="BO195" s="3">
        <v>131.46</v>
      </c>
      <c r="BQ195" s="3" t="s">
        <v>566</v>
      </c>
      <c r="BR195" s="3" t="s">
        <v>84</v>
      </c>
      <c r="BS195" s="4">
        <v>44567</v>
      </c>
      <c r="BT195" s="5">
        <v>0.42430555555555555</v>
      </c>
      <c r="BU195" s="3" t="s">
        <v>566</v>
      </c>
      <c r="BV195" s="3" t="s">
        <v>94</v>
      </c>
      <c r="BY195" s="3">
        <v>1200</v>
      </c>
      <c r="BZ195" s="3" t="s">
        <v>86</v>
      </c>
      <c r="CA195" s="3" t="s">
        <v>567</v>
      </c>
      <c r="CC195" s="3" t="s">
        <v>565</v>
      </c>
      <c r="CD195" s="3">
        <v>9650</v>
      </c>
      <c r="CE195" s="3" t="s">
        <v>87</v>
      </c>
      <c r="CF195" s="4">
        <v>44568</v>
      </c>
      <c r="CI195" s="3">
        <v>1</v>
      </c>
      <c r="CJ195" s="3">
        <v>1</v>
      </c>
      <c r="CK195" s="3">
        <v>33</v>
      </c>
      <c r="CL195" s="3" t="s">
        <v>88</v>
      </c>
    </row>
    <row r="196" spans="1:90" x14ac:dyDescent="0.2">
      <c r="A196" s="3" t="s">
        <v>72</v>
      </c>
      <c r="B196" s="3" t="s">
        <v>73</v>
      </c>
      <c r="C196" s="3" t="s">
        <v>74</v>
      </c>
      <c r="E196" s="3" t="str">
        <f>"009941640831"</f>
        <v>009941640831</v>
      </c>
      <c r="F196" s="4">
        <v>44566</v>
      </c>
      <c r="G196" s="3">
        <v>202207</v>
      </c>
      <c r="H196" s="3" t="s">
        <v>75</v>
      </c>
      <c r="I196" s="3" t="s">
        <v>76</v>
      </c>
      <c r="J196" s="3" t="s">
        <v>77</v>
      </c>
      <c r="K196" s="3" t="s">
        <v>78</v>
      </c>
      <c r="L196" s="3" t="s">
        <v>144</v>
      </c>
      <c r="M196" s="3" t="s">
        <v>145</v>
      </c>
      <c r="N196" s="3" t="s">
        <v>514</v>
      </c>
      <c r="O196" s="3" t="s">
        <v>82</v>
      </c>
      <c r="P196" s="3" t="str">
        <f t="shared" si="4"/>
        <v xml:space="preserve">..                            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28.98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1</v>
      </c>
      <c r="BI196" s="3">
        <v>0.2</v>
      </c>
      <c r="BJ196" s="3">
        <v>1.2</v>
      </c>
      <c r="BK196" s="3">
        <v>2</v>
      </c>
      <c r="BL196" s="3">
        <v>110.62</v>
      </c>
      <c r="BM196" s="3">
        <v>16.59</v>
      </c>
      <c r="BN196" s="3">
        <v>127.21</v>
      </c>
      <c r="BO196" s="3">
        <v>127.21</v>
      </c>
      <c r="BQ196" s="3" t="s">
        <v>568</v>
      </c>
      <c r="BR196" s="3" t="s">
        <v>84</v>
      </c>
      <c r="BS196" s="4">
        <v>44567</v>
      </c>
      <c r="BT196" s="5">
        <v>0.46180555555555558</v>
      </c>
      <c r="BU196" s="3" t="s">
        <v>569</v>
      </c>
      <c r="BV196" s="3" t="s">
        <v>94</v>
      </c>
      <c r="BY196" s="3">
        <v>6185.76</v>
      </c>
      <c r="BZ196" s="3" t="s">
        <v>86</v>
      </c>
      <c r="CA196" s="3" t="s">
        <v>477</v>
      </c>
      <c r="CC196" s="3" t="s">
        <v>145</v>
      </c>
      <c r="CD196" s="3">
        <v>6070</v>
      </c>
      <c r="CE196" s="3" t="s">
        <v>87</v>
      </c>
      <c r="CF196" s="4">
        <v>44567</v>
      </c>
      <c r="CI196" s="3">
        <v>1</v>
      </c>
      <c r="CJ196" s="3">
        <v>1</v>
      </c>
      <c r="CK196" s="3">
        <v>31</v>
      </c>
      <c r="CL196" s="3" t="s">
        <v>88</v>
      </c>
    </row>
    <row r="197" spans="1:90" x14ac:dyDescent="0.2">
      <c r="A197" s="3" t="s">
        <v>72</v>
      </c>
      <c r="B197" s="3" t="s">
        <v>73</v>
      </c>
      <c r="C197" s="3" t="s">
        <v>74</v>
      </c>
      <c r="E197" s="3" t="str">
        <f>"009941640833"</f>
        <v>009941640833</v>
      </c>
      <c r="F197" s="4">
        <v>44566</v>
      </c>
      <c r="G197" s="3">
        <v>202207</v>
      </c>
      <c r="H197" s="3" t="s">
        <v>75</v>
      </c>
      <c r="I197" s="3" t="s">
        <v>76</v>
      </c>
      <c r="J197" s="3" t="s">
        <v>77</v>
      </c>
      <c r="K197" s="3" t="s">
        <v>78</v>
      </c>
      <c r="L197" s="3" t="s">
        <v>75</v>
      </c>
      <c r="M197" s="3" t="s">
        <v>76</v>
      </c>
      <c r="N197" s="3" t="s">
        <v>570</v>
      </c>
      <c r="O197" s="3" t="s">
        <v>82</v>
      </c>
      <c r="P197" s="3" t="str">
        <f t="shared" si="4"/>
        <v xml:space="preserve">..                            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12.08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3">
        <v>1</v>
      </c>
      <c r="BI197" s="3">
        <v>0.2</v>
      </c>
      <c r="BJ197" s="3">
        <v>0.9</v>
      </c>
      <c r="BK197" s="3">
        <v>1</v>
      </c>
      <c r="BL197" s="3">
        <v>46.1</v>
      </c>
      <c r="BM197" s="3">
        <v>6.92</v>
      </c>
      <c r="BN197" s="3">
        <v>53.02</v>
      </c>
      <c r="BO197" s="3">
        <v>53.02</v>
      </c>
      <c r="BQ197" s="3" t="s">
        <v>571</v>
      </c>
      <c r="BR197" s="3" t="s">
        <v>84</v>
      </c>
      <c r="BS197" s="4">
        <v>44567</v>
      </c>
      <c r="BT197" s="5">
        <v>0.30902777777777779</v>
      </c>
      <c r="BU197" s="3" t="s">
        <v>572</v>
      </c>
      <c r="BV197" s="3" t="s">
        <v>94</v>
      </c>
      <c r="BY197" s="3">
        <v>4691.6499999999996</v>
      </c>
      <c r="BZ197" s="3" t="s">
        <v>86</v>
      </c>
      <c r="CA197" s="3" t="s">
        <v>573</v>
      </c>
      <c r="CC197" s="3" t="s">
        <v>76</v>
      </c>
      <c r="CD197" s="3">
        <v>2056</v>
      </c>
      <c r="CE197" s="3" t="s">
        <v>87</v>
      </c>
      <c r="CF197" s="4">
        <v>44567</v>
      </c>
      <c r="CI197" s="3">
        <v>1</v>
      </c>
      <c r="CJ197" s="3">
        <v>1</v>
      </c>
      <c r="CK197" s="3">
        <v>32</v>
      </c>
      <c r="CL197" s="3" t="s">
        <v>88</v>
      </c>
    </row>
    <row r="198" spans="1:90" x14ac:dyDescent="0.2">
      <c r="A198" s="3" t="s">
        <v>72</v>
      </c>
      <c r="B198" s="3" t="s">
        <v>73</v>
      </c>
      <c r="C198" s="3" t="s">
        <v>74</v>
      </c>
      <c r="E198" s="3" t="str">
        <f>"009941640829"</f>
        <v>009941640829</v>
      </c>
      <c r="F198" s="4">
        <v>44566</v>
      </c>
      <c r="G198" s="3">
        <v>202207</v>
      </c>
      <c r="H198" s="3" t="s">
        <v>75</v>
      </c>
      <c r="I198" s="3" t="s">
        <v>76</v>
      </c>
      <c r="J198" s="3" t="s">
        <v>77</v>
      </c>
      <c r="K198" s="3" t="s">
        <v>78</v>
      </c>
      <c r="L198" s="3" t="s">
        <v>104</v>
      </c>
      <c r="M198" s="3" t="s">
        <v>105</v>
      </c>
      <c r="N198" s="3" t="s">
        <v>514</v>
      </c>
      <c r="O198" s="3" t="s">
        <v>82</v>
      </c>
      <c r="P198" s="3" t="str">
        <f t="shared" si="4"/>
        <v xml:space="preserve">..                            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28.98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1</v>
      </c>
      <c r="BI198" s="3">
        <v>0.8</v>
      </c>
      <c r="BJ198" s="3">
        <v>1.4</v>
      </c>
      <c r="BK198" s="3">
        <v>2</v>
      </c>
      <c r="BL198" s="3">
        <v>110.62</v>
      </c>
      <c r="BM198" s="3">
        <v>16.59</v>
      </c>
      <c r="BN198" s="3">
        <v>127.21</v>
      </c>
      <c r="BO198" s="3">
        <v>127.21</v>
      </c>
      <c r="BQ198" s="3" t="s">
        <v>574</v>
      </c>
      <c r="BR198" s="3" t="s">
        <v>84</v>
      </c>
      <c r="BS198" s="4">
        <v>44567</v>
      </c>
      <c r="BT198" s="5">
        <v>0.41875000000000001</v>
      </c>
      <c r="BU198" s="3" t="s">
        <v>575</v>
      </c>
      <c r="BV198" s="3" t="s">
        <v>94</v>
      </c>
      <c r="BY198" s="3">
        <v>6798.57</v>
      </c>
      <c r="BZ198" s="3" t="s">
        <v>86</v>
      </c>
      <c r="CA198" s="3" t="s">
        <v>576</v>
      </c>
      <c r="CC198" s="3" t="s">
        <v>105</v>
      </c>
      <c r="CD198" s="3">
        <v>81</v>
      </c>
      <c r="CE198" s="3" t="s">
        <v>87</v>
      </c>
      <c r="CF198" s="4">
        <v>44567</v>
      </c>
      <c r="CI198" s="3">
        <v>1</v>
      </c>
      <c r="CJ198" s="3">
        <v>1</v>
      </c>
      <c r="CK198" s="3">
        <v>31</v>
      </c>
      <c r="CL198" s="3" t="s">
        <v>88</v>
      </c>
    </row>
    <row r="199" spans="1:90" x14ac:dyDescent="0.2">
      <c r="A199" s="3" t="s">
        <v>72</v>
      </c>
      <c r="B199" s="3" t="s">
        <v>73</v>
      </c>
      <c r="C199" s="3" t="s">
        <v>74</v>
      </c>
      <c r="E199" s="3" t="str">
        <f>"009941300490"</f>
        <v>009941300490</v>
      </c>
      <c r="F199" s="4">
        <v>44565</v>
      </c>
      <c r="G199" s="3">
        <v>202207</v>
      </c>
      <c r="H199" s="3" t="s">
        <v>104</v>
      </c>
      <c r="I199" s="3" t="s">
        <v>105</v>
      </c>
      <c r="J199" s="3" t="s">
        <v>205</v>
      </c>
      <c r="K199" s="3" t="s">
        <v>78</v>
      </c>
      <c r="L199" s="3" t="s">
        <v>75</v>
      </c>
      <c r="M199" s="3" t="s">
        <v>76</v>
      </c>
      <c r="N199" s="3" t="s">
        <v>109</v>
      </c>
      <c r="O199" s="3" t="s">
        <v>130</v>
      </c>
      <c r="P199" s="3" t="str">
        <f>"NOREF                         "</f>
        <v xml:space="preserve">NOREF                         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32.840000000000003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3">
        <v>1</v>
      </c>
      <c r="BI199" s="3">
        <v>2</v>
      </c>
      <c r="BJ199" s="3">
        <v>1.2</v>
      </c>
      <c r="BK199" s="3">
        <v>2</v>
      </c>
      <c r="BL199" s="3">
        <v>122.29</v>
      </c>
      <c r="BM199" s="3">
        <v>18.34</v>
      </c>
      <c r="BN199" s="3">
        <v>140.63</v>
      </c>
      <c r="BO199" s="3">
        <v>140.63</v>
      </c>
      <c r="BQ199" s="3" t="s">
        <v>162</v>
      </c>
      <c r="BR199" s="3" t="s">
        <v>98</v>
      </c>
      <c r="BS199" s="4">
        <v>44566</v>
      </c>
      <c r="BT199" s="5">
        <v>0.44375000000000003</v>
      </c>
      <c r="BU199" s="3" t="s">
        <v>418</v>
      </c>
      <c r="BV199" s="3" t="s">
        <v>94</v>
      </c>
      <c r="BY199" s="3">
        <v>6000</v>
      </c>
      <c r="BZ199" s="3" t="s">
        <v>86</v>
      </c>
      <c r="CC199" s="3" t="s">
        <v>76</v>
      </c>
      <c r="CD199" s="3">
        <v>2013</v>
      </c>
      <c r="CE199" s="3" t="s">
        <v>87</v>
      </c>
      <c r="CF199" s="4">
        <v>44567</v>
      </c>
      <c r="CI199" s="3">
        <v>1</v>
      </c>
      <c r="CJ199" s="3">
        <v>1</v>
      </c>
      <c r="CK199" s="3">
        <v>41</v>
      </c>
      <c r="CL199" s="3" t="s">
        <v>88</v>
      </c>
    </row>
    <row r="200" spans="1:90" x14ac:dyDescent="0.2">
      <c r="A200" s="3" t="s">
        <v>72</v>
      </c>
      <c r="B200" s="3" t="s">
        <v>73</v>
      </c>
      <c r="C200" s="3" t="s">
        <v>74</v>
      </c>
      <c r="E200" s="3" t="str">
        <f>"009941300356"</f>
        <v>009941300356</v>
      </c>
      <c r="F200" s="4">
        <v>44565</v>
      </c>
      <c r="G200" s="3">
        <v>202207</v>
      </c>
      <c r="H200" s="3" t="s">
        <v>140</v>
      </c>
      <c r="I200" s="3" t="s">
        <v>141</v>
      </c>
      <c r="J200" s="3" t="s">
        <v>142</v>
      </c>
      <c r="K200" s="3" t="s">
        <v>78</v>
      </c>
      <c r="L200" s="3" t="s">
        <v>75</v>
      </c>
      <c r="M200" s="3" t="s">
        <v>76</v>
      </c>
      <c r="N200" s="3" t="s">
        <v>109</v>
      </c>
      <c r="O200" s="3" t="s">
        <v>110</v>
      </c>
      <c r="P200" s="3" t="str">
        <f>"                              "</f>
        <v xml:space="preserve">                              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16.98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1</v>
      </c>
      <c r="BI200" s="3">
        <v>1</v>
      </c>
      <c r="BJ200" s="3">
        <v>0.2</v>
      </c>
      <c r="BK200" s="3">
        <v>1</v>
      </c>
      <c r="BL200" s="3">
        <v>60.52</v>
      </c>
      <c r="BM200" s="3">
        <v>9.08</v>
      </c>
      <c r="BN200" s="3">
        <v>69.599999999999994</v>
      </c>
      <c r="BO200" s="3">
        <v>69.599999999999994</v>
      </c>
      <c r="BQ200" s="3" t="s">
        <v>162</v>
      </c>
      <c r="BS200" s="4">
        <v>44566</v>
      </c>
      <c r="BT200" s="5">
        <v>0.44375000000000003</v>
      </c>
      <c r="BU200" s="3" t="s">
        <v>418</v>
      </c>
      <c r="BV200" s="3" t="s">
        <v>88</v>
      </c>
      <c r="BW200" s="3" t="s">
        <v>138</v>
      </c>
      <c r="BX200" s="3" t="s">
        <v>139</v>
      </c>
      <c r="BY200" s="3">
        <v>1200</v>
      </c>
      <c r="BZ200" s="3" t="s">
        <v>114</v>
      </c>
      <c r="CC200" s="3" t="s">
        <v>76</v>
      </c>
      <c r="CD200" s="3">
        <v>2013</v>
      </c>
      <c r="CE200" s="3" t="s">
        <v>87</v>
      </c>
      <c r="CF200" s="4">
        <v>44567</v>
      </c>
      <c r="CI200" s="3">
        <v>1</v>
      </c>
      <c r="CJ200" s="3">
        <v>1</v>
      </c>
      <c r="CK200" s="3">
        <v>21</v>
      </c>
      <c r="CL200" s="3" t="s">
        <v>88</v>
      </c>
    </row>
    <row r="201" spans="1:90" x14ac:dyDescent="0.2">
      <c r="A201" s="3" t="s">
        <v>72</v>
      </c>
      <c r="B201" s="3" t="s">
        <v>73</v>
      </c>
      <c r="C201" s="3" t="s">
        <v>74</v>
      </c>
      <c r="E201" s="3" t="str">
        <f>"009941984027"</f>
        <v>009941984027</v>
      </c>
      <c r="F201" s="4">
        <v>44565</v>
      </c>
      <c r="G201" s="3">
        <v>202207</v>
      </c>
      <c r="H201" s="3" t="s">
        <v>121</v>
      </c>
      <c r="I201" s="3" t="s">
        <v>122</v>
      </c>
      <c r="J201" s="3" t="s">
        <v>123</v>
      </c>
      <c r="K201" s="3" t="s">
        <v>78</v>
      </c>
      <c r="L201" s="3" t="s">
        <v>75</v>
      </c>
      <c r="M201" s="3" t="s">
        <v>76</v>
      </c>
      <c r="N201" s="3" t="s">
        <v>109</v>
      </c>
      <c r="O201" s="3" t="s">
        <v>110</v>
      </c>
      <c r="P201" s="3" t="str">
        <f>"                              "</f>
        <v xml:space="preserve">                              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32.9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1</v>
      </c>
      <c r="BI201" s="3">
        <v>1</v>
      </c>
      <c r="BJ201" s="3">
        <v>0.2</v>
      </c>
      <c r="BK201" s="3">
        <v>1</v>
      </c>
      <c r="BL201" s="3">
        <v>117.26</v>
      </c>
      <c r="BM201" s="3">
        <v>17.59</v>
      </c>
      <c r="BN201" s="3">
        <v>134.85</v>
      </c>
      <c r="BO201" s="3">
        <v>134.85</v>
      </c>
      <c r="BR201" s="3" t="s">
        <v>137</v>
      </c>
      <c r="BS201" s="4">
        <v>44566</v>
      </c>
      <c r="BT201" s="5">
        <v>0.44513888888888892</v>
      </c>
      <c r="BU201" s="3" t="s">
        <v>418</v>
      </c>
      <c r="BV201" s="3" t="s">
        <v>88</v>
      </c>
      <c r="BW201" s="3" t="s">
        <v>138</v>
      </c>
      <c r="BX201" s="3" t="s">
        <v>139</v>
      </c>
      <c r="BY201" s="3">
        <v>1200</v>
      </c>
      <c r="BZ201" s="3" t="s">
        <v>114</v>
      </c>
      <c r="CC201" s="3" t="s">
        <v>76</v>
      </c>
      <c r="CD201" s="3">
        <v>2190</v>
      </c>
      <c r="CE201" s="3" t="s">
        <v>87</v>
      </c>
      <c r="CF201" s="4">
        <v>44567</v>
      </c>
      <c r="CI201" s="3">
        <v>1</v>
      </c>
      <c r="CJ201" s="3">
        <v>1</v>
      </c>
      <c r="CK201" s="3">
        <v>23</v>
      </c>
      <c r="CL201" s="3" t="s">
        <v>88</v>
      </c>
    </row>
    <row r="202" spans="1:90" x14ac:dyDescent="0.2">
      <c r="A202" s="3" t="s">
        <v>72</v>
      </c>
      <c r="B202" s="3" t="s">
        <v>73</v>
      </c>
      <c r="C202" s="3" t="s">
        <v>74</v>
      </c>
      <c r="E202" s="3" t="str">
        <f>"009941351873"</f>
        <v>009941351873</v>
      </c>
      <c r="F202" s="4">
        <v>44566</v>
      </c>
      <c r="G202" s="3">
        <v>202207</v>
      </c>
      <c r="H202" s="3" t="s">
        <v>116</v>
      </c>
      <c r="I202" s="3" t="s">
        <v>117</v>
      </c>
      <c r="J202" s="3" t="s">
        <v>109</v>
      </c>
      <c r="K202" s="3" t="s">
        <v>78</v>
      </c>
      <c r="L202" s="3" t="s">
        <v>75</v>
      </c>
      <c r="M202" s="3" t="s">
        <v>76</v>
      </c>
      <c r="N202" s="3" t="s">
        <v>178</v>
      </c>
      <c r="O202" s="3" t="s">
        <v>110</v>
      </c>
      <c r="P202" s="3" t="str">
        <f>"CHARMAINE                     "</f>
        <v xml:space="preserve">CHARMAINE                     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15.46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15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3">
        <v>1</v>
      </c>
      <c r="BI202" s="3">
        <v>1</v>
      </c>
      <c r="BJ202" s="3">
        <v>0.2</v>
      </c>
      <c r="BK202" s="3">
        <v>1</v>
      </c>
      <c r="BL202" s="3">
        <v>74</v>
      </c>
      <c r="BM202" s="3">
        <v>11.1</v>
      </c>
      <c r="BN202" s="3">
        <v>85.1</v>
      </c>
      <c r="BO202" s="3">
        <v>85.1</v>
      </c>
      <c r="BQ202" s="3" t="s">
        <v>577</v>
      </c>
      <c r="BR202" s="3" t="s">
        <v>578</v>
      </c>
      <c r="BS202" s="4">
        <v>44567</v>
      </c>
      <c r="BT202" s="5">
        <v>0.63958333333333328</v>
      </c>
      <c r="BU202" s="3" t="s">
        <v>418</v>
      </c>
      <c r="BV202" s="3" t="s">
        <v>88</v>
      </c>
      <c r="BW202" s="3" t="s">
        <v>138</v>
      </c>
      <c r="BX202" s="3" t="s">
        <v>139</v>
      </c>
      <c r="BY202" s="3">
        <v>1200</v>
      </c>
      <c r="BZ202" s="3" t="s">
        <v>126</v>
      </c>
      <c r="CA202" s="3" t="s">
        <v>511</v>
      </c>
      <c r="CC202" s="3" t="s">
        <v>76</v>
      </c>
      <c r="CD202" s="3">
        <v>2001</v>
      </c>
      <c r="CE202" s="3" t="s">
        <v>87</v>
      </c>
      <c r="CF202" s="4">
        <v>44568</v>
      </c>
      <c r="CI202" s="3">
        <v>1</v>
      </c>
      <c r="CJ202" s="3">
        <v>1</v>
      </c>
      <c r="CK202" s="3">
        <v>21</v>
      </c>
      <c r="CL202" s="3" t="s">
        <v>88</v>
      </c>
    </row>
    <row r="203" spans="1:90" x14ac:dyDescent="0.2">
      <c r="A203" s="3" t="s">
        <v>72</v>
      </c>
      <c r="B203" s="3" t="s">
        <v>73</v>
      </c>
      <c r="C203" s="3" t="s">
        <v>74</v>
      </c>
      <c r="E203" s="3" t="str">
        <f>"009941300298"</f>
        <v>009941300298</v>
      </c>
      <c r="F203" s="4">
        <v>44566</v>
      </c>
      <c r="G203" s="3">
        <v>202207</v>
      </c>
      <c r="H203" s="3" t="s">
        <v>213</v>
      </c>
      <c r="I203" s="3" t="s">
        <v>214</v>
      </c>
      <c r="J203" s="3" t="s">
        <v>190</v>
      </c>
      <c r="K203" s="3" t="s">
        <v>78</v>
      </c>
      <c r="L203" s="3" t="s">
        <v>75</v>
      </c>
      <c r="M203" s="3" t="s">
        <v>76</v>
      </c>
      <c r="N203" s="3" t="s">
        <v>109</v>
      </c>
      <c r="O203" s="3" t="s">
        <v>110</v>
      </c>
      <c r="P203" s="3" t="str">
        <f>"..                            "</f>
        <v xml:space="preserve">..                            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12.07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1</v>
      </c>
      <c r="BI203" s="3">
        <v>1</v>
      </c>
      <c r="BJ203" s="3">
        <v>0.2</v>
      </c>
      <c r="BK203" s="3">
        <v>1</v>
      </c>
      <c r="BL203" s="3">
        <v>46.08</v>
      </c>
      <c r="BM203" s="3">
        <v>6.91</v>
      </c>
      <c r="BN203" s="3">
        <v>52.99</v>
      </c>
      <c r="BO203" s="3">
        <v>52.99</v>
      </c>
      <c r="BQ203" s="3" t="s">
        <v>162</v>
      </c>
      <c r="BR203" s="3" t="s">
        <v>191</v>
      </c>
      <c r="BS203" s="4">
        <v>44567</v>
      </c>
      <c r="BT203" s="5">
        <v>0.6430555555555556</v>
      </c>
      <c r="BU203" s="3" t="s">
        <v>418</v>
      </c>
      <c r="BV203" s="3" t="s">
        <v>88</v>
      </c>
      <c r="BW203" s="3" t="s">
        <v>138</v>
      </c>
      <c r="BX203" s="3" t="s">
        <v>139</v>
      </c>
      <c r="BY203" s="3">
        <v>1200</v>
      </c>
      <c r="BZ203" s="3" t="s">
        <v>114</v>
      </c>
      <c r="CA203" s="3" t="s">
        <v>511</v>
      </c>
      <c r="CC203" s="3" t="s">
        <v>76</v>
      </c>
      <c r="CD203" s="3">
        <v>2013</v>
      </c>
      <c r="CE203" s="3" t="s">
        <v>87</v>
      </c>
      <c r="CF203" s="4">
        <v>44568</v>
      </c>
      <c r="CI203" s="3">
        <v>1</v>
      </c>
      <c r="CJ203" s="3">
        <v>1</v>
      </c>
      <c r="CK203" s="3">
        <v>22</v>
      </c>
      <c r="CL203" s="3" t="s">
        <v>88</v>
      </c>
    </row>
    <row r="204" spans="1:90" x14ac:dyDescent="0.2">
      <c r="A204" s="3" t="s">
        <v>72</v>
      </c>
      <c r="B204" s="3" t="s">
        <v>73</v>
      </c>
      <c r="C204" s="3" t="s">
        <v>74</v>
      </c>
      <c r="E204" s="3" t="str">
        <f>"009941640836"</f>
        <v>009941640836</v>
      </c>
      <c r="F204" s="4">
        <v>44566</v>
      </c>
      <c r="G204" s="3">
        <v>202207</v>
      </c>
      <c r="H204" s="3" t="s">
        <v>75</v>
      </c>
      <c r="I204" s="3" t="s">
        <v>76</v>
      </c>
      <c r="J204" s="3" t="s">
        <v>77</v>
      </c>
      <c r="K204" s="3" t="s">
        <v>78</v>
      </c>
      <c r="L204" s="3" t="s">
        <v>75</v>
      </c>
      <c r="M204" s="3" t="s">
        <v>76</v>
      </c>
      <c r="N204" s="3" t="s">
        <v>514</v>
      </c>
      <c r="O204" s="3" t="s">
        <v>82</v>
      </c>
      <c r="P204" s="3" t="str">
        <f>"..                            "</f>
        <v xml:space="preserve">..                            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12.08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1</v>
      </c>
      <c r="BI204" s="3">
        <v>2.1</v>
      </c>
      <c r="BJ204" s="3">
        <v>3</v>
      </c>
      <c r="BK204" s="3">
        <v>3</v>
      </c>
      <c r="BL204" s="3">
        <v>46.1</v>
      </c>
      <c r="BM204" s="3">
        <v>6.92</v>
      </c>
      <c r="BN204" s="3">
        <v>53.02</v>
      </c>
      <c r="BO204" s="3">
        <v>53.02</v>
      </c>
      <c r="BQ204" s="3" t="s">
        <v>579</v>
      </c>
      <c r="BR204" s="3" t="s">
        <v>84</v>
      </c>
      <c r="BS204" s="4">
        <v>44567</v>
      </c>
      <c r="BT204" s="5">
        <v>0.4513888888888889</v>
      </c>
      <c r="BU204" s="3" t="s">
        <v>580</v>
      </c>
      <c r="BV204" s="3" t="s">
        <v>94</v>
      </c>
      <c r="BY204" s="3">
        <v>15088.3</v>
      </c>
      <c r="BZ204" s="3" t="s">
        <v>86</v>
      </c>
      <c r="CA204" s="3" t="s">
        <v>429</v>
      </c>
      <c r="CC204" s="3" t="s">
        <v>76</v>
      </c>
      <c r="CD204" s="3">
        <v>2161</v>
      </c>
      <c r="CE204" s="3" t="s">
        <v>87</v>
      </c>
      <c r="CF204" s="4">
        <v>44568</v>
      </c>
      <c r="CI204" s="3">
        <v>1</v>
      </c>
      <c r="CJ204" s="3">
        <v>1</v>
      </c>
      <c r="CK204" s="3">
        <v>32</v>
      </c>
      <c r="CL204" s="3" t="s">
        <v>88</v>
      </c>
    </row>
    <row r="205" spans="1:90" x14ac:dyDescent="0.2">
      <c r="A205" s="3" t="s">
        <v>72</v>
      </c>
      <c r="B205" s="3" t="s">
        <v>73</v>
      </c>
      <c r="C205" s="3" t="s">
        <v>74</v>
      </c>
      <c r="E205" s="3" t="str">
        <f>"009941133124"</f>
        <v>009941133124</v>
      </c>
      <c r="F205" s="4">
        <v>44566</v>
      </c>
      <c r="G205" s="3">
        <v>202207</v>
      </c>
      <c r="H205" s="3" t="s">
        <v>116</v>
      </c>
      <c r="I205" s="3" t="s">
        <v>117</v>
      </c>
      <c r="J205" s="3" t="s">
        <v>581</v>
      </c>
      <c r="K205" s="3" t="s">
        <v>78</v>
      </c>
      <c r="L205" s="3" t="s">
        <v>75</v>
      </c>
      <c r="M205" s="3" t="s">
        <v>76</v>
      </c>
      <c r="N205" s="3" t="s">
        <v>109</v>
      </c>
      <c r="O205" s="3" t="s">
        <v>110</v>
      </c>
      <c r="P205" s="3" t="str">
        <f>"                              "</f>
        <v xml:space="preserve">                              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15.46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3">
        <v>1</v>
      </c>
      <c r="BI205" s="3">
        <v>1</v>
      </c>
      <c r="BJ205" s="3">
        <v>0.2</v>
      </c>
      <c r="BK205" s="3">
        <v>1</v>
      </c>
      <c r="BL205" s="3">
        <v>59</v>
      </c>
      <c r="BM205" s="3">
        <v>8.85</v>
      </c>
      <c r="BN205" s="3">
        <v>67.849999999999994</v>
      </c>
      <c r="BO205" s="3">
        <v>67.849999999999994</v>
      </c>
      <c r="BQ205" s="3" t="s">
        <v>124</v>
      </c>
      <c r="BR205" s="3" t="s">
        <v>124</v>
      </c>
      <c r="BS205" s="4">
        <v>44567</v>
      </c>
      <c r="BT205" s="5">
        <v>0.63888888888888895</v>
      </c>
      <c r="BU205" s="3" t="s">
        <v>418</v>
      </c>
      <c r="BV205" s="3" t="s">
        <v>88</v>
      </c>
      <c r="BW205" s="3" t="s">
        <v>138</v>
      </c>
      <c r="BX205" s="3" t="s">
        <v>139</v>
      </c>
      <c r="BY205" s="3">
        <v>1200</v>
      </c>
      <c r="BZ205" s="3" t="s">
        <v>114</v>
      </c>
      <c r="CA205" s="3" t="s">
        <v>511</v>
      </c>
      <c r="CC205" s="3" t="s">
        <v>76</v>
      </c>
      <c r="CD205" s="3">
        <v>2013</v>
      </c>
      <c r="CE205" s="3" t="s">
        <v>87</v>
      </c>
      <c r="CF205" s="4">
        <v>44568</v>
      </c>
      <c r="CI205" s="3">
        <v>1</v>
      </c>
      <c r="CJ205" s="3">
        <v>1</v>
      </c>
      <c r="CK205" s="3">
        <v>21</v>
      </c>
      <c r="CL205" s="3" t="s">
        <v>88</v>
      </c>
    </row>
    <row r="206" spans="1:90" x14ac:dyDescent="0.2">
      <c r="A206" s="3" t="s">
        <v>72</v>
      </c>
      <c r="B206" s="3" t="s">
        <v>73</v>
      </c>
      <c r="C206" s="3" t="s">
        <v>74</v>
      </c>
      <c r="E206" s="3" t="str">
        <f>"009941640837"</f>
        <v>009941640837</v>
      </c>
      <c r="F206" s="4">
        <v>44566</v>
      </c>
      <c r="G206" s="3">
        <v>202207</v>
      </c>
      <c r="H206" s="3" t="s">
        <v>75</v>
      </c>
      <c r="I206" s="3" t="s">
        <v>76</v>
      </c>
      <c r="J206" s="3" t="s">
        <v>77</v>
      </c>
      <c r="K206" s="3" t="s">
        <v>78</v>
      </c>
      <c r="L206" s="3" t="s">
        <v>96</v>
      </c>
      <c r="M206" s="3" t="s">
        <v>97</v>
      </c>
      <c r="N206" s="3" t="s">
        <v>514</v>
      </c>
      <c r="O206" s="3" t="s">
        <v>82</v>
      </c>
      <c r="P206" s="3" t="str">
        <f>"..                            "</f>
        <v xml:space="preserve">..                            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28.98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1</v>
      </c>
      <c r="BI206" s="3">
        <v>0.2</v>
      </c>
      <c r="BJ206" s="3">
        <v>1</v>
      </c>
      <c r="BK206" s="3">
        <v>1</v>
      </c>
      <c r="BL206" s="3">
        <v>110.62</v>
      </c>
      <c r="BM206" s="3">
        <v>16.59</v>
      </c>
      <c r="BN206" s="3">
        <v>127.21</v>
      </c>
      <c r="BO206" s="3">
        <v>127.21</v>
      </c>
      <c r="BQ206" s="3" t="s">
        <v>582</v>
      </c>
      <c r="BR206" s="3" t="s">
        <v>84</v>
      </c>
      <c r="BS206" s="4">
        <v>44568</v>
      </c>
      <c r="BT206" s="5">
        <v>0.55833333333333335</v>
      </c>
      <c r="BU206" s="3" t="s">
        <v>583</v>
      </c>
      <c r="BV206" s="3" t="s">
        <v>88</v>
      </c>
      <c r="BW206" s="3" t="s">
        <v>584</v>
      </c>
      <c r="BX206" s="3" t="s">
        <v>585</v>
      </c>
      <c r="BY206" s="3">
        <v>4791.6499999999996</v>
      </c>
      <c r="BZ206" s="3" t="s">
        <v>86</v>
      </c>
      <c r="CA206" s="3" t="s">
        <v>293</v>
      </c>
      <c r="CC206" s="3" t="s">
        <v>97</v>
      </c>
      <c r="CD206" s="3">
        <v>7945</v>
      </c>
      <c r="CE206" s="3" t="s">
        <v>87</v>
      </c>
      <c r="CF206" s="4">
        <v>44571</v>
      </c>
      <c r="CI206" s="3">
        <v>1</v>
      </c>
      <c r="CJ206" s="3">
        <v>2</v>
      </c>
      <c r="CK206" s="3">
        <v>31</v>
      </c>
      <c r="CL206" s="3" t="s">
        <v>88</v>
      </c>
    </row>
    <row r="207" spans="1:90" x14ac:dyDescent="0.2">
      <c r="A207" s="3" t="s">
        <v>72</v>
      </c>
      <c r="B207" s="3" t="s">
        <v>73</v>
      </c>
      <c r="C207" s="3" t="s">
        <v>74</v>
      </c>
      <c r="E207" s="3" t="str">
        <f>"009941301836"</f>
        <v>009941301836</v>
      </c>
      <c r="F207" s="4">
        <v>44566</v>
      </c>
      <c r="G207" s="3">
        <v>202207</v>
      </c>
      <c r="H207" s="3" t="s">
        <v>227</v>
      </c>
      <c r="I207" s="3" t="s">
        <v>228</v>
      </c>
      <c r="J207" s="3" t="s">
        <v>229</v>
      </c>
      <c r="K207" s="3" t="s">
        <v>78</v>
      </c>
      <c r="L207" s="3" t="s">
        <v>75</v>
      </c>
      <c r="M207" s="3" t="s">
        <v>76</v>
      </c>
      <c r="N207" s="3" t="s">
        <v>109</v>
      </c>
      <c r="O207" s="3" t="s">
        <v>130</v>
      </c>
      <c r="P207" s="3" t="str">
        <f>"NA                            "</f>
        <v xml:space="preserve">NA                            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33.01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1</v>
      </c>
      <c r="BI207" s="3">
        <v>1</v>
      </c>
      <c r="BJ207" s="3">
        <v>0.2</v>
      </c>
      <c r="BK207" s="3">
        <v>1</v>
      </c>
      <c r="BL207" s="3">
        <v>131.25</v>
      </c>
      <c r="BM207" s="3">
        <v>19.690000000000001</v>
      </c>
      <c r="BN207" s="3">
        <v>150.94</v>
      </c>
      <c r="BO207" s="3">
        <v>150.94</v>
      </c>
      <c r="BQ207" s="3" t="s">
        <v>162</v>
      </c>
      <c r="BR207" s="3" t="s">
        <v>98</v>
      </c>
      <c r="BS207" s="4">
        <v>44567</v>
      </c>
      <c r="BT207" s="5">
        <v>0.64097222222222217</v>
      </c>
      <c r="BU207" s="3" t="s">
        <v>418</v>
      </c>
      <c r="BV207" s="3" t="s">
        <v>94</v>
      </c>
      <c r="BY207" s="3">
        <v>1200</v>
      </c>
      <c r="BZ207" s="3" t="s">
        <v>86</v>
      </c>
      <c r="CA207" s="3" t="s">
        <v>511</v>
      </c>
      <c r="CC207" s="3" t="s">
        <v>76</v>
      </c>
      <c r="CD207" s="3">
        <v>2013</v>
      </c>
      <c r="CE207" s="3" t="s">
        <v>87</v>
      </c>
      <c r="CF207" s="4">
        <v>44568</v>
      </c>
      <c r="CI207" s="3">
        <v>1</v>
      </c>
      <c r="CJ207" s="3">
        <v>1</v>
      </c>
      <c r="CK207" s="3">
        <v>44</v>
      </c>
      <c r="CL207" s="3" t="s">
        <v>88</v>
      </c>
    </row>
    <row r="208" spans="1:90" x14ac:dyDescent="0.2">
      <c r="A208" s="3" t="s">
        <v>72</v>
      </c>
      <c r="B208" s="3" t="s">
        <v>73</v>
      </c>
      <c r="C208" s="3" t="s">
        <v>74</v>
      </c>
      <c r="E208" s="3" t="str">
        <f>"009941640835"</f>
        <v>009941640835</v>
      </c>
      <c r="F208" s="4">
        <v>44566</v>
      </c>
      <c r="G208" s="3">
        <v>202207</v>
      </c>
      <c r="H208" s="3" t="s">
        <v>75</v>
      </c>
      <c r="I208" s="3" t="s">
        <v>76</v>
      </c>
      <c r="J208" s="3" t="s">
        <v>77</v>
      </c>
      <c r="K208" s="3" t="s">
        <v>78</v>
      </c>
      <c r="L208" s="3" t="s">
        <v>75</v>
      </c>
      <c r="M208" s="3" t="s">
        <v>76</v>
      </c>
      <c r="N208" s="3" t="s">
        <v>586</v>
      </c>
      <c r="O208" s="3" t="s">
        <v>82</v>
      </c>
      <c r="P208" s="3" t="str">
        <f>"..                            "</f>
        <v xml:space="preserve">..                            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12.08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15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1</v>
      </c>
      <c r="BI208" s="3">
        <v>0.5</v>
      </c>
      <c r="BJ208" s="3">
        <v>1.3</v>
      </c>
      <c r="BK208" s="3">
        <v>2</v>
      </c>
      <c r="BL208" s="3">
        <v>61.1</v>
      </c>
      <c r="BM208" s="3">
        <v>9.17</v>
      </c>
      <c r="BN208" s="3">
        <v>70.27</v>
      </c>
      <c r="BO208" s="3">
        <v>70.27</v>
      </c>
      <c r="BQ208" s="3" t="s">
        <v>587</v>
      </c>
      <c r="BR208" s="3" t="s">
        <v>84</v>
      </c>
      <c r="BS208" s="4">
        <v>44567</v>
      </c>
      <c r="BT208" s="5">
        <v>0.55347222222222225</v>
      </c>
      <c r="BU208" s="3" t="s">
        <v>588</v>
      </c>
      <c r="BV208" s="3" t="s">
        <v>88</v>
      </c>
      <c r="BW208" s="3" t="s">
        <v>155</v>
      </c>
      <c r="BX208" s="3" t="s">
        <v>510</v>
      </c>
      <c r="BY208" s="3">
        <v>6441.4</v>
      </c>
      <c r="BZ208" s="3" t="s">
        <v>133</v>
      </c>
      <c r="CA208" s="3" t="s">
        <v>589</v>
      </c>
      <c r="CC208" s="3" t="s">
        <v>76</v>
      </c>
      <c r="CD208" s="3">
        <v>1863</v>
      </c>
      <c r="CE208" s="3" t="s">
        <v>87</v>
      </c>
      <c r="CF208" s="4">
        <v>44567</v>
      </c>
      <c r="CI208" s="3">
        <v>1</v>
      </c>
      <c r="CJ208" s="3">
        <v>1</v>
      </c>
      <c r="CK208" s="3">
        <v>32</v>
      </c>
      <c r="CL208" s="3" t="s">
        <v>88</v>
      </c>
    </row>
    <row r="209" spans="1:90" x14ac:dyDescent="0.2">
      <c r="A209" s="3" t="s">
        <v>72</v>
      </c>
      <c r="B209" s="3" t="s">
        <v>73</v>
      </c>
      <c r="C209" s="3" t="s">
        <v>74</v>
      </c>
      <c r="E209" s="3" t="str">
        <f>"009941626310"</f>
        <v>009941626310</v>
      </c>
      <c r="F209" s="4">
        <v>44566</v>
      </c>
      <c r="G209" s="3">
        <v>202207</v>
      </c>
      <c r="H209" s="3" t="s">
        <v>75</v>
      </c>
      <c r="I209" s="3" t="s">
        <v>76</v>
      </c>
      <c r="J209" s="3" t="s">
        <v>77</v>
      </c>
      <c r="K209" s="3" t="s">
        <v>78</v>
      </c>
      <c r="L209" s="3" t="s">
        <v>127</v>
      </c>
      <c r="M209" s="3" t="s">
        <v>128</v>
      </c>
      <c r="N209" s="3" t="s">
        <v>514</v>
      </c>
      <c r="O209" s="3" t="s">
        <v>82</v>
      </c>
      <c r="P209" s="3" t="str">
        <f>"..                            "</f>
        <v xml:space="preserve">..                            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28.98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3">
        <v>1</v>
      </c>
      <c r="BI209" s="3">
        <v>1.6</v>
      </c>
      <c r="BJ209" s="3">
        <v>1.9</v>
      </c>
      <c r="BK209" s="3">
        <v>2</v>
      </c>
      <c r="BL209" s="3">
        <v>110.62</v>
      </c>
      <c r="BM209" s="3">
        <v>16.59</v>
      </c>
      <c r="BN209" s="3">
        <v>127.21</v>
      </c>
      <c r="BO209" s="3">
        <v>127.21</v>
      </c>
      <c r="BQ209" s="3" t="s">
        <v>590</v>
      </c>
      <c r="BR209" s="3" t="s">
        <v>591</v>
      </c>
      <c r="BS209" s="4">
        <v>44567</v>
      </c>
      <c r="BT209" s="5">
        <v>0.6069444444444444</v>
      </c>
      <c r="BU209" s="3" t="s">
        <v>458</v>
      </c>
      <c r="BV209" s="3" t="s">
        <v>88</v>
      </c>
      <c r="BW209" s="3" t="s">
        <v>138</v>
      </c>
      <c r="BX209" s="3" t="s">
        <v>459</v>
      </c>
      <c r="BY209" s="3">
        <v>9731.5</v>
      </c>
      <c r="BZ209" s="3" t="s">
        <v>86</v>
      </c>
      <c r="CA209" s="3" t="s">
        <v>331</v>
      </c>
      <c r="CC209" s="3" t="s">
        <v>128</v>
      </c>
      <c r="CD209" s="3">
        <v>3624</v>
      </c>
      <c r="CE209" s="3" t="s">
        <v>87</v>
      </c>
      <c r="CF209" s="4">
        <v>44567</v>
      </c>
      <c r="CI209" s="3">
        <v>1</v>
      </c>
      <c r="CJ209" s="3">
        <v>1</v>
      </c>
      <c r="CK209" s="3">
        <v>31</v>
      </c>
      <c r="CL209" s="3" t="s">
        <v>88</v>
      </c>
    </row>
    <row r="210" spans="1:90" x14ac:dyDescent="0.2">
      <c r="A210" s="3" t="s">
        <v>72</v>
      </c>
      <c r="B210" s="3" t="s">
        <v>73</v>
      </c>
      <c r="C210" s="3" t="s">
        <v>74</v>
      </c>
      <c r="E210" s="3" t="str">
        <f>"009941301596"</f>
        <v>009941301596</v>
      </c>
      <c r="F210" s="4">
        <v>44567</v>
      </c>
      <c r="G210" s="3">
        <v>202207</v>
      </c>
      <c r="H210" s="3" t="s">
        <v>75</v>
      </c>
      <c r="I210" s="3" t="s">
        <v>76</v>
      </c>
      <c r="J210" s="3" t="s">
        <v>232</v>
      </c>
      <c r="K210" s="3" t="s">
        <v>78</v>
      </c>
      <c r="L210" s="3" t="s">
        <v>75</v>
      </c>
      <c r="M210" s="3" t="s">
        <v>76</v>
      </c>
      <c r="N210" s="3" t="s">
        <v>109</v>
      </c>
      <c r="O210" s="3" t="s">
        <v>110</v>
      </c>
      <c r="P210" s="3" t="str">
        <f>"..                            "</f>
        <v xml:space="preserve">..                            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12.07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3">
        <v>1</v>
      </c>
      <c r="BI210" s="3">
        <v>1</v>
      </c>
      <c r="BJ210" s="3">
        <v>0.2</v>
      </c>
      <c r="BK210" s="3">
        <v>1</v>
      </c>
      <c r="BL210" s="3">
        <v>46.08</v>
      </c>
      <c r="BM210" s="3">
        <v>6.91</v>
      </c>
      <c r="BN210" s="3">
        <v>52.99</v>
      </c>
      <c r="BO210" s="3">
        <v>52.99</v>
      </c>
      <c r="BQ210" s="3" t="s">
        <v>162</v>
      </c>
      <c r="BR210" s="3" t="s">
        <v>98</v>
      </c>
      <c r="BS210" s="4">
        <v>44568</v>
      </c>
      <c r="BT210" s="5">
        <v>0.54166666666666663</v>
      </c>
      <c r="BU210" s="3" t="s">
        <v>418</v>
      </c>
      <c r="BV210" s="3" t="s">
        <v>88</v>
      </c>
      <c r="BW210" s="3" t="s">
        <v>155</v>
      </c>
      <c r="BX210" s="3" t="s">
        <v>510</v>
      </c>
      <c r="BY210" s="3">
        <v>1200</v>
      </c>
      <c r="BZ210" s="3" t="s">
        <v>114</v>
      </c>
      <c r="CA210" s="3" t="s">
        <v>511</v>
      </c>
      <c r="CC210" s="3" t="s">
        <v>76</v>
      </c>
      <c r="CD210" s="3">
        <v>2013</v>
      </c>
      <c r="CE210" s="3" t="s">
        <v>87</v>
      </c>
      <c r="CF210" s="4">
        <v>44568</v>
      </c>
      <c r="CI210" s="3">
        <v>1</v>
      </c>
      <c r="CJ210" s="3">
        <v>1</v>
      </c>
      <c r="CK210" s="3">
        <v>22</v>
      </c>
      <c r="CL210" s="3" t="s">
        <v>88</v>
      </c>
    </row>
    <row r="211" spans="1:90" x14ac:dyDescent="0.2">
      <c r="A211" s="3" t="s">
        <v>72</v>
      </c>
      <c r="B211" s="3" t="s">
        <v>73</v>
      </c>
      <c r="C211" s="3" t="s">
        <v>74</v>
      </c>
      <c r="E211" s="3" t="str">
        <f>"009941351875"</f>
        <v>009941351875</v>
      </c>
      <c r="F211" s="4">
        <v>44567</v>
      </c>
      <c r="G211" s="3">
        <v>202207</v>
      </c>
      <c r="H211" s="3" t="s">
        <v>116</v>
      </c>
      <c r="I211" s="3" t="s">
        <v>117</v>
      </c>
      <c r="J211" s="3" t="s">
        <v>109</v>
      </c>
      <c r="K211" s="3" t="s">
        <v>78</v>
      </c>
      <c r="L211" s="3" t="s">
        <v>144</v>
      </c>
      <c r="M211" s="3" t="s">
        <v>145</v>
      </c>
      <c r="N211" s="3" t="s">
        <v>109</v>
      </c>
      <c r="O211" s="3" t="s">
        <v>110</v>
      </c>
      <c r="P211" s="3" t="str">
        <f>"CHARMAINE                     "</f>
        <v xml:space="preserve">CHARMAINE                     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15.46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0</v>
      </c>
      <c r="BH211" s="3">
        <v>1</v>
      </c>
      <c r="BI211" s="3">
        <v>1</v>
      </c>
      <c r="BJ211" s="3">
        <v>1.2</v>
      </c>
      <c r="BK211" s="3">
        <v>1.5</v>
      </c>
      <c r="BL211" s="3">
        <v>59</v>
      </c>
      <c r="BM211" s="3">
        <v>8.85</v>
      </c>
      <c r="BN211" s="3">
        <v>67.849999999999994</v>
      </c>
      <c r="BO211" s="3">
        <v>67.849999999999994</v>
      </c>
      <c r="BQ211" s="3" t="s">
        <v>592</v>
      </c>
      <c r="BR211" s="3" t="s">
        <v>578</v>
      </c>
      <c r="BS211" s="4">
        <v>44571</v>
      </c>
      <c r="BT211" s="5">
        <v>0.4236111111111111</v>
      </c>
      <c r="BU211" s="3" t="s">
        <v>593</v>
      </c>
      <c r="BV211" s="3" t="s">
        <v>88</v>
      </c>
      <c r="BW211" s="3" t="s">
        <v>165</v>
      </c>
      <c r="BX211" s="3" t="s">
        <v>263</v>
      </c>
      <c r="BY211" s="3">
        <v>6000</v>
      </c>
      <c r="BZ211" s="3" t="s">
        <v>114</v>
      </c>
      <c r="CA211" s="3" t="s">
        <v>299</v>
      </c>
      <c r="CC211" s="3" t="s">
        <v>145</v>
      </c>
      <c r="CD211" s="3">
        <v>6000</v>
      </c>
      <c r="CE211" s="3" t="s">
        <v>87</v>
      </c>
      <c r="CF211" s="4">
        <v>44571</v>
      </c>
      <c r="CI211" s="3">
        <v>1</v>
      </c>
      <c r="CJ211" s="3">
        <v>2</v>
      </c>
      <c r="CK211" s="3">
        <v>21</v>
      </c>
      <c r="CL211" s="3" t="s">
        <v>88</v>
      </c>
    </row>
    <row r="212" spans="1:90" x14ac:dyDescent="0.2">
      <c r="A212" s="3" t="s">
        <v>72</v>
      </c>
      <c r="B212" s="3" t="s">
        <v>73</v>
      </c>
      <c r="C212" s="3" t="s">
        <v>74</v>
      </c>
      <c r="E212" s="3" t="str">
        <f>"009942411062"</f>
        <v>009942411062</v>
      </c>
      <c r="F212" s="4">
        <v>44567</v>
      </c>
      <c r="G212" s="3">
        <v>202207</v>
      </c>
      <c r="H212" s="3" t="s">
        <v>96</v>
      </c>
      <c r="I212" s="3" t="s">
        <v>97</v>
      </c>
      <c r="J212" s="3" t="s">
        <v>255</v>
      </c>
      <c r="K212" s="3" t="s">
        <v>78</v>
      </c>
      <c r="L212" s="3" t="s">
        <v>75</v>
      </c>
      <c r="M212" s="3" t="s">
        <v>76</v>
      </c>
      <c r="N212" s="3" t="s">
        <v>118</v>
      </c>
      <c r="O212" s="3" t="s">
        <v>110</v>
      </c>
      <c r="P212" s="3" t="str">
        <f>"NA                            "</f>
        <v xml:space="preserve">NA                            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15.46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0</v>
      </c>
      <c r="BG212" s="3">
        <v>0</v>
      </c>
      <c r="BH212" s="3">
        <v>1</v>
      </c>
      <c r="BI212" s="3">
        <v>0.1</v>
      </c>
      <c r="BJ212" s="3">
        <v>1.7</v>
      </c>
      <c r="BK212" s="3">
        <v>2</v>
      </c>
      <c r="BL212" s="3">
        <v>59</v>
      </c>
      <c r="BM212" s="3">
        <v>8.85</v>
      </c>
      <c r="BN212" s="3">
        <v>67.849999999999994</v>
      </c>
      <c r="BO212" s="3">
        <v>67.849999999999994</v>
      </c>
      <c r="BQ212" s="3" t="s">
        <v>306</v>
      </c>
      <c r="BR212" s="3" t="s">
        <v>594</v>
      </c>
      <c r="BS212" s="4">
        <v>44568</v>
      </c>
      <c r="BT212" s="5">
        <v>0.54236111111111118</v>
      </c>
      <c r="BU212" s="3" t="s">
        <v>418</v>
      </c>
      <c r="BV212" s="3" t="s">
        <v>88</v>
      </c>
      <c r="BW212" s="3" t="s">
        <v>155</v>
      </c>
      <c r="BX212" s="3" t="s">
        <v>510</v>
      </c>
      <c r="BY212" s="3">
        <v>8555.7000000000007</v>
      </c>
      <c r="BZ212" s="3" t="s">
        <v>114</v>
      </c>
      <c r="CA212" s="3" t="s">
        <v>511</v>
      </c>
      <c r="CC212" s="3" t="s">
        <v>76</v>
      </c>
      <c r="CD212" s="3">
        <v>2016</v>
      </c>
      <c r="CE212" s="3" t="s">
        <v>87</v>
      </c>
      <c r="CF212" s="4">
        <v>44568</v>
      </c>
      <c r="CI212" s="3">
        <v>1</v>
      </c>
      <c r="CJ212" s="3">
        <v>1</v>
      </c>
      <c r="CK212" s="3">
        <v>21</v>
      </c>
      <c r="CL212" s="3" t="s">
        <v>88</v>
      </c>
    </row>
    <row r="213" spans="1:90" x14ac:dyDescent="0.2">
      <c r="A213" s="3" t="s">
        <v>72</v>
      </c>
      <c r="B213" s="3" t="s">
        <v>73</v>
      </c>
      <c r="C213" s="3" t="s">
        <v>74</v>
      </c>
      <c r="E213" s="3" t="str">
        <f>"009942061973"</f>
        <v>009942061973</v>
      </c>
      <c r="F213" s="4">
        <v>44565</v>
      </c>
      <c r="G213" s="3">
        <v>202207</v>
      </c>
      <c r="H213" s="3" t="s">
        <v>144</v>
      </c>
      <c r="I213" s="3" t="s">
        <v>145</v>
      </c>
      <c r="J213" s="3" t="s">
        <v>370</v>
      </c>
      <c r="K213" s="3" t="s">
        <v>78</v>
      </c>
      <c r="L213" s="3" t="s">
        <v>75</v>
      </c>
      <c r="M213" s="3" t="s">
        <v>76</v>
      </c>
      <c r="N213" s="3" t="s">
        <v>118</v>
      </c>
      <c r="O213" s="3" t="s">
        <v>110</v>
      </c>
      <c r="P213" s="3" t="str">
        <f>"                              "</f>
        <v xml:space="preserve">                              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16.98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0</v>
      </c>
      <c r="BF213" s="3">
        <v>0</v>
      </c>
      <c r="BG213" s="3">
        <v>0</v>
      </c>
      <c r="BH213" s="3">
        <v>1</v>
      </c>
      <c r="BI213" s="3">
        <v>1</v>
      </c>
      <c r="BJ213" s="3">
        <v>0.2</v>
      </c>
      <c r="BK213" s="3">
        <v>1</v>
      </c>
      <c r="BL213" s="3">
        <v>60.52</v>
      </c>
      <c r="BM213" s="3">
        <v>9.08</v>
      </c>
      <c r="BN213" s="3">
        <v>69.599999999999994</v>
      </c>
      <c r="BO213" s="3">
        <v>69.599999999999994</v>
      </c>
      <c r="BQ213" s="3" t="s">
        <v>147</v>
      </c>
      <c r="BR213" s="3" t="s">
        <v>148</v>
      </c>
      <c r="BS213" s="4">
        <v>44566</v>
      </c>
      <c r="BT213" s="5">
        <v>0.44722222222222219</v>
      </c>
      <c r="BU213" s="3" t="s">
        <v>418</v>
      </c>
      <c r="BV213" s="3" t="s">
        <v>88</v>
      </c>
      <c r="BW213" s="3" t="s">
        <v>138</v>
      </c>
      <c r="BX213" s="3" t="s">
        <v>139</v>
      </c>
      <c r="BY213" s="3">
        <v>1200</v>
      </c>
      <c r="BZ213" s="3" t="s">
        <v>114</v>
      </c>
      <c r="CC213" s="3" t="s">
        <v>76</v>
      </c>
      <c r="CD213" s="3">
        <v>2013</v>
      </c>
      <c r="CE213" s="3" t="s">
        <v>87</v>
      </c>
      <c r="CF213" s="4">
        <v>44567</v>
      </c>
      <c r="CI213" s="3">
        <v>1</v>
      </c>
      <c r="CJ213" s="3">
        <v>1</v>
      </c>
      <c r="CK213" s="3">
        <v>21</v>
      </c>
      <c r="CL213" s="3" t="s">
        <v>88</v>
      </c>
    </row>
    <row r="214" spans="1:90" x14ac:dyDescent="0.2">
      <c r="A214" s="3" t="s">
        <v>72</v>
      </c>
      <c r="B214" s="3" t="s">
        <v>73</v>
      </c>
      <c r="C214" s="3" t="s">
        <v>74</v>
      </c>
      <c r="E214" s="3" t="str">
        <f>"009941301723"</f>
        <v>009941301723</v>
      </c>
      <c r="F214" s="4">
        <v>44566</v>
      </c>
      <c r="G214" s="3">
        <v>202207</v>
      </c>
      <c r="H214" s="3" t="s">
        <v>318</v>
      </c>
      <c r="I214" s="3" t="s">
        <v>319</v>
      </c>
      <c r="J214" s="3" t="s">
        <v>320</v>
      </c>
      <c r="K214" s="3" t="s">
        <v>78</v>
      </c>
      <c r="L214" s="3" t="s">
        <v>75</v>
      </c>
      <c r="M214" s="3" t="s">
        <v>76</v>
      </c>
      <c r="N214" s="3" t="s">
        <v>460</v>
      </c>
      <c r="O214" s="3" t="s">
        <v>110</v>
      </c>
      <c r="P214" s="3" t="str">
        <f>"NA                            "</f>
        <v xml:space="preserve">NA                            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12.07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0</v>
      </c>
      <c r="BC214" s="3">
        <v>0</v>
      </c>
      <c r="BD214" s="3">
        <v>0</v>
      </c>
      <c r="BE214" s="3">
        <v>0</v>
      </c>
      <c r="BF214" s="3">
        <v>0</v>
      </c>
      <c r="BG214" s="3">
        <v>0</v>
      </c>
      <c r="BH214" s="3">
        <v>1</v>
      </c>
      <c r="BI214" s="3">
        <v>1</v>
      </c>
      <c r="BJ214" s="3">
        <v>0.2</v>
      </c>
      <c r="BK214" s="3">
        <v>1</v>
      </c>
      <c r="BL214" s="3">
        <v>46.08</v>
      </c>
      <c r="BM214" s="3">
        <v>6.91</v>
      </c>
      <c r="BN214" s="3">
        <v>52.99</v>
      </c>
      <c r="BO214" s="3">
        <v>52.99</v>
      </c>
      <c r="BQ214" s="3" t="s">
        <v>162</v>
      </c>
      <c r="BR214" s="3" t="s">
        <v>409</v>
      </c>
      <c r="BS214" s="4">
        <v>44567</v>
      </c>
      <c r="BT214" s="5">
        <v>0.64027777777777783</v>
      </c>
      <c r="BU214" s="3" t="s">
        <v>418</v>
      </c>
      <c r="BV214" s="3" t="s">
        <v>88</v>
      </c>
      <c r="BW214" s="3" t="s">
        <v>138</v>
      </c>
      <c r="BX214" s="3" t="s">
        <v>139</v>
      </c>
      <c r="BY214" s="3">
        <v>1200</v>
      </c>
      <c r="BZ214" s="3" t="s">
        <v>114</v>
      </c>
      <c r="CA214" s="3" t="s">
        <v>511</v>
      </c>
      <c r="CC214" s="3" t="s">
        <v>76</v>
      </c>
      <c r="CD214" s="3">
        <v>2013</v>
      </c>
      <c r="CE214" s="3" t="s">
        <v>87</v>
      </c>
      <c r="CF214" s="4">
        <v>44568</v>
      </c>
      <c r="CI214" s="3">
        <v>1</v>
      </c>
      <c r="CJ214" s="3">
        <v>1</v>
      </c>
      <c r="CK214" s="3">
        <v>22</v>
      </c>
      <c r="CL214" s="3" t="s">
        <v>88</v>
      </c>
    </row>
    <row r="215" spans="1:90" x14ac:dyDescent="0.2">
      <c r="A215" s="3" t="s">
        <v>72</v>
      </c>
      <c r="B215" s="3" t="s">
        <v>73</v>
      </c>
      <c r="C215" s="3" t="s">
        <v>74</v>
      </c>
      <c r="E215" s="3" t="str">
        <f>"009942212868"</f>
        <v>009942212868</v>
      </c>
      <c r="F215" s="4">
        <v>44564</v>
      </c>
      <c r="G215" s="3">
        <v>202207</v>
      </c>
      <c r="H215" s="3" t="s">
        <v>96</v>
      </c>
      <c r="I215" s="3" t="s">
        <v>97</v>
      </c>
      <c r="J215" s="3" t="s">
        <v>123</v>
      </c>
      <c r="K215" s="3" t="s">
        <v>78</v>
      </c>
      <c r="L215" s="3" t="s">
        <v>75</v>
      </c>
      <c r="M215" s="3" t="s">
        <v>76</v>
      </c>
      <c r="N215" s="3" t="s">
        <v>109</v>
      </c>
      <c r="O215" s="3" t="s">
        <v>110</v>
      </c>
      <c r="P215" s="3" t="str">
        <f>"CPT2112640016                 "</f>
        <v xml:space="preserve">CPT2112640016                 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16.98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0</v>
      </c>
      <c r="BG215" s="3">
        <v>0</v>
      </c>
      <c r="BH215" s="3">
        <v>1</v>
      </c>
      <c r="BI215" s="3">
        <v>0.5</v>
      </c>
      <c r="BJ215" s="3">
        <v>1.6</v>
      </c>
      <c r="BK215" s="3">
        <v>2</v>
      </c>
      <c r="BL215" s="3">
        <v>60.52</v>
      </c>
      <c r="BM215" s="3">
        <v>9.08</v>
      </c>
      <c r="BN215" s="3">
        <v>69.599999999999994</v>
      </c>
      <c r="BO215" s="3">
        <v>69.599999999999994</v>
      </c>
      <c r="BQ215" s="3" t="s">
        <v>306</v>
      </c>
      <c r="BR215" s="3" t="s">
        <v>595</v>
      </c>
      <c r="BS215" s="4">
        <v>44565</v>
      </c>
      <c r="BT215" s="5">
        <v>0.59583333333333333</v>
      </c>
      <c r="BU215" s="3" t="s">
        <v>418</v>
      </c>
      <c r="BV215" s="3" t="s">
        <v>88</v>
      </c>
      <c r="BW215" s="3" t="s">
        <v>155</v>
      </c>
      <c r="BX215" s="3" t="s">
        <v>400</v>
      </c>
      <c r="BY215" s="3">
        <v>7926.08</v>
      </c>
      <c r="BZ215" s="3" t="s">
        <v>114</v>
      </c>
      <c r="CA215" s="3" t="s">
        <v>511</v>
      </c>
      <c r="CC215" s="3" t="s">
        <v>76</v>
      </c>
      <c r="CD215" s="3">
        <v>2016</v>
      </c>
      <c r="CE215" s="3" t="s">
        <v>87</v>
      </c>
      <c r="CF215" s="4">
        <v>44565</v>
      </c>
      <c r="CI215" s="3">
        <v>1</v>
      </c>
      <c r="CJ215" s="3">
        <v>1</v>
      </c>
      <c r="CK215" s="3">
        <v>21</v>
      </c>
      <c r="CL215" s="3" t="s">
        <v>88</v>
      </c>
    </row>
    <row r="216" spans="1:90" x14ac:dyDescent="0.2">
      <c r="A216" s="3" t="s">
        <v>72</v>
      </c>
      <c r="B216" s="3" t="s">
        <v>73</v>
      </c>
      <c r="C216" s="3" t="s">
        <v>74</v>
      </c>
      <c r="E216" s="3" t="str">
        <f>"009941640832"</f>
        <v>009941640832</v>
      </c>
      <c r="F216" s="4">
        <v>44566</v>
      </c>
      <c r="G216" s="3">
        <v>202207</v>
      </c>
      <c r="H216" s="3" t="s">
        <v>75</v>
      </c>
      <c r="I216" s="3" t="s">
        <v>76</v>
      </c>
      <c r="J216" s="3" t="s">
        <v>77</v>
      </c>
      <c r="K216" s="3" t="s">
        <v>78</v>
      </c>
      <c r="L216" s="3" t="s">
        <v>172</v>
      </c>
      <c r="M216" s="3" t="s">
        <v>173</v>
      </c>
      <c r="N216" s="3" t="s">
        <v>514</v>
      </c>
      <c r="O216" s="3" t="s">
        <v>82</v>
      </c>
      <c r="P216" s="3" t="str">
        <f>"..                            "</f>
        <v xml:space="preserve">..                            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12.08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0</v>
      </c>
      <c r="BG216" s="3">
        <v>0</v>
      </c>
      <c r="BH216" s="3">
        <v>1</v>
      </c>
      <c r="BI216" s="3">
        <v>2</v>
      </c>
      <c r="BJ216" s="3">
        <v>7.3</v>
      </c>
      <c r="BK216" s="3">
        <v>8</v>
      </c>
      <c r="BL216" s="3">
        <v>46.1</v>
      </c>
      <c r="BM216" s="3">
        <v>6.92</v>
      </c>
      <c r="BN216" s="3">
        <v>53.02</v>
      </c>
      <c r="BO216" s="3">
        <v>53.02</v>
      </c>
      <c r="BQ216" s="3" t="s">
        <v>596</v>
      </c>
      <c r="BR216" s="3" t="s">
        <v>84</v>
      </c>
      <c r="BS216" s="4">
        <v>44567</v>
      </c>
      <c r="BT216" s="5">
        <v>0.4201388888888889</v>
      </c>
      <c r="BU216" s="3" t="s">
        <v>597</v>
      </c>
      <c r="BV216" s="3" t="s">
        <v>94</v>
      </c>
      <c r="BY216" s="3">
        <v>36685.58</v>
      </c>
      <c r="BZ216" s="3" t="s">
        <v>86</v>
      </c>
      <c r="CA216" s="3" t="s">
        <v>284</v>
      </c>
      <c r="CC216" s="3" t="s">
        <v>173</v>
      </c>
      <c r="CD216" s="3">
        <v>1459</v>
      </c>
      <c r="CE216" s="3" t="s">
        <v>87</v>
      </c>
      <c r="CF216" s="4">
        <v>44568</v>
      </c>
      <c r="CI216" s="3">
        <v>1</v>
      </c>
      <c r="CJ216" s="3">
        <v>1</v>
      </c>
      <c r="CK216" s="3">
        <v>32</v>
      </c>
      <c r="CL216" s="3" t="s">
        <v>88</v>
      </c>
    </row>
    <row r="217" spans="1:90" x14ac:dyDescent="0.2">
      <c r="A217" s="3" t="s">
        <v>72</v>
      </c>
      <c r="B217" s="3" t="s">
        <v>73</v>
      </c>
      <c r="C217" s="3" t="s">
        <v>74</v>
      </c>
      <c r="E217" s="3" t="str">
        <f>"009941301738"</f>
        <v>009941301738</v>
      </c>
      <c r="F217" s="4">
        <v>44565</v>
      </c>
      <c r="G217" s="3">
        <v>202207</v>
      </c>
      <c r="H217" s="3" t="s">
        <v>104</v>
      </c>
      <c r="I217" s="3" t="s">
        <v>105</v>
      </c>
      <c r="J217" s="3" t="s">
        <v>294</v>
      </c>
      <c r="K217" s="3" t="s">
        <v>78</v>
      </c>
      <c r="L217" s="3" t="s">
        <v>75</v>
      </c>
      <c r="M217" s="3" t="s">
        <v>76</v>
      </c>
      <c r="N217" s="3" t="s">
        <v>109</v>
      </c>
      <c r="O217" s="3" t="s">
        <v>110</v>
      </c>
      <c r="P217" s="3" t="str">
        <f>"NOREF                         "</f>
        <v xml:space="preserve">NOREF                         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16.98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0</v>
      </c>
      <c r="BG217" s="3">
        <v>0</v>
      </c>
      <c r="BH217" s="3">
        <v>1</v>
      </c>
      <c r="BI217" s="3">
        <v>1</v>
      </c>
      <c r="BJ217" s="3">
        <v>0.2</v>
      </c>
      <c r="BK217" s="3">
        <v>1</v>
      </c>
      <c r="BL217" s="3">
        <v>60.52</v>
      </c>
      <c r="BM217" s="3">
        <v>9.08</v>
      </c>
      <c r="BN217" s="3">
        <v>69.599999999999994</v>
      </c>
      <c r="BO217" s="3">
        <v>69.599999999999994</v>
      </c>
      <c r="BQ217" s="3" t="s">
        <v>162</v>
      </c>
      <c r="BR217" s="3" t="s">
        <v>135</v>
      </c>
      <c r="BS217" s="4">
        <v>44566</v>
      </c>
      <c r="BT217" s="5">
        <v>0.44791666666666669</v>
      </c>
      <c r="BU217" s="3" t="s">
        <v>418</v>
      </c>
      <c r="BV217" s="3" t="s">
        <v>88</v>
      </c>
      <c r="BW217" s="3" t="s">
        <v>138</v>
      </c>
      <c r="BX217" s="3" t="s">
        <v>139</v>
      </c>
      <c r="BY217" s="3">
        <v>1200</v>
      </c>
      <c r="BZ217" s="3" t="s">
        <v>114</v>
      </c>
      <c r="CC217" s="3" t="s">
        <v>76</v>
      </c>
      <c r="CD217" s="3">
        <v>2013</v>
      </c>
      <c r="CE217" s="3" t="s">
        <v>87</v>
      </c>
      <c r="CF217" s="4">
        <v>44567</v>
      </c>
      <c r="CI217" s="3">
        <v>1</v>
      </c>
      <c r="CJ217" s="3">
        <v>1</v>
      </c>
      <c r="CK217" s="3">
        <v>21</v>
      </c>
      <c r="CL217" s="3" t="s">
        <v>88</v>
      </c>
    </row>
    <row r="218" spans="1:90" x14ac:dyDescent="0.2">
      <c r="A218" s="3" t="s">
        <v>72</v>
      </c>
      <c r="B218" s="3" t="s">
        <v>73</v>
      </c>
      <c r="C218" s="3" t="s">
        <v>74</v>
      </c>
      <c r="E218" s="3" t="str">
        <f>"009941507294"</f>
        <v>009941507294</v>
      </c>
      <c r="F218" s="4">
        <v>44566</v>
      </c>
      <c r="G218" s="3">
        <v>202207</v>
      </c>
      <c r="H218" s="3" t="s">
        <v>116</v>
      </c>
      <c r="I218" s="3" t="s">
        <v>117</v>
      </c>
      <c r="J218" s="3" t="s">
        <v>109</v>
      </c>
      <c r="K218" s="3" t="s">
        <v>78</v>
      </c>
      <c r="L218" s="3" t="s">
        <v>75</v>
      </c>
      <c r="M218" s="3" t="s">
        <v>76</v>
      </c>
      <c r="N218" s="3" t="s">
        <v>109</v>
      </c>
      <c r="O218" s="3" t="s">
        <v>110</v>
      </c>
      <c r="P218" s="3" t="str">
        <f>"                              "</f>
        <v xml:space="preserve">                              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15.46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3">
        <v>0</v>
      </c>
      <c r="BH218" s="3">
        <v>1</v>
      </c>
      <c r="BI218" s="3">
        <v>1</v>
      </c>
      <c r="BJ218" s="3">
        <v>0.2</v>
      </c>
      <c r="BK218" s="3">
        <v>1</v>
      </c>
      <c r="BL218" s="3">
        <v>59</v>
      </c>
      <c r="BM218" s="3">
        <v>8.85</v>
      </c>
      <c r="BN218" s="3">
        <v>67.849999999999994</v>
      </c>
      <c r="BO218" s="3">
        <v>67.849999999999994</v>
      </c>
      <c r="BR218" s="3" t="s">
        <v>598</v>
      </c>
      <c r="BS218" s="4">
        <v>44567</v>
      </c>
      <c r="BT218" s="5">
        <v>0.64097222222222217</v>
      </c>
      <c r="BU218" s="3" t="s">
        <v>418</v>
      </c>
      <c r="BV218" s="3" t="s">
        <v>88</v>
      </c>
      <c r="BW218" s="3" t="s">
        <v>138</v>
      </c>
      <c r="BX218" s="3" t="s">
        <v>139</v>
      </c>
      <c r="BY218" s="3">
        <v>1200</v>
      </c>
      <c r="BZ218" s="3" t="s">
        <v>114</v>
      </c>
      <c r="CA218" s="3" t="s">
        <v>511</v>
      </c>
      <c r="CC218" s="3" t="s">
        <v>76</v>
      </c>
      <c r="CD218" s="3">
        <v>2190</v>
      </c>
      <c r="CE218" s="3" t="s">
        <v>87</v>
      </c>
      <c r="CF218" s="4">
        <v>44568</v>
      </c>
      <c r="CI218" s="3">
        <v>1</v>
      </c>
      <c r="CJ218" s="3">
        <v>1</v>
      </c>
      <c r="CK218" s="3">
        <v>21</v>
      </c>
      <c r="CL218" s="3" t="s">
        <v>88</v>
      </c>
    </row>
    <row r="219" spans="1:90" x14ac:dyDescent="0.2">
      <c r="A219" s="3" t="s">
        <v>72</v>
      </c>
      <c r="B219" s="3" t="s">
        <v>73</v>
      </c>
      <c r="C219" s="3" t="s">
        <v>74</v>
      </c>
      <c r="E219" s="3" t="str">
        <f>"009942456521"</f>
        <v>009942456521</v>
      </c>
      <c r="F219" s="4">
        <v>44564</v>
      </c>
      <c r="G219" s="3">
        <v>202207</v>
      </c>
      <c r="H219" s="3" t="s">
        <v>75</v>
      </c>
      <c r="I219" s="3" t="s">
        <v>76</v>
      </c>
      <c r="J219" s="3" t="s">
        <v>123</v>
      </c>
      <c r="K219" s="3" t="s">
        <v>78</v>
      </c>
      <c r="L219" s="3" t="s">
        <v>75</v>
      </c>
      <c r="M219" s="3" t="s">
        <v>76</v>
      </c>
      <c r="N219" s="3" t="s">
        <v>109</v>
      </c>
      <c r="O219" s="3" t="s">
        <v>110</v>
      </c>
      <c r="P219" s="3" t="str">
        <f>"..                            "</f>
        <v xml:space="preserve">..                            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13.26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3">
        <v>0</v>
      </c>
      <c r="BH219" s="3">
        <v>1</v>
      </c>
      <c r="BI219" s="3">
        <v>1</v>
      </c>
      <c r="BJ219" s="3">
        <v>0.2</v>
      </c>
      <c r="BK219" s="3">
        <v>1</v>
      </c>
      <c r="BL219" s="3">
        <v>47.27</v>
      </c>
      <c r="BM219" s="3">
        <v>7.09</v>
      </c>
      <c r="BN219" s="3">
        <v>54.36</v>
      </c>
      <c r="BO219" s="3">
        <v>54.36</v>
      </c>
      <c r="BQ219" s="3" t="s">
        <v>175</v>
      </c>
      <c r="BR219" s="3" t="s">
        <v>137</v>
      </c>
      <c r="BS219" s="4">
        <v>44565</v>
      </c>
      <c r="BT219" s="5">
        <v>0.59652777777777777</v>
      </c>
      <c r="BU219" s="3" t="s">
        <v>418</v>
      </c>
      <c r="BV219" s="3" t="s">
        <v>88</v>
      </c>
      <c r="BW219" s="3" t="s">
        <v>155</v>
      </c>
      <c r="BX219" s="3" t="s">
        <v>400</v>
      </c>
      <c r="BY219" s="3">
        <v>1200</v>
      </c>
      <c r="BZ219" s="3" t="s">
        <v>114</v>
      </c>
      <c r="CA219" s="3" t="s">
        <v>511</v>
      </c>
      <c r="CC219" s="3" t="s">
        <v>76</v>
      </c>
      <c r="CD219" s="3">
        <v>2013</v>
      </c>
      <c r="CE219" s="3" t="s">
        <v>87</v>
      </c>
      <c r="CF219" s="4">
        <v>44565</v>
      </c>
      <c r="CI219" s="3">
        <v>1</v>
      </c>
      <c r="CJ219" s="3">
        <v>1</v>
      </c>
      <c r="CK219" s="3">
        <v>22</v>
      </c>
      <c r="CL219" s="3" t="s">
        <v>88</v>
      </c>
    </row>
    <row r="220" spans="1:90" x14ac:dyDescent="0.2">
      <c r="A220" s="3" t="s">
        <v>72</v>
      </c>
      <c r="B220" s="3" t="s">
        <v>73</v>
      </c>
      <c r="C220" s="3" t="s">
        <v>74</v>
      </c>
      <c r="E220" s="3" t="str">
        <f>"009941300003"</f>
        <v>009941300003</v>
      </c>
      <c r="F220" s="4">
        <v>44566</v>
      </c>
      <c r="G220" s="3">
        <v>202207</v>
      </c>
      <c r="H220" s="3" t="s">
        <v>224</v>
      </c>
      <c r="I220" s="3" t="s">
        <v>225</v>
      </c>
      <c r="J220" s="3" t="s">
        <v>226</v>
      </c>
      <c r="K220" s="3" t="s">
        <v>78</v>
      </c>
      <c r="L220" s="3" t="s">
        <v>75</v>
      </c>
      <c r="M220" s="3" t="s">
        <v>76</v>
      </c>
      <c r="N220" s="3" t="s">
        <v>109</v>
      </c>
      <c r="O220" s="3" t="s">
        <v>130</v>
      </c>
      <c r="P220" s="3" t="str">
        <f>"..                            "</f>
        <v xml:space="preserve">..                            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23.06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3">
        <v>0</v>
      </c>
      <c r="BH220" s="3">
        <v>1</v>
      </c>
      <c r="BI220" s="3">
        <v>1</v>
      </c>
      <c r="BJ220" s="3">
        <v>0.2</v>
      </c>
      <c r="BK220" s="3">
        <v>1</v>
      </c>
      <c r="BL220" s="3">
        <v>93.28</v>
      </c>
      <c r="BM220" s="3">
        <v>13.99</v>
      </c>
      <c r="BN220" s="3">
        <v>107.27</v>
      </c>
      <c r="BO220" s="3">
        <v>107.27</v>
      </c>
      <c r="BQ220" s="3" t="s">
        <v>162</v>
      </c>
      <c r="BR220" s="3" t="s">
        <v>175</v>
      </c>
      <c r="BS220" s="4">
        <v>44567</v>
      </c>
      <c r="BT220" s="5">
        <v>0.6430555555555556</v>
      </c>
      <c r="BU220" s="3" t="s">
        <v>418</v>
      </c>
      <c r="BV220" s="3" t="s">
        <v>94</v>
      </c>
      <c r="BY220" s="3">
        <v>1200</v>
      </c>
      <c r="BZ220" s="3" t="s">
        <v>86</v>
      </c>
      <c r="CA220" s="3" t="s">
        <v>511</v>
      </c>
      <c r="CC220" s="3" t="s">
        <v>76</v>
      </c>
      <c r="CD220" s="3">
        <v>2013</v>
      </c>
      <c r="CE220" s="3" t="s">
        <v>87</v>
      </c>
      <c r="CF220" s="4">
        <v>44568</v>
      </c>
      <c r="CI220" s="3">
        <v>1</v>
      </c>
      <c r="CJ220" s="3">
        <v>1</v>
      </c>
      <c r="CK220" s="3">
        <v>42</v>
      </c>
      <c r="CL220" s="3" t="s">
        <v>88</v>
      </c>
    </row>
    <row r="221" spans="1:90" x14ac:dyDescent="0.2">
      <c r="A221" s="3" t="s">
        <v>72</v>
      </c>
      <c r="B221" s="3" t="s">
        <v>73</v>
      </c>
      <c r="C221" s="3" t="s">
        <v>74</v>
      </c>
      <c r="E221" s="3" t="str">
        <f>"009941301446"</f>
        <v>009941301446</v>
      </c>
      <c r="F221" s="4">
        <v>44565</v>
      </c>
      <c r="G221" s="3">
        <v>202207</v>
      </c>
      <c r="H221" s="3" t="s">
        <v>75</v>
      </c>
      <c r="I221" s="3" t="s">
        <v>76</v>
      </c>
      <c r="J221" s="3" t="s">
        <v>239</v>
      </c>
      <c r="K221" s="3" t="s">
        <v>78</v>
      </c>
      <c r="L221" s="3" t="s">
        <v>75</v>
      </c>
      <c r="M221" s="3" t="s">
        <v>76</v>
      </c>
      <c r="N221" s="3" t="s">
        <v>109</v>
      </c>
      <c r="O221" s="3" t="s">
        <v>130</v>
      </c>
      <c r="P221" s="3" t="str">
        <f>"..                            "</f>
        <v xml:space="preserve">..                            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25.34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0</v>
      </c>
      <c r="BG221" s="3">
        <v>0</v>
      </c>
      <c r="BH221" s="3">
        <v>1</v>
      </c>
      <c r="BI221" s="3">
        <v>1</v>
      </c>
      <c r="BJ221" s="3">
        <v>0.2</v>
      </c>
      <c r="BK221" s="3">
        <v>1</v>
      </c>
      <c r="BL221" s="3">
        <v>95.56</v>
      </c>
      <c r="BM221" s="3">
        <v>14.33</v>
      </c>
      <c r="BN221" s="3">
        <v>109.89</v>
      </c>
      <c r="BO221" s="3">
        <v>109.89</v>
      </c>
      <c r="BQ221" s="3" t="s">
        <v>162</v>
      </c>
      <c r="BR221" s="3" t="s">
        <v>175</v>
      </c>
      <c r="BS221" s="4">
        <v>44566</v>
      </c>
      <c r="BT221" s="5">
        <v>0.44444444444444442</v>
      </c>
      <c r="BU221" s="3" t="s">
        <v>418</v>
      </c>
      <c r="BV221" s="3" t="s">
        <v>94</v>
      </c>
      <c r="BY221" s="3">
        <v>1200</v>
      </c>
      <c r="BZ221" s="3" t="s">
        <v>86</v>
      </c>
      <c r="CC221" s="3" t="s">
        <v>76</v>
      </c>
      <c r="CD221" s="3">
        <v>2013</v>
      </c>
      <c r="CE221" s="3" t="s">
        <v>87</v>
      </c>
      <c r="CF221" s="4">
        <v>44567</v>
      </c>
      <c r="CI221" s="3">
        <v>1</v>
      </c>
      <c r="CJ221" s="3">
        <v>1</v>
      </c>
      <c r="CK221" s="3">
        <v>42</v>
      </c>
      <c r="CL221" s="3" t="s">
        <v>88</v>
      </c>
    </row>
    <row r="222" spans="1:90" x14ac:dyDescent="0.2">
      <c r="A222" s="3" t="s">
        <v>72</v>
      </c>
      <c r="B222" s="3" t="s">
        <v>73</v>
      </c>
      <c r="C222" s="3" t="s">
        <v>74</v>
      </c>
      <c r="E222" s="3" t="str">
        <f>"009941301445"</f>
        <v>009941301445</v>
      </c>
      <c r="F222" s="4">
        <v>44565</v>
      </c>
      <c r="G222" s="3">
        <v>202207</v>
      </c>
      <c r="H222" s="3" t="s">
        <v>75</v>
      </c>
      <c r="I222" s="3" t="s">
        <v>76</v>
      </c>
      <c r="J222" s="3" t="s">
        <v>239</v>
      </c>
      <c r="K222" s="3" t="s">
        <v>78</v>
      </c>
      <c r="L222" s="3" t="s">
        <v>75</v>
      </c>
      <c r="M222" s="3" t="s">
        <v>76</v>
      </c>
      <c r="N222" s="3" t="s">
        <v>109</v>
      </c>
      <c r="O222" s="3" t="s">
        <v>130</v>
      </c>
      <c r="P222" s="3" t="str">
        <f>"..                            "</f>
        <v xml:space="preserve">..                            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25.34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v>0</v>
      </c>
      <c r="BE222" s="3">
        <v>0</v>
      </c>
      <c r="BF222" s="3">
        <v>0</v>
      </c>
      <c r="BG222" s="3">
        <v>0</v>
      </c>
      <c r="BH222" s="3">
        <v>1</v>
      </c>
      <c r="BI222" s="3">
        <v>1</v>
      </c>
      <c r="BJ222" s="3">
        <v>7</v>
      </c>
      <c r="BK222" s="3">
        <v>7</v>
      </c>
      <c r="BL222" s="3">
        <v>95.56</v>
      </c>
      <c r="BM222" s="3">
        <v>14.33</v>
      </c>
      <c r="BN222" s="3">
        <v>109.89</v>
      </c>
      <c r="BO222" s="3">
        <v>109.89</v>
      </c>
      <c r="BQ222" s="3" t="s">
        <v>162</v>
      </c>
      <c r="BR222" s="3" t="s">
        <v>175</v>
      </c>
      <c r="BS222" s="4">
        <v>44566</v>
      </c>
      <c r="BT222" s="5">
        <v>0.44791666666666669</v>
      </c>
      <c r="BU222" s="3" t="s">
        <v>418</v>
      </c>
      <c r="BV222" s="3" t="s">
        <v>94</v>
      </c>
      <c r="BY222" s="3">
        <v>35000</v>
      </c>
      <c r="BZ222" s="3" t="s">
        <v>86</v>
      </c>
      <c r="CC222" s="3" t="s">
        <v>76</v>
      </c>
      <c r="CD222" s="3">
        <v>2013</v>
      </c>
      <c r="CE222" s="3" t="s">
        <v>87</v>
      </c>
      <c r="CF222" s="4">
        <v>44567</v>
      </c>
      <c r="CI222" s="3">
        <v>1</v>
      </c>
      <c r="CJ222" s="3">
        <v>1</v>
      </c>
      <c r="CK222" s="3">
        <v>42</v>
      </c>
      <c r="CL222" s="3" t="s">
        <v>88</v>
      </c>
    </row>
    <row r="223" spans="1:90" x14ac:dyDescent="0.2">
      <c r="A223" s="3" t="s">
        <v>72</v>
      </c>
      <c r="B223" s="3" t="s">
        <v>73</v>
      </c>
      <c r="C223" s="3" t="s">
        <v>74</v>
      </c>
      <c r="E223" s="3" t="str">
        <f>"009940941860"</f>
        <v>009940941860</v>
      </c>
      <c r="F223" s="4">
        <v>44565</v>
      </c>
      <c r="G223" s="3">
        <v>202207</v>
      </c>
      <c r="H223" s="3" t="s">
        <v>183</v>
      </c>
      <c r="I223" s="3" t="s">
        <v>184</v>
      </c>
      <c r="J223" s="3" t="s">
        <v>265</v>
      </c>
      <c r="K223" s="3" t="s">
        <v>78</v>
      </c>
      <c r="L223" s="3" t="s">
        <v>75</v>
      </c>
      <c r="M223" s="3" t="s">
        <v>76</v>
      </c>
      <c r="N223" s="3" t="s">
        <v>445</v>
      </c>
      <c r="O223" s="3" t="s">
        <v>130</v>
      </c>
      <c r="P223" s="3" t="str">
        <f>"                              "</f>
        <v xml:space="preserve">                              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46.31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0</v>
      </c>
      <c r="BG223" s="3">
        <v>0</v>
      </c>
      <c r="BH223" s="3">
        <v>1</v>
      </c>
      <c r="BI223" s="3">
        <v>1</v>
      </c>
      <c r="BJ223" s="3">
        <v>0.2</v>
      </c>
      <c r="BK223" s="3">
        <v>1</v>
      </c>
      <c r="BL223" s="3">
        <v>170.31</v>
      </c>
      <c r="BM223" s="3">
        <v>25.55</v>
      </c>
      <c r="BN223" s="3">
        <v>195.86</v>
      </c>
      <c r="BO223" s="3">
        <v>195.86</v>
      </c>
      <c r="BQ223" s="3" t="s">
        <v>357</v>
      </c>
      <c r="BR223" s="3" t="s">
        <v>186</v>
      </c>
      <c r="BS223" s="4">
        <v>44566</v>
      </c>
      <c r="BT223" s="5">
        <v>0.4465277777777778</v>
      </c>
      <c r="BU223" s="3" t="s">
        <v>418</v>
      </c>
      <c r="BV223" s="3" t="s">
        <v>94</v>
      </c>
      <c r="BY223" s="3">
        <v>1200</v>
      </c>
      <c r="BZ223" s="3" t="s">
        <v>86</v>
      </c>
      <c r="CC223" s="3" t="s">
        <v>76</v>
      </c>
      <c r="CD223" s="3">
        <v>2013</v>
      </c>
      <c r="CE223" s="3" t="s">
        <v>87</v>
      </c>
      <c r="CF223" s="4">
        <v>44567</v>
      </c>
      <c r="CI223" s="3">
        <v>1</v>
      </c>
      <c r="CJ223" s="3">
        <v>1</v>
      </c>
      <c r="CK223" s="3">
        <v>43</v>
      </c>
      <c r="CL223" s="3" t="s">
        <v>88</v>
      </c>
    </row>
    <row r="224" spans="1:90" x14ac:dyDescent="0.2">
      <c r="A224" s="3" t="s">
        <v>72</v>
      </c>
      <c r="B224" s="3" t="s">
        <v>73</v>
      </c>
      <c r="C224" s="3" t="s">
        <v>74</v>
      </c>
      <c r="E224" s="3" t="str">
        <f>"009941626309"</f>
        <v>009941626309</v>
      </c>
      <c r="F224" s="4">
        <v>44565</v>
      </c>
      <c r="G224" s="3">
        <v>202207</v>
      </c>
      <c r="H224" s="3" t="s">
        <v>75</v>
      </c>
      <c r="I224" s="3" t="s">
        <v>76</v>
      </c>
      <c r="J224" s="3" t="s">
        <v>109</v>
      </c>
      <c r="K224" s="3" t="s">
        <v>78</v>
      </c>
      <c r="L224" s="3" t="s">
        <v>116</v>
      </c>
      <c r="M224" s="3" t="s">
        <v>117</v>
      </c>
      <c r="N224" s="3" t="s">
        <v>109</v>
      </c>
      <c r="O224" s="3" t="s">
        <v>110</v>
      </c>
      <c r="P224" s="3" t="str">
        <f>"..                            "</f>
        <v xml:space="preserve">..                            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16.98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0</v>
      </c>
      <c r="BE224" s="3">
        <v>0</v>
      </c>
      <c r="BF224" s="3">
        <v>0</v>
      </c>
      <c r="BG224" s="3">
        <v>0</v>
      </c>
      <c r="BH224" s="3">
        <v>1</v>
      </c>
      <c r="BI224" s="3">
        <v>0.8</v>
      </c>
      <c r="BJ224" s="3">
        <v>1.6</v>
      </c>
      <c r="BK224" s="3">
        <v>2</v>
      </c>
      <c r="BL224" s="3">
        <v>60.52</v>
      </c>
      <c r="BM224" s="3">
        <v>9.08</v>
      </c>
      <c r="BN224" s="3">
        <v>69.599999999999994</v>
      </c>
      <c r="BO224" s="3">
        <v>69.599999999999994</v>
      </c>
      <c r="BQ224" s="3" t="s">
        <v>599</v>
      </c>
      <c r="BR224" s="3" t="s">
        <v>600</v>
      </c>
      <c r="BS224" s="4">
        <v>44566</v>
      </c>
      <c r="BT224" s="5">
        <v>0.3743055555555555</v>
      </c>
      <c r="BU224" s="3" t="s">
        <v>601</v>
      </c>
      <c r="BV224" s="3" t="s">
        <v>94</v>
      </c>
      <c r="BY224" s="3">
        <v>8227.42</v>
      </c>
      <c r="BZ224" s="3" t="s">
        <v>114</v>
      </c>
      <c r="CA224" s="3" t="s">
        <v>455</v>
      </c>
      <c r="CC224" s="3" t="s">
        <v>117</v>
      </c>
      <c r="CD224" s="3">
        <v>3629</v>
      </c>
      <c r="CE224" s="3" t="s">
        <v>87</v>
      </c>
      <c r="CF224" s="4">
        <v>44566</v>
      </c>
      <c r="CI224" s="3">
        <v>1</v>
      </c>
      <c r="CJ224" s="3">
        <v>1</v>
      </c>
      <c r="CK224" s="3">
        <v>21</v>
      </c>
      <c r="CL224" s="3" t="s">
        <v>88</v>
      </c>
    </row>
    <row r="225" spans="1:90" x14ac:dyDescent="0.2">
      <c r="A225" s="3" t="s">
        <v>72</v>
      </c>
      <c r="B225" s="3" t="s">
        <v>73</v>
      </c>
      <c r="C225" s="3" t="s">
        <v>74</v>
      </c>
      <c r="E225" s="3" t="str">
        <f>"009942470154"</f>
        <v>009942470154</v>
      </c>
      <c r="F225" s="4">
        <v>44565</v>
      </c>
      <c r="G225" s="3">
        <v>202207</v>
      </c>
      <c r="H225" s="3" t="s">
        <v>104</v>
      </c>
      <c r="I225" s="3" t="s">
        <v>105</v>
      </c>
      <c r="J225" s="3" t="s">
        <v>205</v>
      </c>
      <c r="K225" s="3" t="s">
        <v>78</v>
      </c>
      <c r="L225" s="3" t="s">
        <v>75</v>
      </c>
      <c r="M225" s="3" t="s">
        <v>76</v>
      </c>
      <c r="N225" s="3" t="s">
        <v>109</v>
      </c>
      <c r="O225" s="3" t="s">
        <v>110</v>
      </c>
      <c r="P225" s="3" t="str">
        <f>"NOREF                         "</f>
        <v xml:space="preserve">NOREF                         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16.98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0</v>
      </c>
      <c r="BE225" s="3">
        <v>0</v>
      </c>
      <c r="BF225" s="3">
        <v>0</v>
      </c>
      <c r="BG225" s="3">
        <v>0</v>
      </c>
      <c r="BH225" s="3">
        <v>1</v>
      </c>
      <c r="BI225" s="3">
        <v>2</v>
      </c>
      <c r="BJ225" s="3">
        <v>1.2</v>
      </c>
      <c r="BK225" s="3">
        <v>2</v>
      </c>
      <c r="BL225" s="3">
        <v>60.52</v>
      </c>
      <c r="BM225" s="3">
        <v>9.08</v>
      </c>
      <c r="BN225" s="3">
        <v>69.599999999999994</v>
      </c>
      <c r="BO225" s="3">
        <v>69.599999999999994</v>
      </c>
      <c r="BQ225" s="3" t="s">
        <v>135</v>
      </c>
      <c r="BR225" s="3" t="s">
        <v>137</v>
      </c>
      <c r="BS225" s="4">
        <v>44566</v>
      </c>
      <c r="BT225" s="5">
        <v>0.44791666666666669</v>
      </c>
      <c r="BU225" s="3" t="s">
        <v>418</v>
      </c>
      <c r="BV225" s="3" t="s">
        <v>88</v>
      </c>
      <c r="BW225" s="3" t="s">
        <v>138</v>
      </c>
      <c r="BX225" s="3" t="s">
        <v>139</v>
      </c>
      <c r="BY225" s="3">
        <v>6000</v>
      </c>
      <c r="BZ225" s="3" t="s">
        <v>114</v>
      </c>
      <c r="CC225" s="3" t="s">
        <v>76</v>
      </c>
      <c r="CD225" s="3">
        <v>2013</v>
      </c>
      <c r="CE225" s="3" t="s">
        <v>87</v>
      </c>
      <c r="CF225" s="4">
        <v>44567</v>
      </c>
      <c r="CI225" s="3">
        <v>1</v>
      </c>
      <c r="CJ225" s="3">
        <v>1</v>
      </c>
      <c r="CK225" s="3">
        <v>21</v>
      </c>
      <c r="CL225" s="3" t="s">
        <v>88</v>
      </c>
    </row>
    <row r="226" spans="1:90" x14ac:dyDescent="0.2">
      <c r="A226" s="3" t="s">
        <v>72</v>
      </c>
      <c r="B226" s="3" t="s">
        <v>73</v>
      </c>
      <c r="C226" s="3" t="s">
        <v>74</v>
      </c>
      <c r="E226" s="3" t="str">
        <f>"009941300418"</f>
        <v>009941300418</v>
      </c>
      <c r="F226" s="4">
        <v>44565</v>
      </c>
      <c r="G226" s="3">
        <v>202207</v>
      </c>
      <c r="H226" s="3" t="s">
        <v>75</v>
      </c>
      <c r="I226" s="3" t="s">
        <v>76</v>
      </c>
      <c r="J226" s="3" t="s">
        <v>285</v>
      </c>
      <c r="K226" s="3" t="s">
        <v>78</v>
      </c>
      <c r="L226" s="3" t="s">
        <v>75</v>
      </c>
      <c r="M226" s="3" t="s">
        <v>76</v>
      </c>
      <c r="N226" s="3" t="s">
        <v>136</v>
      </c>
      <c r="O226" s="3" t="s">
        <v>130</v>
      </c>
      <c r="P226" s="3" t="str">
        <f>"..                            "</f>
        <v xml:space="preserve">..                            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25.34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3">
        <v>0</v>
      </c>
      <c r="BE226" s="3">
        <v>0</v>
      </c>
      <c r="BF226" s="3">
        <v>0</v>
      </c>
      <c r="BG226" s="3">
        <v>0</v>
      </c>
      <c r="BH226" s="3">
        <v>1</v>
      </c>
      <c r="BI226" s="3">
        <v>1</v>
      </c>
      <c r="BJ226" s="3">
        <v>0.2</v>
      </c>
      <c r="BK226" s="3">
        <v>1</v>
      </c>
      <c r="BL226" s="3">
        <v>95.56</v>
      </c>
      <c r="BM226" s="3">
        <v>14.33</v>
      </c>
      <c r="BN226" s="3">
        <v>109.89</v>
      </c>
      <c r="BO226" s="3">
        <v>109.89</v>
      </c>
      <c r="BQ226" s="3" t="s">
        <v>162</v>
      </c>
      <c r="BR226" s="3" t="s">
        <v>175</v>
      </c>
      <c r="BS226" s="4">
        <v>44566</v>
      </c>
      <c r="BT226" s="5">
        <v>0.44444444444444442</v>
      </c>
      <c r="BU226" s="3" t="s">
        <v>418</v>
      </c>
      <c r="BV226" s="3" t="s">
        <v>94</v>
      </c>
      <c r="BY226" s="3">
        <v>1200</v>
      </c>
      <c r="BZ226" s="3" t="s">
        <v>86</v>
      </c>
      <c r="CC226" s="3" t="s">
        <v>76</v>
      </c>
      <c r="CD226" s="3">
        <v>2013</v>
      </c>
      <c r="CE226" s="3" t="s">
        <v>87</v>
      </c>
      <c r="CF226" s="4">
        <v>44567</v>
      </c>
      <c r="CI226" s="3">
        <v>1</v>
      </c>
      <c r="CJ226" s="3">
        <v>1</v>
      </c>
      <c r="CK226" s="3">
        <v>42</v>
      </c>
      <c r="CL226" s="3" t="s">
        <v>88</v>
      </c>
    </row>
    <row r="227" spans="1:90" x14ac:dyDescent="0.2">
      <c r="A227" s="3" t="s">
        <v>72</v>
      </c>
      <c r="B227" s="3" t="s">
        <v>73</v>
      </c>
      <c r="C227" s="3" t="s">
        <v>74</v>
      </c>
      <c r="E227" s="3" t="str">
        <f>"009941300187"</f>
        <v>009941300187</v>
      </c>
      <c r="F227" s="4">
        <v>44565</v>
      </c>
      <c r="G227" s="3">
        <v>202207</v>
      </c>
      <c r="H227" s="3" t="s">
        <v>172</v>
      </c>
      <c r="I227" s="3" t="s">
        <v>173</v>
      </c>
      <c r="J227" s="3" t="s">
        <v>174</v>
      </c>
      <c r="K227" s="3" t="s">
        <v>78</v>
      </c>
      <c r="L227" s="3" t="s">
        <v>75</v>
      </c>
      <c r="M227" s="3" t="s">
        <v>76</v>
      </c>
      <c r="N227" s="3" t="s">
        <v>136</v>
      </c>
      <c r="O227" s="3" t="s">
        <v>110</v>
      </c>
      <c r="P227" s="3" t="str">
        <f>"..                            "</f>
        <v xml:space="preserve">..                            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13.26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0</v>
      </c>
      <c r="BA227" s="3">
        <v>0</v>
      </c>
      <c r="BB227" s="3">
        <v>0</v>
      </c>
      <c r="BC227" s="3">
        <v>0</v>
      </c>
      <c r="BD227" s="3">
        <v>0</v>
      </c>
      <c r="BE227" s="3">
        <v>0</v>
      </c>
      <c r="BF227" s="3">
        <v>0</v>
      </c>
      <c r="BG227" s="3">
        <v>0</v>
      </c>
      <c r="BH227" s="3">
        <v>1</v>
      </c>
      <c r="BI227" s="3">
        <v>1</v>
      </c>
      <c r="BJ227" s="3">
        <v>0.2</v>
      </c>
      <c r="BK227" s="3">
        <v>1</v>
      </c>
      <c r="BL227" s="3">
        <v>47.27</v>
      </c>
      <c r="BM227" s="3">
        <v>7.09</v>
      </c>
      <c r="BN227" s="3">
        <v>54.36</v>
      </c>
      <c r="BO227" s="3">
        <v>54.36</v>
      </c>
      <c r="BQ227" s="3" t="s">
        <v>162</v>
      </c>
      <c r="BR227" s="3" t="s">
        <v>175</v>
      </c>
      <c r="BS227" s="4">
        <v>44566</v>
      </c>
      <c r="BT227" s="5">
        <v>0.44791666666666669</v>
      </c>
      <c r="BU227" s="3" t="s">
        <v>418</v>
      </c>
      <c r="BV227" s="3" t="s">
        <v>88</v>
      </c>
      <c r="BW227" s="3" t="s">
        <v>138</v>
      </c>
      <c r="BX227" s="3" t="s">
        <v>139</v>
      </c>
      <c r="BY227" s="3">
        <v>1200</v>
      </c>
      <c r="BZ227" s="3" t="s">
        <v>114</v>
      </c>
      <c r="CC227" s="3" t="s">
        <v>76</v>
      </c>
      <c r="CD227" s="3">
        <v>2013</v>
      </c>
      <c r="CE227" s="3" t="s">
        <v>87</v>
      </c>
      <c r="CF227" s="4">
        <v>44567</v>
      </c>
      <c r="CI227" s="3">
        <v>1</v>
      </c>
      <c r="CJ227" s="3">
        <v>1</v>
      </c>
      <c r="CK227" s="3">
        <v>22</v>
      </c>
      <c r="CL227" s="3" t="s">
        <v>88</v>
      </c>
    </row>
    <row r="228" spans="1:90" x14ac:dyDescent="0.2">
      <c r="A228" s="3" t="s">
        <v>72</v>
      </c>
      <c r="B228" s="3" t="s">
        <v>73</v>
      </c>
      <c r="C228" s="3" t="s">
        <v>74</v>
      </c>
      <c r="E228" s="3" t="str">
        <f>"009941976883"</f>
        <v>009941976883</v>
      </c>
      <c r="F228" s="4">
        <v>44567</v>
      </c>
      <c r="G228" s="3">
        <v>202207</v>
      </c>
      <c r="H228" s="3" t="s">
        <v>127</v>
      </c>
      <c r="I228" s="3" t="s">
        <v>128</v>
      </c>
      <c r="J228" s="3" t="s">
        <v>129</v>
      </c>
      <c r="K228" s="3" t="s">
        <v>78</v>
      </c>
      <c r="L228" s="3" t="s">
        <v>75</v>
      </c>
      <c r="M228" s="3" t="s">
        <v>76</v>
      </c>
      <c r="N228" s="3" t="s">
        <v>372</v>
      </c>
      <c r="O228" s="3" t="s">
        <v>82</v>
      </c>
      <c r="P228" s="3" t="str">
        <f>"FELICIA                       "</f>
        <v xml:space="preserve">FELICIA                       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28.98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15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v>0</v>
      </c>
      <c r="BE228" s="3">
        <v>0</v>
      </c>
      <c r="BF228" s="3">
        <v>0</v>
      </c>
      <c r="BG228" s="3">
        <v>0</v>
      </c>
      <c r="BH228" s="3">
        <v>1</v>
      </c>
      <c r="BI228" s="3">
        <v>1</v>
      </c>
      <c r="BJ228" s="3">
        <v>0.2</v>
      </c>
      <c r="BK228" s="3">
        <v>1</v>
      </c>
      <c r="BL228" s="3">
        <v>125.62</v>
      </c>
      <c r="BM228" s="3">
        <v>18.84</v>
      </c>
      <c r="BN228" s="3">
        <v>144.46</v>
      </c>
      <c r="BO228" s="3">
        <v>144.46</v>
      </c>
      <c r="BQ228" s="3" t="s">
        <v>602</v>
      </c>
      <c r="BR228" s="3" t="s">
        <v>132</v>
      </c>
      <c r="BS228" s="4">
        <v>44568</v>
      </c>
      <c r="BT228" s="5">
        <v>0.44444444444444442</v>
      </c>
      <c r="BU228" s="3" t="s">
        <v>603</v>
      </c>
      <c r="BV228" s="3" t="s">
        <v>94</v>
      </c>
      <c r="BY228" s="3">
        <v>1200</v>
      </c>
      <c r="BZ228" s="3" t="s">
        <v>133</v>
      </c>
      <c r="CA228" s="3" t="s">
        <v>604</v>
      </c>
      <c r="CC228" s="3" t="s">
        <v>76</v>
      </c>
      <c r="CD228" s="3">
        <v>2000</v>
      </c>
      <c r="CE228" s="3" t="s">
        <v>87</v>
      </c>
      <c r="CF228" s="4">
        <v>44568</v>
      </c>
      <c r="CI228" s="3">
        <v>1</v>
      </c>
      <c r="CJ228" s="3">
        <v>1</v>
      </c>
      <c r="CK228" s="3">
        <v>31</v>
      </c>
      <c r="CL228" s="3" t="s">
        <v>88</v>
      </c>
    </row>
    <row r="229" spans="1:90" x14ac:dyDescent="0.2">
      <c r="A229" s="3" t="s">
        <v>72</v>
      </c>
      <c r="B229" s="3" t="s">
        <v>73</v>
      </c>
      <c r="C229" s="3" t="s">
        <v>74</v>
      </c>
      <c r="E229" s="3" t="str">
        <f>"009941976881"</f>
        <v>009941976881</v>
      </c>
      <c r="F229" s="4">
        <v>44567</v>
      </c>
      <c r="G229" s="3">
        <v>202207</v>
      </c>
      <c r="H229" s="3" t="s">
        <v>127</v>
      </c>
      <c r="I229" s="3" t="s">
        <v>128</v>
      </c>
      <c r="J229" s="3" t="s">
        <v>129</v>
      </c>
      <c r="K229" s="3" t="s">
        <v>78</v>
      </c>
      <c r="L229" s="3" t="s">
        <v>75</v>
      </c>
      <c r="M229" s="3" t="s">
        <v>76</v>
      </c>
      <c r="N229" s="3" t="s">
        <v>605</v>
      </c>
      <c r="O229" s="3" t="s">
        <v>130</v>
      </c>
      <c r="P229" s="3" t="str">
        <f>"                              "</f>
        <v xml:space="preserve">                              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29.89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0</v>
      </c>
      <c r="BE229" s="3">
        <v>0</v>
      </c>
      <c r="BF229" s="3">
        <v>0</v>
      </c>
      <c r="BG229" s="3">
        <v>0</v>
      </c>
      <c r="BH229" s="3">
        <v>1</v>
      </c>
      <c r="BI229" s="3">
        <v>2</v>
      </c>
      <c r="BJ229" s="3">
        <v>1.2</v>
      </c>
      <c r="BK229" s="3">
        <v>2</v>
      </c>
      <c r="BL229" s="3">
        <v>119.34</v>
      </c>
      <c r="BM229" s="3">
        <v>17.899999999999999</v>
      </c>
      <c r="BN229" s="3">
        <v>137.24</v>
      </c>
      <c r="BO229" s="3">
        <v>137.24</v>
      </c>
      <c r="BQ229" s="3" t="s">
        <v>606</v>
      </c>
      <c r="BR229" s="3" t="s">
        <v>132</v>
      </c>
      <c r="BS229" s="4">
        <v>44568</v>
      </c>
      <c r="BT229" s="5">
        <v>0.54236111111111118</v>
      </c>
      <c r="BU229" s="3" t="s">
        <v>418</v>
      </c>
      <c r="BV229" s="3" t="s">
        <v>94</v>
      </c>
      <c r="BY229" s="3">
        <v>6000</v>
      </c>
      <c r="BZ229" s="3" t="s">
        <v>86</v>
      </c>
      <c r="CA229" s="3" t="s">
        <v>511</v>
      </c>
      <c r="CC229" s="3" t="s">
        <v>76</v>
      </c>
      <c r="CD229" s="3">
        <v>2013</v>
      </c>
      <c r="CE229" s="3" t="s">
        <v>87</v>
      </c>
      <c r="CF229" s="4">
        <v>44568</v>
      </c>
      <c r="CI229" s="3">
        <v>1</v>
      </c>
      <c r="CJ229" s="3">
        <v>1</v>
      </c>
      <c r="CK229" s="3">
        <v>41</v>
      </c>
      <c r="CL229" s="3" t="s">
        <v>88</v>
      </c>
    </row>
    <row r="230" spans="1:90" x14ac:dyDescent="0.2">
      <c r="A230" s="3" t="s">
        <v>72</v>
      </c>
      <c r="B230" s="3" t="s">
        <v>73</v>
      </c>
      <c r="C230" s="3" t="s">
        <v>74</v>
      </c>
      <c r="E230" s="3" t="str">
        <f>"009941976885"</f>
        <v>009941976885</v>
      </c>
      <c r="F230" s="4">
        <v>44567</v>
      </c>
      <c r="G230" s="3">
        <v>202207</v>
      </c>
      <c r="H230" s="3" t="s">
        <v>127</v>
      </c>
      <c r="I230" s="3" t="s">
        <v>128</v>
      </c>
      <c r="J230" s="3" t="s">
        <v>129</v>
      </c>
      <c r="K230" s="3" t="s">
        <v>78</v>
      </c>
      <c r="L230" s="3" t="s">
        <v>104</v>
      </c>
      <c r="M230" s="3" t="s">
        <v>105</v>
      </c>
      <c r="N230" s="3" t="s">
        <v>607</v>
      </c>
      <c r="O230" s="3" t="s">
        <v>82</v>
      </c>
      <c r="P230" s="3" t="str">
        <f>"FELICIA                       "</f>
        <v xml:space="preserve">FELICIA                       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28.98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0</v>
      </c>
      <c r="BA230" s="3">
        <v>0</v>
      </c>
      <c r="BB230" s="3">
        <v>0</v>
      </c>
      <c r="BC230" s="3">
        <v>0</v>
      </c>
      <c r="BD230" s="3">
        <v>0</v>
      </c>
      <c r="BE230" s="3">
        <v>0</v>
      </c>
      <c r="BF230" s="3">
        <v>0</v>
      </c>
      <c r="BG230" s="3">
        <v>0</v>
      </c>
      <c r="BH230" s="3">
        <v>1</v>
      </c>
      <c r="BI230" s="3">
        <v>1</v>
      </c>
      <c r="BJ230" s="3">
        <v>0.5</v>
      </c>
      <c r="BK230" s="3">
        <v>1</v>
      </c>
      <c r="BL230" s="3">
        <v>110.62</v>
      </c>
      <c r="BM230" s="3">
        <v>16.59</v>
      </c>
      <c r="BN230" s="3">
        <v>127.21</v>
      </c>
      <c r="BO230" s="3">
        <v>127.21</v>
      </c>
      <c r="BQ230" s="3" t="s">
        <v>608</v>
      </c>
      <c r="BR230" s="3" t="s">
        <v>132</v>
      </c>
      <c r="BS230" s="4">
        <v>44568</v>
      </c>
      <c r="BT230" s="5">
        <v>0.58611111111111114</v>
      </c>
      <c r="BU230" s="3" t="s">
        <v>609</v>
      </c>
      <c r="BV230" s="3" t="s">
        <v>88</v>
      </c>
      <c r="BY230" s="3">
        <v>2400</v>
      </c>
      <c r="BZ230" s="3" t="s">
        <v>86</v>
      </c>
      <c r="CA230" s="3" t="s">
        <v>248</v>
      </c>
      <c r="CC230" s="3" t="s">
        <v>105</v>
      </c>
      <c r="CD230" s="3">
        <v>2</v>
      </c>
      <c r="CE230" s="3" t="s">
        <v>87</v>
      </c>
      <c r="CF230" s="4">
        <v>44568</v>
      </c>
      <c r="CI230" s="3">
        <v>1</v>
      </c>
      <c r="CJ230" s="3">
        <v>1</v>
      </c>
      <c r="CK230" s="3">
        <v>31</v>
      </c>
      <c r="CL230" s="3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sdrascd7-IEHAZMA130276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2022-01-31T14:41:36Z</dcterms:created>
  <dcterms:modified xsi:type="dcterms:W3CDTF">2022-01-31T14:41:50Z</dcterms:modified>
</cp:coreProperties>
</file>