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F6022EE-13D0-4B17-9A08-07C976C947B8}" xr6:coauthVersionLast="47" xr6:coauthVersionMax="47" xr10:uidLastSave="{00000000-0000-0000-0000-000000000000}"/>
  <bookViews>
    <workbookView xWindow="28680" yWindow="-120" windowWidth="20730" windowHeight="11040" xr2:uid="{30C6434D-B0FA-4AB3-8675-9CA6DC659B55}"/>
  </bookViews>
  <sheets>
    <sheet name="sdrascd7-IENOMKE1349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75" i="1" l="1"/>
  <c r="E2575" i="1"/>
  <c r="P2574" i="1"/>
  <c r="E2574" i="1"/>
  <c r="P2573" i="1"/>
  <c r="E2573" i="1"/>
  <c r="P2572" i="1"/>
  <c r="E2572" i="1"/>
  <c r="P2571" i="1"/>
  <c r="E2571" i="1"/>
  <c r="P2570" i="1"/>
  <c r="E2570" i="1"/>
  <c r="P2569" i="1"/>
  <c r="E2569" i="1"/>
  <c r="P2568" i="1"/>
  <c r="E2568" i="1"/>
  <c r="P2567" i="1"/>
  <c r="E2567" i="1"/>
  <c r="P2566" i="1"/>
  <c r="E2566" i="1"/>
  <c r="P2565" i="1"/>
  <c r="E2565" i="1"/>
  <c r="P2564" i="1"/>
  <c r="E2564" i="1"/>
  <c r="P2563" i="1"/>
  <c r="E2563" i="1"/>
  <c r="P2562" i="1"/>
  <c r="E2562" i="1"/>
  <c r="P2561" i="1"/>
  <c r="E2561" i="1"/>
  <c r="P2560" i="1"/>
  <c r="E2560" i="1"/>
  <c r="P2559" i="1"/>
  <c r="E2559" i="1"/>
  <c r="P2558" i="1"/>
  <c r="E2558" i="1"/>
  <c r="P2557" i="1"/>
  <c r="E2557" i="1"/>
  <c r="P2556" i="1"/>
  <c r="E2556" i="1"/>
  <c r="P2555" i="1"/>
  <c r="E2555" i="1"/>
  <c r="P2554" i="1"/>
  <c r="E2554" i="1"/>
  <c r="P2553" i="1"/>
  <c r="E2553" i="1"/>
  <c r="P2552" i="1"/>
  <c r="E2552" i="1"/>
  <c r="P2551" i="1"/>
  <c r="E2551" i="1"/>
  <c r="P2550" i="1"/>
  <c r="E2550" i="1"/>
  <c r="P2549" i="1"/>
  <c r="E2549" i="1"/>
  <c r="P2548" i="1"/>
  <c r="E2548" i="1"/>
  <c r="P2547" i="1"/>
  <c r="E2547" i="1"/>
  <c r="P2546" i="1"/>
  <c r="E2546" i="1"/>
  <c r="P2545" i="1"/>
  <c r="E2545" i="1"/>
  <c r="P2544" i="1"/>
  <c r="E2544" i="1"/>
  <c r="P2543" i="1"/>
  <c r="E2543" i="1"/>
  <c r="P2542" i="1"/>
  <c r="E2542" i="1"/>
  <c r="P2541" i="1"/>
  <c r="E2541" i="1"/>
  <c r="P2540" i="1"/>
  <c r="E2540" i="1"/>
  <c r="P2539" i="1"/>
  <c r="E2539" i="1"/>
  <c r="P2538" i="1"/>
  <c r="E2538" i="1"/>
  <c r="P2537" i="1"/>
  <c r="E2537" i="1"/>
  <c r="P2536" i="1"/>
  <c r="E2536" i="1"/>
  <c r="P2535" i="1"/>
  <c r="E2535" i="1"/>
  <c r="P2534" i="1"/>
  <c r="E2534" i="1"/>
  <c r="P2533" i="1"/>
  <c r="E2533" i="1"/>
  <c r="P2532" i="1"/>
  <c r="E2532" i="1"/>
  <c r="P2531" i="1"/>
  <c r="E2531" i="1"/>
  <c r="P2530" i="1"/>
  <c r="E2530" i="1"/>
  <c r="P2529" i="1"/>
  <c r="E2529" i="1"/>
  <c r="P2528" i="1"/>
  <c r="E2528" i="1"/>
  <c r="P2527" i="1"/>
  <c r="E2527" i="1"/>
  <c r="P2526" i="1"/>
  <c r="E2526" i="1"/>
  <c r="P2525" i="1"/>
  <c r="E2525" i="1"/>
  <c r="P2524" i="1"/>
  <c r="E2524" i="1"/>
  <c r="P2523" i="1"/>
  <c r="E2523" i="1"/>
  <c r="P2522" i="1"/>
  <c r="E2522" i="1"/>
  <c r="P2521" i="1"/>
  <c r="E2521" i="1"/>
  <c r="P2520" i="1"/>
  <c r="E2520" i="1"/>
  <c r="P2519" i="1"/>
  <c r="E2519" i="1"/>
  <c r="P2518" i="1"/>
  <c r="E2518" i="1"/>
  <c r="P2517" i="1"/>
  <c r="E2517" i="1"/>
  <c r="P2516" i="1"/>
  <c r="E2516" i="1"/>
  <c r="P2515" i="1"/>
  <c r="E2515" i="1"/>
  <c r="P2514" i="1"/>
  <c r="E2514" i="1"/>
  <c r="P2513" i="1"/>
  <c r="E2513" i="1"/>
  <c r="P2512" i="1"/>
  <c r="E2512" i="1"/>
  <c r="P2511" i="1"/>
  <c r="E2511" i="1"/>
  <c r="P2510" i="1"/>
  <c r="E2510" i="1"/>
  <c r="P2509" i="1"/>
  <c r="E2509" i="1"/>
  <c r="P2508" i="1"/>
  <c r="E2508" i="1"/>
  <c r="P2507" i="1"/>
  <c r="E2507" i="1"/>
  <c r="P2506" i="1"/>
  <c r="E2506" i="1"/>
  <c r="P2505" i="1"/>
  <c r="E2505" i="1"/>
  <c r="P2504" i="1"/>
  <c r="E2504" i="1"/>
  <c r="P2503" i="1"/>
  <c r="E2503" i="1"/>
  <c r="P2502" i="1"/>
  <c r="E2502" i="1"/>
  <c r="P2501" i="1"/>
  <c r="E2501" i="1"/>
  <c r="P2500" i="1"/>
  <c r="E2500" i="1"/>
  <c r="P2499" i="1"/>
  <c r="E2499" i="1"/>
  <c r="P2498" i="1"/>
  <c r="E2498" i="1"/>
  <c r="P2497" i="1"/>
  <c r="E2497" i="1"/>
  <c r="P2496" i="1"/>
  <c r="E2496" i="1"/>
  <c r="P2495" i="1"/>
  <c r="E2495" i="1"/>
  <c r="P2494" i="1"/>
  <c r="E2494" i="1"/>
  <c r="P2493" i="1"/>
  <c r="E2493" i="1"/>
  <c r="P2492" i="1"/>
  <c r="E2492" i="1"/>
  <c r="P2491" i="1"/>
  <c r="E2491" i="1"/>
  <c r="P2490" i="1"/>
  <c r="E2490" i="1"/>
  <c r="P2489" i="1"/>
  <c r="E2489" i="1"/>
  <c r="P2488" i="1"/>
  <c r="E2488" i="1"/>
  <c r="P2487" i="1"/>
  <c r="E2487" i="1"/>
  <c r="P2486" i="1"/>
  <c r="E2486" i="1"/>
  <c r="P2485" i="1"/>
  <c r="E2485" i="1"/>
  <c r="P2484" i="1"/>
  <c r="E2484" i="1"/>
  <c r="P2483" i="1"/>
  <c r="E2483" i="1"/>
  <c r="P2482" i="1"/>
  <c r="E2482" i="1"/>
  <c r="P2481" i="1"/>
  <c r="E2481" i="1"/>
  <c r="P2480" i="1"/>
  <c r="E2480" i="1"/>
  <c r="P2479" i="1"/>
  <c r="E2479" i="1"/>
  <c r="P2478" i="1"/>
  <c r="E2478" i="1"/>
  <c r="P2477" i="1"/>
  <c r="E2477" i="1"/>
  <c r="P2476" i="1"/>
  <c r="E2476" i="1"/>
  <c r="P2475" i="1"/>
  <c r="E2475" i="1"/>
  <c r="P2474" i="1"/>
  <c r="E2474" i="1"/>
  <c r="P2473" i="1"/>
  <c r="E2473" i="1"/>
  <c r="P2472" i="1"/>
  <c r="E2472" i="1"/>
  <c r="P2471" i="1"/>
  <c r="E2471" i="1"/>
  <c r="P2470" i="1"/>
  <c r="E2470" i="1"/>
  <c r="P2469" i="1"/>
  <c r="E2469" i="1"/>
  <c r="P2468" i="1"/>
  <c r="E2468" i="1"/>
  <c r="P2467" i="1"/>
  <c r="E2467" i="1"/>
  <c r="P2466" i="1"/>
  <c r="E2466" i="1"/>
  <c r="P2465" i="1"/>
  <c r="E2465" i="1"/>
  <c r="P2464" i="1"/>
  <c r="E2464" i="1"/>
  <c r="P2463" i="1"/>
  <c r="E2463" i="1"/>
  <c r="P2462" i="1"/>
  <c r="E2462" i="1"/>
  <c r="P2461" i="1"/>
  <c r="E2461" i="1"/>
  <c r="P2460" i="1"/>
  <c r="E2460" i="1"/>
  <c r="P2459" i="1"/>
  <c r="E2459" i="1"/>
  <c r="P2458" i="1"/>
  <c r="E2458" i="1"/>
  <c r="P2457" i="1"/>
  <c r="E2457" i="1"/>
  <c r="P2456" i="1"/>
  <c r="E2456" i="1"/>
  <c r="P2455" i="1"/>
  <c r="E2455" i="1"/>
  <c r="P2454" i="1"/>
  <c r="E2454" i="1"/>
  <c r="P2453" i="1"/>
  <c r="E2453" i="1"/>
  <c r="P2452" i="1"/>
  <c r="E2452" i="1"/>
  <c r="P2451" i="1"/>
  <c r="E2451" i="1"/>
  <c r="P2450" i="1"/>
  <c r="E2450" i="1"/>
  <c r="P2449" i="1"/>
  <c r="E2449" i="1"/>
  <c r="P2448" i="1"/>
  <c r="E2448" i="1"/>
  <c r="P2447" i="1"/>
  <c r="E2447" i="1"/>
  <c r="P2446" i="1"/>
  <c r="E2446" i="1"/>
  <c r="P2445" i="1"/>
  <c r="E2445" i="1"/>
  <c r="P2444" i="1"/>
  <c r="E2444" i="1"/>
  <c r="P2443" i="1"/>
  <c r="E2443" i="1"/>
  <c r="P2442" i="1"/>
  <c r="E2442" i="1"/>
  <c r="P2441" i="1"/>
  <c r="E2441" i="1"/>
  <c r="P2440" i="1"/>
  <c r="E2440" i="1"/>
  <c r="P2439" i="1"/>
  <c r="E2439" i="1"/>
  <c r="P2438" i="1"/>
  <c r="E2438" i="1"/>
  <c r="P2437" i="1"/>
  <c r="E2437" i="1"/>
  <c r="P2436" i="1"/>
  <c r="E2436" i="1"/>
  <c r="P2435" i="1"/>
  <c r="E2435" i="1"/>
  <c r="P2434" i="1"/>
  <c r="E2434" i="1"/>
  <c r="P2433" i="1"/>
  <c r="E2433" i="1"/>
  <c r="P2432" i="1"/>
  <c r="E2432" i="1"/>
  <c r="P2431" i="1"/>
  <c r="E2431" i="1"/>
  <c r="P2430" i="1"/>
  <c r="E2430" i="1"/>
  <c r="P2429" i="1"/>
  <c r="E2429" i="1"/>
  <c r="P2428" i="1"/>
  <c r="E2428" i="1"/>
  <c r="P2427" i="1"/>
  <c r="E2427" i="1"/>
  <c r="P2426" i="1"/>
  <c r="E2426" i="1"/>
  <c r="P2425" i="1"/>
  <c r="E2425" i="1"/>
  <c r="P2424" i="1"/>
  <c r="E2424" i="1"/>
  <c r="P2423" i="1"/>
  <c r="E2423" i="1"/>
  <c r="P2422" i="1"/>
  <c r="E2422" i="1"/>
  <c r="P2421" i="1"/>
  <c r="E2421" i="1"/>
  <c r="P2420" i="1"/>
  <c r="E2420" i="1"/>
  <c r="P2419" i="1"/>
  <c r="E2419" i="1"/>
  <c r="P2418" i="1"/>
  <c r="E2418" i="1"/>
  <c r="P2417" i="1"/>
  <c r="E2417" i="1"/>
  <c r="P2416" i="1"/>
  <c r="E2416" i="1"/>
  <c r="P2415" i="1"/>
  <c r="E2415" i="1"/>
  <c r="P2414" i="1"/>
  <c r="E2414" i="1"/>
  <c r="P2413" i="1"/>
  <c r="E2413" i="1"/>
  <c r="P2412" i="1"/>
  <c r="E2412" i="1"/>
  <c r="P2411" i="1"/>
  <c r="E2411" i="1"/>
  <c r="P2410" i="1"/>
  <c r="E2410" i="1"/>
  <c r="P2409" i="1"/>
  <c r="E2409" i="1"/>
  <c r="P2408" i="1"/>
  <c r="E2408" i="1"/>
  <c r="P2407" i="1"/>
  <c r="E2407" i="1"/>
  <c r="P2406" i="1"/>
  <c r="E2406" i="1"/>
  <c r="P2405" i="1"/>
  <c r="E2405" i="1"/>
  <c r="P2404" i="1"/>
  <c r="E2404" i="1"/>
  <c r="P2403" i="1"/>
  <c r="E2403" i="1"/>
  <c r="P2402" i="1"/>
  <c r="E2402" i="1"/>
  <c r="P2401" i="1"/>
  <c r="E2401" i="1"/>
  <c r="P2400" i="1"/>
  <c r="E2400" i="1"/>
  <c r="P2399" i="1"/>
  <c r="E2399" i="1"/>
  <c r="P2398" i="1"/>
  <c r="E2398" i="1"/>
  <c r="P2397" i="1"/>
  <c r="E2397" i="1"/>
  <c r="P2396" i="1"/>
  <c r="E2396" i="1"/>
  <c r="P2395" i="1"/>
  <c r="E2395" i="1"/>
  <c r="P2394" i="1"/>
  <c r="E2394" i="1"/>
  <c r="P2393" i="1"/>
  <c r="E2393" i="1"/>
  <c r="P2392" i="1"/>
  <c r="E2392" i="1"/>
  <c r="P2391" i="1"/>
  <c r="E2391" i="1"/>
  <c r="P2390" i="1"/>
  <c r="E2390" i="1"/>
  <c r="P2389" i="1"/>
  <c r="E2389" i="1"/>
  <c r="P2388" i="1"/>
  <c r="E2388" i="1"/>
  <c r="P2387" i="1"/>
  <c r="E2387" i="1"/>
  <c r="P2386" i="1"/>
  <c r="E2386" i="1"/>
  <c r="P2385" i="1"/>
  <c r="E2385" i="1"/>
  <c r="P2384" i="1"/>
  <c r="E2384" i="1"/>
  <c r="P2383" i="1"/>
  <c r="E2383" i="1"/>
  <c r="P2382" i="1"/>
  <c r="E2382" i="1"/>
  <c r="P2381" i="1"/>
  <c r="E2381" i="1"/>
  <c r="P2380" i="1"/>
  <c r="E2380" i="1"/>
  <c r="P2379" i="1"/>
  <c r="E2379" i="1"/>
  <c r="P2378" i="1"/>
  <c r="E2378" i="1"/>
  <c r="P2377" i="1"/>
  <c r="E2377" i="1"/>
  <c r="P2376" i="1"/>
  <c r="E2376" i="1"/>
  <c r="P2375" i="1"/>
  <c r="E2375" i="1"/>
  <c r="P2374" i="1"/>
  <c r="E2374" i="1"/>
  <c r="P2373" i="1"/>
  <c r="E2373" i="1"/>
  <c r="P2372" i="1"/>
  <c r="E2372" i="1"/>
  <c r="P2371" i="1"/>
  <c r="E2371" i="1"/>
  <c r="P2370" i="1"/>
  <c r="E2370" i="1"/>
  <c r="P2369" i="1"/>
  <c r="E2369" i="1"/>
  <c r="P2368" i="1"/>
  <c r="E2368" i="1"/>
  <c r="P2367" i="1"/>
  <c r="E2367" i="1"/>
  <c r="P2366" i="1"/>
  <c r="E2366" i="1"/>
  <c r="P2365" i="1"/>
  <c r="E2365" i="1"/>
  <c r="P2364" i="1"/>
  <c r="E2364" i="1"/>
  <c r="P2363" i="1"/>
  <c r="E2363" i="1"/>
  <c r="P2362" i="1"/>
  <c r="E2362" i="1"/>
  <c r="P2361" i="1"/>
  <c r="E2361" i="1"/>
  <c r="P2360" i="1"/>
  <c r="E2360" i="1"/>
  <c r="P2359" i="1"/>
  <c r="E2359" i="1"/>
  <c r="P2358" i="1"/>
  <c r="E2358" i="1"/>
  <c r="P2357" i="1"/>
  <c r="E2357" i="1"/>
  <c r="P2356" i="1"/>
  <c r="E2356" i="1"/>
  <c r="P2355" i="1"/>
  <c r="E2355" i="1"/>
  <c r="P2354" i="1"/>
  <c r="E2354" i="1"/>
  <c r="P2353" i="1"/>
  <c r="E2353" i="1"/>
  <c r="P2352" i="1"/>
  <c r="E2352" i="1"/>
  <c r="P2351" i="1"/>
  <c r="E2351" i="1"/>
  <c r="P2350" i="1"/>
  <c r="E2350" i="1"/>
  <c r="P2349" i="1"/>
  <c r="E2349" i="1"/>
  <c r="P2348" i="1"/>
  <c r="E2348" i="1"/>
  <c r="P2347" i="1"/>
  <c r="E2347" i="1"/>
  <c r="P2346" i="1"/>
  <c r="E2346" i="1"/>
  <c r="P2345" i="1"/>
  <c r="E2345" i="1"/>
  <c r="P2344" i="1"/>
  <c r="E2344" i="1"/>
  <c r="P2343" i="1"/>
  <c r="E2343" i="1"/>
  <c r="P2342" i="1"/>
  <c r="E2342" i="1"/>
  <c r="P2341" i="1"/>
  <c r="E2341" i="1"/>
  <c r="P2340" i="1"/>
  <c r="E2340" i="1"/>
  <c r="P2339" i="1"/>
  <c r="E2339" i="1"/>
  <c r="P2338" i="1"/>
  <c r="E2338" i="1"/>
  <c r="P2337" i="1"/>
  <c r="E2337" i="1"/>
  <c r="P2336" i="1"/>
  <c r="E2336" i="1"/>
  <c r="P2335" i="1"/>
  <c r="E2335" i="1"/>
  <c r="P2334" i="1"/>
  <c r="E2334" i="1"/>
  <c r="P2333" i="1"/>
  <c r="E2333" i="1"/>
  <c r="P2332" i="1"/>
  <c r="E2332" i="1"/>
  <c r="P2331" i="1"/>
  <c r="E2331" i="1"/>
  <c r="P2330" i="1"/>
  <c r="E2330" i="1"/>
  <c r="P2329" i="1"/>
  <c r="E2329" i="1"/>
  <c r="P2328" i="1"/>
  <c r="E2328" i="1"/>
  <c r="P2327" i="1"/>
  <c r="E2327" i="1"/>
  <c r="P2326" i="1"/>
  <c r="E2326" i="1"/>
  <c r="P2325" i="1"/>
  <c r="E2325" i="1"/>
  <c r="P2324" i="1"/>
  <c r="E2324" i="1"/>
  <c r="P2323" i="1"/>
  <c r="E2323" i="1"/>
  <c r="P2322" i="1"/>
  <c r="E2322" i="1"/>
  <c r="P2321" i="1"/>
  <c r="E2321" i="1"/>
  <c r="P2320" i="1"/>
  <c r="E2320" i="1"/>
  <c r="P2319" i="1"/>
  <c r="E2319" i="1"/>
  <c r="P2318" i="1"/>
  <c r="E2318" i="1"/>
  <c r="P2317" i="1"/>
  <c r="E2317" i="1"/>
  <c r="P2316" i="1"/>
  <c r="E2316" i="1"/>
  <c r="P2315" i="1"/>
  <c r="E2315" i="1"/>
  <c r="P2314" i="1"/>
  <c r="E2314" i="1"/>
  <c r="P2313" i="1"/>
  <c r="E2313" i="1"/>
  <c r="P2312" i="1"/>
  <c r="E2312" i="1"/>
  <c r="P2311" i="1"/>
  <c r="E2311" i="1"/>
  <c r="P2310" i="1"/>
  <c r="E2310" i="1"/>
  <c r="P2309" i="1"/>
  <c r="E2309" i="1"/>
  <c r="P2308" i="1"/>
  <c r="E2308" i="1"/>
  <c r="P2307" i="1"/>
  <c r="E2307" i="1"/>
  <c r="P2306" i="1"/>
  <c r="E2306" i="1"/>
  <c r="P2305" i="1"/>
  <c r="E2305" i="1"/>
  <c r="P2304" i="1"/>
  <c r="E2304" i="1"/>
  <c r="P2303" i="1"/>
  <c r="E2303" i="1"/>
  <c r="P2302" i="1"/>
  <c r="E2302" i="1"/>
  <c r="P2301" i="1"/>
  <c r="E2301" i="1"/>
  <c r="P2300" i="1"/>
  <c r="E2300" i="1"/>
  <c r="P2299" i="1"/>
  <c r="E2299" i="1"/>
  <c r="P2298" i="1"/>
  <c r="E2298" i="1"/>
  <c r="P2297" i="1"/>
  <c r="E2297" i="1"/>
  <c r="P2296" i="1"/>
  <c r="E2296" i="1"/>
  <c r="P2295" i="1"/>
  <c r="E2295" i="1"/>
  <c r="P2294" i="1"/>
  <c r="E2294" i="1"/>
  <c r="P2293" i="1"/>
  <c r="E2293" i="1"/>
  <c r="P2292" i="1"/>
  <c r="E2292" i="1"/>
  <c r="P2291" i="1"/>
  <c r="E2291" i="1"/>
  <c r="P2290" i="1"/>
  <c r="E2290" i="1"/>
  <c r="P2289" i="1"/>
  <c r="E2289" i="1"/>
  <c r="P2288" i="1"/>
  <c r="E2288" i="1"/>
  <c r="P2287" i="1"/>
  <c r="E2287" i="1"/>
  <c r="P2286" i="1"/>
  <c r="E2286" i="1"/>
  <c r="P2285" i="1"/>
  <c r="E2285" i="1"/>
  <c r="P2284" i="1"/>
  <c r="E2284" i="1"/>
  <c r="P2283" i="1"/>
  <c r="E2283" i="1"/>
  <c r="P2282" i="1"/>
  <c r="E2282" i="1"/>
  <c r="P2281" i="1"/>
  <c r="E2281" i="1"/>
  <c r="P2280" i="1"/>
  <c r="E2280" i="1"/>
  <c r="P2279" i="1"/>
  <c r="E2279" i="1"/>
  <c r="P2278" i="1"/>
  <c r="E2278" i="1"/>
  <c r="P2277" i="1"/>
  <c r="E2277" i="1"/>
  <c r="P2276" i="1"/>
  <c r="E2276" i="1"/>
  <c r="P2275" i="1"/>
  <c r="E2275" i="1"/>
  <c r="P2274" i="1"/>
  <c r="E2274" i="1"/>
  <c r="P2273" i="1"/>
  <c r="E2273" i="1"/>
  <c r="P2272" i="1"/>
  <c r="E2272" i="1"/>
  <c r="P2271" i="1"/>
  <c r="E2271" i="1"/>
  <c r="P2270" i="1"/>
  <c r="E2270" i="1"/>
  <c r="P2269" i="1"/>
  <c r="E2269" i="1"/>
  <c r="P2268" i="1"/>
  <c r="E2268" i="1"/>
  <c r="P2267" i="1"/>
  <c r="E2267" i="1"/>
  <c r="P2266" i="1"/>
  <c r="E2266" i="1"/>
  <c r="P2265" i="1"/>
  <c r="E2265" i="1"/>
  <c r="P2264" i="1"/>
  <c r="E2264" i="1"/>
  <c r="P2263" i="1"/>
  <c r="E2263" i="1"/>
  <c r="P2262" i="1"/>
  <c r="E2262" i="1"/>
  <c r="P2261" i="1"/>
  <c r="E2261" i="1"/>
  <c r="P2260" i="1"/>
  <c r="E2260" i="1"/>
  <c r="P2259" i="1"/>
  <c r="E2259" i="1"/>
  <c r="P2258" i="1"/>
  <c r="E2258" i="1"/>
  <c r="P2257" i="1"/>
  <c r="E2257" i="1"/>
  <c r="P2256" i="1"/>
  <c r="E2256" i="1"/>
  <c r="P2255" i="1"/>
  <c r="E2255" i="1"/>
  <c r="P2254" i="1"/>
  <c r="E2254" i="1"/>
  <c r="P2253" i="1"/>
  <c r="E2253" i="1"/>
  <c r="P2252" i="1"/>
  <c r="E2252" i="1"/>
  <c r="P2251" i="1"/>
  <c r="E2251" i="1"/>
  <c r="P2250" i="1"/>
  <c r="E2250" i="1"/>
  <c r="P2249" i="1"/>
  <c r="E2249" i="1"/>
  <c r="P2248" i="1"/>
  <c r="E2248" i="1"/>
  <c r="P2247" i="1"/>
  <c r="E2247" i="1"/>
  <c r="P2246" i="1"/>
  <c r="E2246" i="1"/>
  <c r="P2245" i="1"/>
  <c r="E2245" i="1"/>
  <c r="P2244" i="1"/>
  <c r="E2244" i="1"/>
  <c r="P2243" i="1"/>
  <c r="E2243" i="1"/>
  <c r="P2242" i="1"/>
  <c r="E2242" i="1"/>
  <c r="P2241" i="1"/>
  <c r="E2241" i="1"/>
  <c r="P2240" i="1"/>
  <c r="E2240" i="1"/>
  <c r="P2239" i="1"/>
  <c r="E2239" i="1"/>
  <c r="P2238" i="1"/>
  <c r="E2238" i="1"/>
  <c r="P2237" i="1"/>
  <c r="E2237" i="1"/>
  <c r="P2236" i="1"/>
  <c r="E2236" i="1"/>
  <c r="P2235" i="1"/>
  <c r="E2235" i="1"/>
  <c r="P2234" i="1"/>
  <c r="E2234" i="1"/>
  <c r="P2233" i="1"/>
  <c r="E2233" i="1"/>
  <c r="P2232" i="1"/>
  <c r="E2232" i="1"/>
  <c r="P2231" i="1"/>
  <c r="E2231" i="1"/>
  <c r="P2230" i="1"/>
  <c r="E2230" i="1"/>
  <c r="P2229" i="1"/>
  <c r="E2229" i="1"/>
  <c r="P2228" i="1"/>
  <c r="E2228" i="1"/>
  <c r="P2227" i="1"/>
  <c r="E2227" i="1"/>
  <c r="P2226" i="1"/>
  <c r="E2226" i="1"/>
  <c r="P2225" i="1"/>
  <c r="E2225" i="1"/>
  <c r="P2224" i="1"/>
  <c r="E2224" i="1"/>
  <c r="P2223" i="1"/>
  <c r="E2223" i="1"/>
  <c r="P2222" i="1"/>
  <c r="E2222" i="1"/>
  <c r="P2221" i="1"/>
  <c r="E2221" i="1"/>
  <c r="P2220" i="1"/>
  <c r="E2220" i="1"/>
  <c r="P2219" i="1"/>
  <c r="E2219" i="1"/>
  <c r="P2218" i="1"/>
  <c r="E2218" i="1"/>
  <c r="P2217" i="1"/>
  <c r="E2217" i="1"/>
  <c r="P2216" i="1"/>
  <c r="E2216" i="1"/>
  <c r="P2215" i="1"/>
  <c r="E2215" i="1"/>
  <c r="P2214" i="1"/>
  <c r="E2214" i="1"/>
  <c r="P2213" i="1"/>
  <c r="E2213" i="1"/>
  <c r="P2212" i="1"/>
  <c r="E2212" i="1"/>
  <c r="P2211" i="1"/>
  <c r="E2211" i="1"/>
  <c r="P2210" i="1"/>
  <c r="E2210" i="1"/>
  <c r="P2209" i="1"/>
  <c r="E2209" i="1"/>
  <c r="P2208" i="1"/>
  <c r="E2208" i="1"/>
  <c r="P2207" i="1"/>
  <c r="E2207" i="1"/>
  <c r="P2206" i="1"/>
  <c r="E2206" i="1"/>
  <c r="P2205" i="1"/>
  <c r="E2205" i="1"/>
  <c r="P2204" i="1"/>
  <c r="E2204" i="1"/>
  <c r="P2203" i="1"/>
  <c r="E2203" i="1"/>
  <c r="P2202" i="1"/>
  <c r="E2202" i="1"/>
  <c r="P2201" i="1"/>
  <c r="E2201" i="1"/>
  <c r="P2200" i="1"/>
  <c r="E2200" i="1"/>
  <c r="P2199" i="1"/>
  <c r="E2199" i="1"/>
  <c r="P2198" i="1"/>
  <c r="E2198" i="1"/>
  <c r="P2197" i="1"/>
  <c r="E2197" i="1"/>
  <c r="P2196" i="1"/>
  <c r="E2196" i="1"/>
  <c r="P2195" i="1"/>
  <c r="E2195" i="1"/>
  <c r="P2194" i="1"/>
  <c r="E2194" i="1"/>
  <c r="P2193" i="1"/>
  <c r="E2193" i="1"/>
  <c r="P2192" i="1"/>
  <c r="E2192" i="1"/>
  <c r="P2191" i="1"/>
  <c r="E2191" i="1"/>
  <c r="P2190" i="1"/>
  <c r="E2190" i="1"/>
  <c r="P2189" i="1"/>
  <c r="E2189" i="1"/>
  <c r="P2188" i="1"/>
  <c r="E2188" i="1"/>
  <c r="P2187" i="1"/>
  <c r="E2187" i="1"/>
  <c r="P2186" i="1"/>
  <c r="E2186" i="1"/>
  <c r="P2185" i="1"/>
  <c r="E2185" i="1"/>
  <c r="P2184" i="1"/>
  <c r="E2184" i="1"/>
  <c r="P2183" i="1"/>
  <c r="E2183" i="1"/>
  <c r="P2182" i="1"/>
  <c r="E2182" i="1"/>
  <c r="P2181" i="1"/>
  <c r="E2181" i="1"/>
  <c r="P2180" i="1"/>
  <c r="E2180" i="1"/>
  <c r="P2179" i="1"/>
  <c r="E2179" i="1"/>
  <c r="P2178" i="1"/>
  <c r="E2178" i="1"/>
  <c r="P2177" i="1"/>
  <c r="E2177" i="1"/>
  <c r="P2176" i="1"/>
  <c r="E2176" i="1"/>
  <c r="P2175" i="1"/>
  <c r="E2175" i="1"/>
  <c r="P2174" i="1"/>
  <c r="E2174" i="1"/>
  <c r="P2173" i="1"/>
  <c r="E2173" i="1"/>
  <c r="P2172" i="1"/>
  <c r="E2172" i="1"/>
  <c r="P2171" i="1"/>
  <c r="E2171" i="1"/>
  <c r="P2170" i="1"/>
  <c r="E2170" i="1"/>
  <c r="P2169" i="1"/>
  <c r="E2169" i="1"/>
  <c r="P2168" i="1"/>
  <c r="E2168" i="1"/>
  <c r="P2167" i="1"/>
  <c r="E2167" i="1"/>
  <c r="P2166" i="1"/>
  <c r="E2166" i="1"/>
  <c r="P2165" i="1"/>
  <c r="E2165" i="1"/>
  <c r="P2164" i="1"/>
  <c r="E2164" i="1"/>
  <c r="P2163" i="1"/>
  <c r="E2163" i="1"/>
  <c r="P2162" i="1"/>
  <c r="E2162" i="1"/>
  <c r="P2161" i="1"/>
  <c r="E2161" i="1"/>
  <c r="P2160" i="1"/>
  <c r="E2160" i="1"/>
  <c r="P2159" i="1"/>
  <c r="E2159" i="1"/>
  <c r="P2158" i="1"/>
  <c r="E2158" i="1"/>
  <c r="P2157" i="1"/>
  <c r="E2157" i="1"/>
  <c r="P2156" i="1"/>
  <c r="E2156" i="1"/>
  <c r="P2155" i="1"/>
  <c r="E2155" i="1"/>
  <c r="P2154" i="1"/>
  <c r="E2154" i="1"/>
  <c r="P2153" i="1"/>
  <c r="E2153" i="1"/>
  <c r="P2152" i="1"/>
  <c r="E2152" i="1"/>
  <c r="P2151" i="1"/>
  <c r="E2151" i="1"/>
  <c r="P2150" i="1"/>
  <c r="E2150" i="1"/>
  <c r="P2149" i="1"/>
  <c r="E2149" i="1"/>
  <c r="P2148" i="1"/>
  <c r="E2148" i="1"/>
  <c r="P2147" i="1"/>
  <c r="E2147" i="1"/>
  <c r="P2146" i="1"/>
  <c r="E2146" i="1"/>
  <c r="P2145" i="1"/>
  <c r="E2145" i="1"/>
  <c r="P2144" i="1"/>
  <c r="E2144" i="1"/>
  <c r="P2143" i="1"/>
  <c r="E2143" i="1"/>
  <c r="P2142" i="1"/>
  <c r="E2142" i="1"/>
  <c r="P2141" i="1"/>
  <c r="E2141" i="1"/>
  <c r="P2140" i="1"/>
  <c r="E2140" i="1"/>
  <c r="P2139" i="1"/>
  <c r="E2139" i="1"/>
  <c r="P2138" i="1"/>
  <c r="E2138" i="1"/>
  <c r="P2137" i="1"/>
  <c r="E2137" i="1"/>
  <c r="P2136" i="1"/>
  <c r="E2136" i="1"/>
  <c r="P2135" i="1"/>
  <c r="E2135" i="1"/>
  <c r="P2134" i="1"/>
  <c r="E2134" i="1"/>
  <c r="P2133" i="1"/>
  <c r="E2133" i="1"/>
  <c r="P2132" i="1"/>
  <c r="E2132" i="1"/>
  <c r="P2131" i="1"/>
  <c r="E2131" i="1"/>
  <c r="P2130" i="1"/>
  <c r="E2130" i="1"/>
  <c r="P2129" i="1"/>
  <c r="E2129" i="1"/>
  <c r="P2128" i="1"/>
  <c r="E2128" i="1"/>
  <c r="P2127" i="1"/>
  <c r="E2127" i="1"/>
  <c r="P2126" i="1"/>
  <c r="E2126" i="1"/>
  <c r="P2125" i="1"/>
  <c r="E2125" i="1"/>
  <c r="P2124" i="1"/>
  <c r="E2124" i="1"/>
  <c r="P2123" i="1"/>
  <c r="E2123" i="1"/>
  <c r="P2122" i="1"/>
  <c r="E2122" i="1"/>
  <c r="P2121" i="1"/>
  <c r="E2121" i="1"/>
  <c r="P2120" i="1"/>
  <c r="E2120" i="1"/>
  <c r="P2119" i="1"/>
  <c r="E2119" i="1"/>
  <c r="P2118" i="1"/>
  <c r="E2118" i="1"/>
  <c r="P2117" i="1"/>
  <c r="E2117" i="1"/>
  <c r="P2116" i="1"/>
  <c r="E2116" i="1"/>
  <c r="P2115" i="1"/>
  <c r="E2115" i="1"/>
  <c r="P2114" i="1"/>
  <c r="E2114" i="1"/>
  <c r="P2113" i="1"/>
  <c r="E2113" i="1"/>
  <c r="P2112" i="1"/>
  <c r="E2112" i="1"/>
  <c r="P2111" i="1"/>
  <c r="E2111" i="1"/>
  <c r="P2110" i="1"/>
  <c r="E2110" i="1"/>
  <c r="P2109" i="1"/>
  <c r="E2109" i="1"/>
  <c r="P2108" i="1"/>
  <c r="E2108" i="1"/>
  <c r="P2107" i="1"/>
  <c r="E2107" i="1"/>
  <c r="P2106" i="1"/>
  <c r="E2106" i="1"/>
  <c r="P2105" i="1"/>
  <c r="E2105" i="1"/>
  <c r="P2104" i="1"/>
  <c r="E2104" i="1"/>
  <c r="P2103" i="1"/>
  <c r="E2103" i="1"/>
  <c r="P2102" i="1"/>
  <c r="E2102" i="1"/>
  <c r="P2101" i="1"/>
  <c r="E2101" i="1"/>
  <c r="P2100" i="1"/>
  <c r="E2100" i="1"/>
  <c r="P2099" i="1"/>
  <c r="E2099" i="1"/>
  <c r="P2098" i="1"/>
  <c r="E2098" i="1"/>
  <c r="P2097" i="1"/>
  <c r="E2097" i="1"/>
  <c r="P2096" i="1"/>
  <c r="E2096" i="1"/>
  <c r="P2095" i="1"/>
  <c r="E2095" i="1"/>
  <c r="P2094" i="1"/>
  <c r="E2094" i="1"/>
  <c r="P2093" i="1"/>
  <c r="E2093" i="1"/>
  <c r="P2092" i="1"/>
  <c r="E2092" i="1"/>
  <c r="P2091" i="1"/>
  <c r="E2091" i="1"/>
  <c r="P2090" i="1"/>
  <c r="E2090" i="1"/>
  <c r="P2089" i="1"/>
  <c r="E2089" i="1"/>
  <c r="P2088" i="1"/>
  <c r="E2088" i="1"/>
  <c r="P2087" i="1"/>
  <c r="E2087" i="1"/>
  <c r="P2086" i="1"/>
  <c r="E2086" i="1"/>
  <c r="P2085" i="1"/>
  <c r="E2085" i="1"/>
  <c r="P2084" i="1"/>
  <c r="E2084" i="1"/>
  <c r="P2083" i="1"/>
  <c r="E2083" i="1"/>
  <c r="P2082" i="1"/>
  <c r="E2082" i="1"/>
  <c r="P2081" i="1"/>
  <c r="E2081" i="1"/>
  <c r="P2080" i="1"/>
  <c r="E2080" i="1"/>
  <c r="P2079" i="1"/>
  <c r="E2079" i="1"/>
  <c r="P2078" i="1"/>
  <c r="E2078" i="1"/>
  <c r="P2077" i="1"/>
  <c r="E2077" i="1"/>
  <c r="P2076" i="1"/>
  <c r="E2076" i="1"/>
  <c r="P2075" i="1"/>
  <c r="E2075" i="1"/>
  <c r="P2074" i="1"/>
  <c r="E2074" i="1"/>
  <c r="P2073" i="1"/>
  <c r="E2073" i="1"/>
  <c r="P2072" i="1"/>
  <c r="E2072" i="1"/>
  <c r="P2071" i="1"/>
  <c r="E2071" i="1"/>
  <c r="P2070" i="1"/>
  <c r="E2070" i="1"/>
  <c r="P2069" i="1"/>
  <c r="E2069" i="1"/>
  <c r="P2068" i="1"/>
  <c r="E2068" i="1"/>
  <c r="P2067" i="1"/>
  <c r="E2067" i="1"/>
  <c r="P2066" i="1"/>
  <c r="E2066" i="1"/>
  <c r="P2065" i="1"/>
  <c r="E2065" i="1"/>
  <c r="P2064" i="1"/>
  <c r="E2064" i="1"/>
  <c r="P2063" i="1"/>
  <c r="E2063" i="1"/>
  <c r="P2062" i="1"/>
  <c r="E2062" i="1"/>
  <c r="P2061" i="1"/>
  <c r="E2061" i="1"/>
  <c r="P2060" i="1"/>
  <c r="E2060" i="1"/>
  <c r="P2059" i="1"/>
  <c r="E2059" i="1"/>
  <c r="P2058" i="1"/>
  <c r="E2058" i="1"/>
  <c r="P2057" i="1"/>
  <c r="E2057" i="1"/>
  <c r="P2056" i="1"/>
  <c r="E2056" i="1"/>
  <c r="P2055" i="1"/>
  <c r="E2055" i="1"/>
  <c r="P2054" i="1"/>
  <c r="E2054" i="1"/>
  <c r="P2053" i="1"/>
  <c r="E2053" i="1"/>
  <c r="P2052" i="1"/>
  <c r="E2052" i="1"/>
  <c r="P2051" i="1"/>
  <c r="E2051" i="1"/>
  <c r="P2050" i="1"/>
  <c r="E2050" i="1"/>
  <c r="P2049" i="1"/>
  <c r="E2049" i="1"/>
  <c r="P2048" i="1"/>
  <c r="E2048" i="1"/>
  <c r="P2047" i="1"/>
  <c r="E2047" i="1"/>
  <c r="P2046" i="1"/>
  <c r="E2046" i="1"/>
  <c r="P2045" i="1"/>
  <c r="E2045" i="1"/>
  <c r="P2044" i="1"/>
  <c r="E2044" i="1"/>
  <c r="P2043" i="1"/>
  <c r="E2043" i="1"/>
  <c r="P2042" i="1"/>
  <c r="E2042" i="1"/>
  <c r="P2041" i="1"/>
  <c r="E2041" i="1"/>
  <c r="P2040" i="1"/>
  <c r="E2040" i="1"/>
  <c r="P2039" i="1"/>
  <c r="E2039" i="1"/>
  <c r="P2038" i="1"/>
  <c r="E2038" i="1"/>
  <c r="P2037" i="1"/>
  <c r="E2037" i="1"/>
  <c r="P2036" i="1"/>
  <c r="E2036" i="1"/>
  <c r="P2035" i="1"/>
  <c r="E2035" i="1"/>
  <c r="P2034" i="1"/>
  <c r="E2034" i="1"/>
  <c r="P2033" i="1"/>
  <c r="E2033" i="1"/>
  <c r="P2032" i="1"/>
  <c r="E2032" i="1"/>
  <c r="P2031" i="1"/>
  <c r="E2031" i="1"/>
  <c r="P2030" i="1"/>
  <c r="E2030" i="1"/>
  <c r="P2029" i="1"/>
  <c r="E2029" i="1"/>
  <c r="P2028" i="1"/>
  <c r="E2028" i="1"/>
  <c r="P2027" i="1"/>
  <c r="E2027" i="1"/>
  <c r="P2026" i="1"/>
  <c r="E2026" i="1"/>
  <c r="P2025" i="1"/>
  <c r="E2025" i="1"/>
  <c r="P2024" i="1"/>
  <c r="E2024" i="1"/>
  <c r="P2023" i="1"/>
  <c r="E2023" i="1"/>
  <c r="P2022" i="1"/>
  <c r="E2022" i="1"/>
  <c r="P2021" i="1"/>
  <c r="E2021" i="1"/>
  <c r="P2020" i="1"/>
  <c r="E2020" i="1"/>
  <c r="P2019" i="1"/>
  <c r="E2019" i="1"/>
  <c r="P2018" i="1"/>
  <c r="E2018" i="1"/>
  <c r="P2017" i="1"/>
  <c r="E2017" i="1"/>
  <c r="P2016" i="1"/>
  <c r="E2016" i="1"/>
  <c r="P2015" i="1"/>
  <c r="E2015" i="1"/>
  <c r="P2014" i="1"/>
  <c r="E2014" i="1"/>
  <c r="P2013" i="1"/>
  <c r="E2013" i="1"/>
  <c r="P2012" i="1"/>
  <c r="E2012" i="1"/>
  <c r="P2011" i="1"/>
  <c r="E2011" i="1"/>
  <c r="P2010" i="1"/>
  <c r="E2010" i="1"/>
  <c r="P2009" i="1"/>
  <c r="E2009" i="1"/>
  <c r="P2008" i="1"/>
  <c r="E2008" i="1"/>
  <c r="P2007" i="1"/>
  <c r="E2007" i="1"/>
  <c r="P2006" i="1"/>
  <c r="E2006" i="1"/>
  <c r="P2005" i="1"/>
  <c r="E2005" i="1"/>
  <c r="P2004" i="1"/>
  <c r="E2004" i="1"/>
  <c r="P2003" i="1"/>
  <c r="E2003" i="1"/>
  <c r="P2002" i="1"/>
  <c r="E2002" i="1"/>
  <c r="P2001" i="1"/>
  <c r="E2001" i="1"/>
  <c r="P2000" i="1"/>
  <c r="E2000" i="1"/>
  <c r="P1999" i="1"/>
  <c r="E1999" i="1"/>
  <c r="P1998" i="1"/>
  <c r="E1998" i="1"/>
  <c r="P1997" i="1"/>
  <c r="E1997" i="1"/>
  <c r="P1996" i="1"/>
  <c r="E1996" i="1"/>
  <c r="P1995" i="1"/>
  <c r="E1995" i="1"/>
  <c r="P1994" i="1"/>
  <c r="E1994" i="1"/>
  <c r="P1993" i="1"/>
  <c r="E1993" i="1"/>
  <c r="P1992" i="1"/>
  <c r="E1992" i="1"/>
  <c r="P1991" i="1"/>
  <c r="E1991" i="1"/>
  <c r="P1990" i="1"/>
  <c r="E1990" i="1"/>
  <c r="P1989" i="1"/>
  <c r="E1989" i="1"/>
  <c r="P1988" i="1"/>
  <c r="E1988" i="1"/>
  <c r="P1987" i="1"/>
  <c r="E1987" i="1"/>
  <c r="P1986" i="1"/>
  <c r="E1986" i="1"/>
  <c r="P1985" i="1"/>
  <c r="E1985" i="1"/>
  <c r="P1984" i="1"/>
  <c r="E1984" i="1"/>
  <c r="P1983" i="1"/>
  <c r="E1983" i="1"/>
  <c r="P1982" i="1"/>
  <c r="E1982" i="1"/>
  <c r="P1981" i="1"/>
  <c r="E1981" i="1"/>
  <c r="P1980" i="1"/>
  <c r="E1980" i="1"/>
  <c r="P1979" i="1"/>
  <c r="E1979" i="1"/>
  <c r="P1978" i="1"/>
  <c r="E1978" i="1"/>
  <c r="P1977" i="1"/>
  <c r="E1977" i="1"/>
  <c r="P1976" i="1"/>
  <c r="E1976" i="1"/>
  <c r="P1975" i="1"/>
  <c r="E1975" i="1"/>
  <c r="P1974" i="1"/>
  <c r="E1974" i="1"/>
  <c r="P1973" i="1"/>
  <c r="E1973" i="1"/>
  <c r="P1972" i="1"/>
  <c r="E1972" i="1"/>
  <c r="P1971" i="1"/>
  <c r="E1971" i="1"/>
  <c r="P1970" i="1"/>
  <c r="E1970" i="1"/>
  <c r="P1969" i="1"/>
  <c r="E1969" i="1"/>
  <c r="P1968" i="1"/>
  <c r="E1968" i="1"/>
  <c r="P1967" i="1"/>
  <c r="E1967" i="1"/>
  <c r="P1966" i="1"/>
  <c r="E1966" i="1"/>
  <c r="P1965" i="1"/>
  <c r="E1965" i="1"/>
  <c r="P1964" i="1"/>
  <c r="E1964" i="1"/>
  <c r="P1963" i="1"/>
  <c r="E1963" i="1"/>
  <c r="P1962" i="1"/>
  <c r="E1962" i="1"/>
  <c r="P1961" i="1"/>
  <c r="E1961" i="1"/>
  <c r="P1960" i="1"/>
  <c r="E1960" i="1"/>
  <c r="P1959" i="1"/>
  <c r="E1959" i="1"/>
  <c r="P1958" i="1"/>
  <c r="E1958" i="1"/>
  <c r="P1957" i="1"/>
  <c r="E1957" i="1"/>
  <c r="P1956" i="1"/>
  <c r="E1956" i="1"/>
  <c r="P1955" i="1"/>
  <c r="E1955" i="1"/>
  <c r="P1954" i="1"/>
  <c r="E1954" i="1"/>
  <c r="P1953" i="1"/>
  <c r="E1953" i="1"/>
  <c r="P1952" i="1"/>
  <c r="E1952" i="1"/>
  <c r="P1951" i="1"/>
  <c r="E1951" i="1"/>
  <c r="P1950" i="1"/>
  <c r="E1950" i="1"/>
  <c r="P1949" i="1"/>
  <c r="E1949" i="1"/>
  <c r="P1948" i="1"/>
  <c r="E1948" i="1"/>
  <c r="P1947" i="1"/>
  <c r="E1947" i="1"/>
  <c r="P1946" i="1"/>
  <c r="E1946" i="1"/>
  <c r="P1945" i="1"/>
  <c r="E1945" i="1"/>
  <c r="P1944" i="1"/>
  <c r="E1944" i="1"/>
  <c r="P1943" i="1"/>
  <c r="E1943" i="1"/>
  <c r="P1942" i="1"/>
  <c r="E1942" i="1"/>
  <c r="P1941" i="1"/>
  <c r="E1941" i="1"/>
  <c r="P1940" i="1"/>
  <c r="E1940" i="1"/>
  <c r="P1939" i="1"/>
  <c r="E1939" i="1"/>
  <c r="P1938" i="1"/>
  <c r="E1938" i="1"/>
  <c r="P1937" i="1"/>
  <c r="E1937" i="1"/>
  <c r="P1936" i="1"/>
  <c r="E1936" i="1"/>
  <c r="P1935" i="1"/>
  <c r="E1935" i="1"/>
  <c r="P1934" i="1"/>
  <c r="E1934" i="1"/>
  <c r="P1933" i="1"/>
  <c r="E1933" i="1"/>
  <c r="P1932" i="1"/>
  <c r="E1932" i="1"/>
  <c r="P1931" i="1"/>
  <c r="E1931" i="1"/>
  <c r="P1930" i="1"/>
  <c r="E1930" i="1"/>
  <c r="P1929" i="1"/>
  <c r="E1929" i="1"/>
  <c r="P1928" i="1"/>
  <c r="E1928" i="1"/>
  <c r="P1927" i="1"/>
  <c r="E1927" i="1"/>
  <c r="P1926" i="1"/>
  <c r="E1926" i="1"/>
  <c r="P1925" i="1"/>
  <c r="E1925" i="1"/>
  <c r="P1924" i="1"/>
  <c r="E1924" i="1"/>
  <c r="P1923" i="1"/>
  <c r="E1923" i="1"/>
  <c r="P1922" i="1"/>
  <c r="E1922" i="1"/>
  <c r="P1921" i="1"/>
  <c r="E1921" i="1"/>
  <c r="P1920" i="1"/>
  <c r="E1920" i="1"/>
  <c r="P1919" i="1"/>
  <c r="E1919" i="1"/>
  <c r="P1918" i="1"/>
  <c r="E1918" i="1"/>
  <c r="P1917" i="1"/>
  <c r="E1917" i="1"/>
  <c r="P1916" i="1"/>
  <c r="E1916" i="1"/>
  <c r="P1915" i="1"/>
  <c r="E1915" i="1"/>
  <c r="P1914" i="1"/>
  <c r="E1914" i="1"/>
  <c r="P1913" i="1"/>
  <c r="E1913" i="1"/>
  <c r="P1912" i="1"/>
  <c r="E1912" i="1"/>
  <c r="P1911" i="1"/>
  <c r="E1911" i="1"/>
  <c r="P1910" i="1"/>
  <c r="E1910" i="1"/>
  <c r="P1909" i="1"/>
  <c r="E1909" i="1"/>
  <c r="P1908" i="1"/>
  <c r="E1908" i="1"/>
  <c r="P1907" i="1"/>
  <c r="E1907" i="1"/>
  <c r="P1906" i="1"/>
  <c r="E1906" i="1"/>
  <c r="P1905" i="1"/>
  <c r="E1905" i="1"/>
  <c r="P1904" i="1"/>
  <c r="E1904" i="1"/>
  <c r="P1903" i="1"/>
  <c r="E1903" i="1"/>
  <c r="P1902" i="1"/>
  <c r="E1902" i="1"/>
  <c r="P1901" i="1"/>
  <c r="E1901" i="1"/>
  <c r="P1900" i="1"/>
  <c r="E1900" i="1"/>
  <c r="P1899" i="1"/>
  <c r="E1899" i="1"/>
  <c r="P1898" i="1"/>
  <c r="E1898" i="1"/>
  <c r="P1897" i="1"/>
  <c r="E1897" i="1"/>
  <c r="P1896" i="1"/>
  <c r="E1896" i="1"/>
  <c r="P1895" i="1"/>
  <c r="E1895" i="1"/>
  <c r="P1894" i="1"/>
  <c r="E1894" i="1"/>
  <c r="P1893" i="1"/>
  <c r="E1893" i="1"/>
  <c r="P1892" i="1"/>
  <c r="E1892" i="1"/>
  <c r="P1891" i="1"/>
  <c r="E1891" i="1"/>
  <c r="P1890" i="1"/>
  <c r="E1890" i="1"/>
  <c r="P1889" i="1"/>
  <c r="E1889" i="1"/>
  <c r="P1888" i="1"/>
  <c r="E1888" i="1"/>
  <c r="P1887" i="1"/>
  <c r="E1887" i="1"/>
  <c r="P1886" i="1"/>
  <c r="E1886" i="1"/>
  <c r="P1885" i="1"/>
  <c r="E1885" i="1"/>
  <c r="P1884" i="1"/>
  <c r="E1884" i="1"/>
  <c r="P1883" i="1"/>
  <c r="E1883" i="1"/>
  <c r="P1882" i="1"/>
  <c r="E1882" i="1"/>
  <c r="P1881" i="1"/>
  <c r="E1881" i="1"/>
  <c r="P1880" i="1"/>
  <c r="E1880" i="1"/>
  <c r="P1879" i="1"/>
  <c r="E1879" i="1"/>
  <c r="P1878" i="1"/>
  <c r="E1878" i="1"/>
  <c r="P1877" i="1"/>
  <c r="E1877" i="1"/>
  <c r="P1876" i="1"/>
  <c r="E1876" i="1"/>
  <c r="P1875" i="1"/>
  <c r="E1875" i="1"/>
  <c r="P1874" i="1"/>
  <c r="E1874" i="1"/>
  <c r="P1873" i="1"/>
  <c r="E1873" i="1"/>
  <c r="P1872" i="1"/>
  <c r="E1872" i="1"/>
  <c r="P1871" i="1"/>
  <c r="E1871" i="1"/>
  <c r="P1870" i="1"/>
  <c r="E1870" i="1"/>
  <c r="P1869" i="1"/>
  <c r="E1869" i="1"/>
  <c r="P1868" i="1"/>
  <c r="E1868" i="1"/>
  <c r="P1867" i="1"/>
  <c r="E1867" i="1"/>
  <c r="P1866" i="1"/>
  <c r="E1866" i="1"/>
  <c r="P1865" i="1"/>
  <c r="E1865" i="1"/>
  <c r="P1864" i="1"/>
  <c r="E1864" i="1"/>
  <c r="P1863" i="1"/>
  <c r="E1863" i="1"/>
  <c r="P1862" i="1"/>
  <c r="E1862" i="1"/>
  <c r="P1861" i="1"/>
  <c r="E1861" i="1"/>
  <c r="P1860" i="1"/>
  <c r="E1860" i="1"/>
  <c r="P1859" i="1"/>
  <c r="E1859" i="1"/>
  <c r="P1858" i="1"/>
  <c r="E1858" i="1"/>
  <c r="P1857" i="1"/>
  <c r="E1857" i="1"/>
  <c r="P1856" i="1"/>
  <c r="E1856" i="1"/>
  <c r="P1855" i="1"/>
  <c r="E1855" i="1"/>
  <c r="P1854" i="1"/>
  <c r="E1854" i="1"/>
  <c r="P1853" i="1"/>
  <c r="E1853" i="1"/>
  <c r="P1852" i="1"/>
  <c r="E1852" i="1"/>
  <c r="P1851" i="1"/>
  <c r="E1851" i="1"/>
  <c r="P1850" i="1"/>
  <c r="E1850" i="1"/>
  <c r="P1849" i="1"/>
  <c r="E1849" i="1"/>
  <c r="P1848" i="1"/>
  <c r="E1848" i="1"/>
  <c r="P1847" i="1"/>
  <c r="E1847" i="1"/>
  <c r="P1846" i="1"/>
  <c r="E1846" i="1"/>
  <c r="P1845" i="1"/>
  <c r="E1845" i="1"/>
  <c r="P1844" i="1"/>
  <c r="E1844" i="1"/>
  <c r="P1843" i="1"/>
  <c r="E1843" i="1"/>
  <c r="P1842" i="1"/>
  <c r="E1842" i="1"/>
  <c r="P1841" i="1"/>
  <c r="E1841" i="1"/>
  <c r="P1840" i="1"/>
  <c r="E1840" i="1"/>
  <c r="P1839" i="1"/>
  <c r="E1839" i="1"/>
  <c r="P1838" i="1"/>
  <c r="E1838" i="1"/>
  <c r="P1837" i="1"/>
  <c r="E1837" i="1"/>
  <c r="P1836" i="1"/>
  <c r="E1836" i="1"/>
  <c r="P1835" i="1"/>
  <c r="E1835" i="1"/>
  <c r="P1834" i="1"/>
  <c r="E1834" i="1"/>
  <c r="P1833" i="1"/>
  <c r="E1833" i="1"/>
  <c r="P1832" i="1"/>
  <c r="E1832" i="1"/>
  <c r="P1831" i="1"/>
  <c r="E1831" i="1"/>
  <c r="P1830" i="1"/>
  <c r="E1830" i="1"/>
  <c r="P1829" i="1"/>
  <c r="E1829" i="1"/>
  <c r="P1828" i="1"/>
  <c r="E1828" i="1"/>
  <c r="P1827" i="1"/>
  <c r="E1827" i="1"/>
  <c r="P1826" i="1"/>
  <c r="E1826" i="1"/>
  <c r="P1825" i="1"/>
  <c r="E1825" i="1"/>
  <c r="P1824" i="1"/>
  <c r="E1824" i="1"/>
  <c r="P1823" i="1"/>
  <c r="E1823" i="1"/>
  <c r="P1822" i="1"/>
  <c r="E1822" i="1"/>
  <c r="P1821" i="1"/>
  <c r="E1821" i="1"/>
  <c r="P1820" i="1"/>
  <c r="E1820" i="1"/>
  <c r="P1819" i="1"/>
  <c r="E1819" i="1"/>
  <c r="P1818" i="1"/>
  <c r="E1818" i="1"/>
  <c r="P1817" i="1"/>
  <c r="E1817" i="1"/>
  <c r="P1816" i="1"/>
  <c r="E1816" i="1"/>
  <c r="P1815" i="1"/>
  <c r="E1815" i="1"/>
  <c r="P1814" i="1"/>
  <c r="E1814" i="1"/>
  <c r="P1813" i="1"/>
  <c r="E1813" i="1"/>
  <c r="P1812" i="1"/>
  <c r="E1812" i="1"/>
  <c r="P1811" i="1"/>
  <c r="E1811" i="1"/>
  <c r="P1810" i="1"/>
  <c r="E1810" i="1"/>
  <c r="P1809" i="1"/>
  <c r="E1809" i="1"/>
  <c r="P1808" i="1"/>
  <c r="E1808" i="1"/>
  <c r="P1807" i="1"/>
  <c r="E1807" i="1"/>
  <c r="P1806" i="1"/>
  <c r="E1806" i="1"/>
  <c r="P1805" i="1"/>
  <c r="E1805" i="1"/>
  <c r="P1804" i="1"/>
  <c r="E1804" i="1"/>
  <c r="P1803" i="1"/>
  <c r="E1803" i="1"/>
  <c r="P1802" i="1"/>
  <c r="E1802" i="1"/>
  <c r="P1801" i="1"/>
  <c r="E1801" i="1"/>
  <c r="P1800" i="1"/>
  <c r="E1800" i="1"/>
  <c r="P1799" i="1"/>
  <c r="E1799" i="1"/>
  <c r="P1798" i="1"/>
  <c r="E1798" i="1"/>
  <c r="P1797" i="1"/>
  <c r="E1797" i="1"/>
  <c r="P1796" i="1"/>
  <c r="E1796" i="1"/>
  <c r="P1795" i="1"/>
  <c r="E1795" i="1"/>
  <c r="P1794" i="1"/>
  <c r="E1794" i="1"/>
  <c r="P1793" i="1"/>
  <c r="E1793" i="1"/>
  <c r="P1792" i="1"/>
  <c r="E1792" i="1"/>
  <c r="P1791" i="1"/>
  <c r="E1791" i="1"/>
  <c r="P1790" i="1"/>
  <c r="E1790" i="1"/>
  <c r="P1789" i="1"/>
  <c r="E1789" i="1"/>
  <c r="P1788" i="1"/>
  <c r="E1788" i="1"/>
  <c r="P1787" i="1"/>
  <c r="E1787" i="1"/>
  <c r="P1786" i="1"/>
  <c r="E1786" i="1"/>
  <c r="P1785" i="1"/>
  <c r="E1785" i="1"/>
  <c r="P1784" i="1"/>
  <c r="E1784" i="1"/>
  <c r="P1783" i="1"/>
  <c r="E1783" i="1"/>
  <c r="P1782" i="1"/>
  <c r="E1782" i="1"/>
  <c r="P1781" i="1"/>
  <c r="E1781" i="1"/>
  <c r="P1780" i="1"/>
  <c r="E1780" i="1"/>
  <c r="P1779" i="1"/>
  <c r="E1779" i="1"/>
  <c r="P1778" i="1"/>
  <c r="E1778" i="1"/>
  <c r="P1777" i="1"/>
  <c r="E1777" i="1"/>
  <c r="P1776" i="1"/>
  <c r="E1776" i="1"/>
  <c r="P1775" i="1"/>
  <c r="E1775" i="1"/>
  <c r="P1774" i="1"/>
  <c r="E1774" i="1"/>
  <c r="P1773" i="1"/>
  <c r="E1773" i="1"/>
  <c r="P1772" i="1"/>
  <c r="E1772" i="1"/>
  <c r="P1771" i="1"/>
  <c r="E1771" i="1"/>
  <c r="P1770" i="1"/>
  <c r="E1770" i="1"/>
  <c r="P1769" i="1"/>
  <c r="E1769" i="1"/>
  <c r="P1768" i="1"/>
  <c r="E1768" i="1"/>
  <c r="P1767" i="1"/>
  <c r="E1767" i="1"/>
  <c r="P1766" i="1"/>
  <c r="E1766" i="1"/>
  <c r="P1765" i="1"/>
  <c r="E1765" i="1"/>
  <c r="P1764" i="1"/>
  <c r="E1764" i="1"/>
  <c r="P1763" i="1"/>
  <c r="E1763" i="1"/>
  <c r="P1762" i="1"/>
  <c r="E1762" i="1"/>
  <c r="P1761" i="1"/>
  <c r="E1761" i="1"/>
  <c r="P1760" i="1"/>
  <c r="E1760" i="1"/>
  <c r="P1759" i="1"/>
  <c r="E1759" i="1"/>
  <c r="P1758" i="1"/>
  <c r="E1758" i="1"/>
  <c r="P1757" i="1"/>
  <c r="E1757" i="1"/>
  <c r="P1756" i="1"/>
  <c r="E1756" i="1"/>
  <c r="P1755" i="1"/>
  <c r="E1755" i="1"/>
  <c r="P1754" i="1"/>
  <c r="E1754" i="1"/>
  <c r="P1753" i="1"/>
  <c r="E1753" i="1"/>
  <c r="P1752" i="1"/>
  <c r="E1752" i="1"/>
  <c r="P1751" i="1"/>
  <c r="E1751" i="1"/>
  <c r="P1750" i="1"/>
  <c r="E1750" i="1"/>
  <c r="P1749" i="1"/>
  <c r="E1749" i="1"/>
  <c r="P1748" i="1"/>
  <c r="E1748" i="1"/>
  <c r="P1747" i="1"/>
  <c r="E1747" i="1"/>
  <c r="P1746" i="1"/>
  <c r="E1746" i="1"/>
  <c r="P1745" i="1"/>
  <c r="E1745" i="1"/>
  <c r="P1744" i="1"/>
  <c r="E1744" i="1"/>
  <c r="P1743" i="1"/>
  <c r="E1743" i="1"/>
  <c r="P1742" i="1"/>
  <c r="E1742" i="1"/>
  <c r="P1741" i="1"/>
  <c r="E1741" i="1"/>
  <c r="P1740" i="1"/>
  <c r="E1740" i="1"/>
  <c r="P1739" i="1"/>
  <c r="E1739" i="1"/>
  <c r="P1738" i="1"/>
  <c r="E1738" i="1"/>
  <c r="P1737" i="1"/>
  <c r="E1737" i="1"/>
  <c r="P1736" i="1"/>
  <c r="E1736" i="1"/>
  <c r="P1735" i="1"/>
  <c r="E1735" i="1"/>
  <c r="P1734" i="1"/>
  <c r="E1734" i="1"/>
  <c r="P1733" i="1"/>
  <c r="E1733" i="1"/>
  <c r="P1732" i="1"/>
  <c r="E1732" i="1"/>
  <c r="P1731" i="1"/>
  <c r="E1731" i="1"/>
  <c r="P1730" i="1"/>
  <c r="E1730" i="1"/>
  <c r="P1729" i="1"/>
  <c r="E1729" i="1"/>
  <c r="P1728" i="1"/>
  <c r="E1728" i="1"/>
  <c r="P1727" i="1"/>
  <c r="E1727" i="1"/>
  <c r="P1726" i="1"/>
  <c r="E1726" i="1"/>
  <c r="P1725" i="1"/>
  <c r="E1725" i="1"/>
  <c r="P1724" i="1"/>
  <c r="E1724" i="1"/>
  <c r="P1723" i="1"/>
  <c r="E1723" i="1"/>
  <c r="P1722" i="1"/>
  <c r="E1722" i="1"/>
  <c r="P1721" i="1"/>
  <c r="E1721" i="1"/>
  <c r="P1720" i="1"/>
  <c r="E1720" i="1"/>
  <c r="P1719" i="1"/>
  <c r="E1719" i="1"/>
  <c r="P1718" i="1"/>
  <c r="E1718" i="1"/>
  <c r="P1717" i="1"/>
  <c r="E1717" i="1"/>
  <c r="P1716" i="1"/>
  <c r="E1716" i="1"/>
  <c r="P1715" i="1"/>
  <c r="E1715" i="1"/>
  <c r="P1714" i="1"/>
  <c r="E1714" i="1"/>
  <c r="P1713" i="1"/>
  <c r="E1713" i="1"/>
  <c r="P1712" i="1"/>
  <c r="E1712" i="1"/>
  <c r="P1711" i="1"/>
  <c r="E1711" i="1"/>
  <c r="P1710" i="1"/>
  <c r="E1710" i="1"/>
  <c r="P1709" i="1"/>
  <c r="E1709" i="1"/>
  <c r="P1708" i="1"/>
  <c r="E1708" i="1"/>
  <c r="P1707" i="1"/>
  <c r="E1707" i="1"/>
  <c r="P1706" i="1"/>
  <c r="E1706" i="1"/>
  <c r="P1705" i="1"/>
  <c r="E1705" i="1"/>
  <c r="P1704" i="1"/>
  <c r="E1704" i="1"/>
  <c r="P1703" i="1"/>
  <c r="E1703" i="1"/>
  <c r="P1702" i="1"/>
  <c r="E1702" i="1"/>
  <c r="P1701" i="1"/>
  <c r="E1701" i="1"/>
  <c r="P1700" i="1"/>
  <c r="E1700" i="1"/>
  <c r="P1699" i="1"/>
  <c r="E1699" i="1"/>
  <c r="P1698" i="1"/>
  <c r="E1698" i="1"/>
  <c r="P1697" i="1"/>
  <c r="E1697" i="1"/>
  <c r="P1696" i="1"/>
  <c r="E1696" i="1"/>
  <c r="P1695" i="1"/>
  <c r="E1695" i="1"/>
  <c r="P1694" i="1"/>
  <c r="E1694" i="1"/>
  <c r="P1693" i="1"/>
  <c r="E1693" i="1"/>
  <c r="P1692" i="1"/>
  <c r="E1692" i="1"/>
  <c r="P1691" i="1"/>
  <c r="E1691" i="1"/>
  <c r="P1690" i="1"/>
  <c r="E1690" i="1"/>
  <c r="P1689" i="1"/>
  <c r="E1689" i="1"/>
  <c r="P1688" i="1"/>
  <c r="E1688" i="1"/>
  <c r="P1687" i="1"/>
  <c r="E1687" i="1"/>
  <c r="P1686" i="1"/>
  <c r="E1686" i="1"/>
  <c r="P1685" i="1"/>
  <c r="E1685" i="1"/>
  <c r="P1684" i="1"/>
  <c r="E1684" i="1"/>
  <c r="P1683" i="1"/>
  <c r="E1683" i="1"/>
  <c r="P1682" i="1"/>
  <c r="E1682" i="1"/>
  <c r="P1681" i="1"/>
  <c r="E1681" i="1"/>
  <c r="P1680" i="1"/>
  <c r="E1680" i="1"/>
  <c r="P1679" i="1"/>
  <c r="E1679" i="1"/>
  <c r="P1678" i="1"/>
  <c r="E1678" i="1"/>
  <c r="P1677" i="1"/>
  <c r="E1677" i="1"/>
  <c r="P1676" i="1"/>
  <c r="E1676" i="1"/>
  <c r="P1675" i="1"/>
  <c r="E1675" i="1"/>
  <c r="P1674" i="1"/>
  <c r="E1674" i="1"/>
  <c r="P1673" i="1"/>
  <c r="E1673" i="1"/>
  <c r="P1672" i="1"/>
  <c r="E1672" i="1"/>
  <c r="P1671" i="1"/>
  <c r="E1671" i="1"/>
  <c r="P1670" i="1"/>
  <c r="E1670" i="1"/>
  <c r="P1669" i="1"/>
  <c r="E1669" i="1"/>
  <c r="P1668" i="1"/>
  <c r="E1668" i="1"/>
  <c r="P1667" i="1"/>
  <c r="E1667" i="1"/>
  <c r="P1666" i="1"/>
  <c r="E1666" i="1"/>
  <c r="P1665" i="1"/>
  <c r="E1665" i="1"/>
  <c r="P1664" i="1"/>
  <c r="E1664" i="1"/>
  <c r="P1663" i="1"/>
  <c r="E1663" i="1"/>
  <c r="P1662" i="1"/>
  <c r="E1662" i="1"/>
  <c r="P1661" i="1"/>
  <c r="E1661" i="1"/>
  <c r="P1660" i="1"/>
  <c r="E1660" i="1"/>
  <c r="P1659" i="1"/>
  <c r="E1659" i="1"/>
  <c r="P1658" i="1"/>
  <c r="E1658" i="1"/>
  <c r="P1657" i="1"/>
  <c r="E1657" i="1"/>
  <c r="P1656" i="1"/>
  <c r="E1656" i="1"/>
  <c r="P1655" i="1"/>
  <c r="E1655" i="1"/>
  <c r="P1654" i="1"/>
  <c r="E1654" i="1"/>
  <c r="P1653" i="1"/>
  <c r="E1653" i="1"/>
  <c r="P1652" i="1"/>
  <c r="E1652" i="1"/>
  <c r="P1651" i="1"/>
  <c r="E1651" i="1"/>
  <c r="P1650" i="1"/>
  <c r="E1650" i="1"/>
  <c r="P1649" i="1"/>
  <c r="E1649" i="1"/>
  <c r="P1648" i="1"/>
  <c r="E1648" i="1"/>
  <c r="P1647" i="1"/>
  <c r="E1647" i="1"/>
  <c r="P1646" i="1"/>
  <c r="E1646" i="1"/>
  <c r="P1645" i="1"/>
  <c r="E1645" i="1"/>
  <c r="P1644" i="1"/>
  <c r="E1644" i="1"/>
  <c r="P1643" i="1"/>
  <c r="E1643" i="1"/>
  <c r="P1642" i="1"/>
  <c r="E1642" i="1"/>
  <c r="P1641" i="1"/>
  <c r="E1641" i="1"/>
  <c r="P1640" i="1"/>
  <c r="E1640" i="1"/>
  <c r="P1639" i="1"/>
  <c r="E1639" i="1"/>
  <c r="P1638" i="1"/>
  <c r="E1638" i="1"/>
  <c r="P1637" i="1"/>
  <c r="E1637" i="1"/>
  <c r="P1636" i="1"/>
  <c r="E1636" i="1"/>
  <c r="P1635" i="1"/>
  <c r="E1635" i="1"/>
  <c r="P1634" i="1"/>
  <c r="E1634" i="1"/>
  <c r="P1633" i="1"/>
  <c r="E1633" i="1"/>
  <c r="P1632" i="1"/>
  <c r="E1632" i="1"/>
  <c r="P1631" i="1"/>
  <c r="E1631" i="1"/>
  <c r="P1630" i="1"/>
  <c r="E1630" i="1"/>
  <c r="P1629" i="1"/>
  <c r="E1629" i="1"/>
  <c r="P1628" i="1"/>
  <c r="E1628" i="1"/>
  <c r="P1627" i="1"/>
  <c r="E1627" i="1"/>
  <c r="P1626" i="1"/>
  <c r="E1626" i="1"/>
  <c r="P1625" i="1"/>
  <c r="E1625" i="1"/>
  <c r="P1624" i="1"/>
  <c r="E1624" i="1"/>
  <c r="P1623" i="1"/>
  <c r="E1623" i="1"/>
  <c r="P1622" i="1"/>
  <c r="E1622" i="1"/>
  <c r="P1621" i="1"/>
  <c r="E1621" i="1"/>
  <c r="P1620" i="1"/>
  <c r="E1620" i="1"/>
  <c r="P1619" i="1"/>
  <c r="E1619" i="1"/>
  <c r="P1618" i="1"/>
  <c r="E1618" i="1"/>
  <c r="P1617" i="1"/>
  <c r="E1617" i="1"/>
  <c r="P1616" i="1"/>
  <c r="E1616" i="1"/>
  <c r="P1615" i="1"/>
  <c r="E1615" i="1"/>
  <c r="P1614" i="1"/>
  <c r="E1614" i="1"/>
  <c r="P1613" i="1"/>
  <c r="E1613" i="1"/>
  <c r="P1612" i="1"/>
  <c r="E1612" i="1"/>
  <c r="P1611" i="1"/>
  <c r="E1611" i="1"/>
  <c r="P1610" i="1"/>
  <c r="E1610" i="1"/>
  <c r="P1609" i="1"/>
  <c r="E1609" i="1"/>
  <c r="P1608" i="1"/>
  <c r="E1608" i="1"/>
  <c r="P1607" i="1"/>
  <c r="E1607" i="1"/>
  <c r="P1606" i="1"/>
  <c r="E1606" i="1"/>
  <c r="P1605" i="1"/>
  <c r="E1605" i="1"/>
  <c r="P1604" i="1"/>
  <c r="E1604" i="1"/>
  <c r="P1603" i="1"/>
  <c r="E1603" i="1"/>
  <c r="P1602" i="1"/>
  <c r="E1602" i="1"/>
  <c r="P1601" i="1"/>
  <c r="E1601" i="1"/>
  <c r="P1600" i="1"/>
  <c r="E1600" i="1"/>
  <c r="P1599" i="1"/>
  <c r="E1599" i="1"/>
  <c r="P1598" i="1"/>
  <c r="E1598" i="1"/>
  <c r="P1597" i="1"/>
  <c r="E1597" i="1"/>
  <c r="P1596" i="1"/>
  <c r="E1596" i="1"/>
  <c r="P1595" i="1"/>
  <c r="E1595" i="1"/>
  <c r="P1594" i="1"/>
  <c r="E1594" i="1"/>
  <c r="P1593" i="1"/>
  <c r="E1593" i="1"/>
  <c r="P1592" i="1"/>
  <c r="E1592" i="1"/>
  <c r="P1591" i="1"/>
  <c r="E1591" i="1"/>
  <c r="P1590" i="1"/>
  <c r="E1590" i="1"/>
  <c r="P1589" i="1"/>
  <c r="E1589" i="1"/>
  <c r="P1588" i="1"/>
  <c r="E1588" i="1"/>
  <c r="P1587" i="1"/>
  <c r="E1587" i="1"/>
  <c r="P1586" i="1"/>
  <c r="E1586" i="1"/>
  <c r="P1585" i="1"/>
  <c r="E1585" i="1"/>
  <c r="P1584" i="1"/>
  <c r="E1584" i="1"/>
  <c r="P1583" i="1"/>
  <c r="E1583" i="1"/>
  <c r="P1582" i="1"/>
  <c r="E1582" i="1"/>
  <c r="P1581" i="1"/>
  <c r="E1581" i="1"/>
  <c r="P1580" i="1"/>
  <c r="E1580" i="1"/>
  <c r="P1579" i="1"/>
  <c r="E1579" i="1"/>
  <c r="P1578" i="1"/>
  <c r="E1578" i="1"/>
  <c r="P1577" i="1"/>
  <c r="E1577" i="1"/>
  <c r="P1576" i="1"/>
  <c r="E1576" i="1"/>
  <c r="P1575" i="1"/>
  <c r="E1575" i="1"/>
  <c r="P1574" i="1"/>
  <c r="E1574" i="1"/>
  <c r="P1573" i="1"/>
  <c r="E1573" i="1"/>
  <c r="P1572" i="1"/>
  <c r="E1572" i="1"/>
  <c r="P1571" i="1"/>
  <c r="E1571" i="1"/>
  <c r="P1570" i="1"/>
  <c r="E1570" i="1"/>
  <c r="P1569" i="1"/>
  <c r="E1569" i="1"/>
  <c r="P1568" i="1"/>
  <c r="E1568" i="1"/>
  <c r="P1567" i="1"/>
  <c r="E1567" i="1"/>
  <c r="P1566" i="1"/>
  <c r="E1566" i="1"/>
  <c r="P1565" i="1"/>
  <c r="E1565" i="1"/>
  <c r="P1564" i="1"/>
  <c r="E1564" i="1"/>
  <c r="P1563" i="1"/>
  <c r="E1563" i="1"/>
  <c r="P1562" i="1"/>
  <c r="E1562" i="1"/>
  <c r="P1561" i="1"/>
  <c r="E1561" i="1"/>
  <c r="P1560" i="1"/>
  <c r="E1560" i="1"/>
  <c r="P1559" i="1"/>
  <c r="E1559" i="1"/>
  <c r="P1558" i="1"/>
  <c r="E1558" i="1"/>
  <c r="P1557" i="1"/>
  <c r="E1557" i="1"/>
  <c r="P1556" i="1"/>
  <c r="E1556" i="1"/>
  <c r="P1555" i="1"/>
  <c r="E1555" i="1"/>
  <c r="P1554" i="1"/>
  <c r="E1554" i="1"/>
  <c r="P1553" i="1"/>
  <c r="E1553" i="1"/>
  <c r="P1552" i="1"/>
  <c r="E1552" i="1"/>
  <c r="P1551" i="1"/>
  <c r="E1551" i="1"/>
  <c r="P1550" i="1"/>
  <c r="E1550" i="1"/>
  <c r="P1549" i="1"/>
  <c r="E1549" i="1"/>
  <c r="P1548" i="1"/>
  <c r="E1548" i="1"/>
  <c r="P1547" i="1"/>
  <c r="E1547" i="1"/>
  <c r="P1546" i="1"/>
  <c r="E1546" i="1"/>
  <c r="P1545" i="1"/>
  <c r="E1545" i="1"/>
  <c r="P1544" i="1"/>
  <c r="E1544" i="1"/>
  <c r="P1543" i="1"/>
  <c r="E1543" i="1"/>
  <c r="P1542" i="1"/>
  <c r="E1542" i="1"/>
  <c r="P1541" i="1"/>
  <c r="E1541" i="1"/>
  <c r="P1540" i="1"/>
  <c r="E1540" i="1"/>
  <c r="P1539" i="1"/>
  <c r="E1539" i="1"/>
  <c r="P1538" i="1"/>
  <c r="E1538" i="1"/>
  <c r="P1537" i="1"/>
  <c r="E1537" i="1"/>
  <c r="P1536" i="1"/>
  <c r="E1536" i="1"/>
  <c r="P1535" i="1"/>
  <c r="E1535" i="1"/>
  <c r="P1534" i="1"/>
  <c r="E1534" i="1"/>
  <c r="P1533" i="1"/>
  <c r="E1533" i="1"/>
  <c r="P1532" i="1"/>
  <c r="E1532" i="1"/>
  <c r="P1531" i="1"/>
  <c r="E1531" i="1"/>
  <c r="P1530" i="1"/>
  <c r="E1530" i="1"/>
  <c r="P1529" i="1"/>
  <c r="E1529" i="1"/>
  <c r="P1528" i="1"/>
  <c r="E1528" i="1"/>
  <c r="P1527" i="1"/>
  <c r="E1527" i="1"/>
  <c r="P1526" i="1"/>
  <c r="E1526" i="1"/>
  <c r="P1525" i="1"/>
  <c r="E1525" i="1"/>
  <c r="P1524" i="1"/>
  <c r="E1524" i="1"/>
  <c r="P1523" i="1"/>
  <c r="E1523" i="1"/>
  <c r="P1522" i="1"/>
  <c r="E1522" i="1"/>
  <c r="P1521" i="1"/>
  <c r="E1521" i="1"/>
  <c r="P1520" i="1"/>
  <c r="E1520" i="1"/>
  <c r="P1519" i="1"/>
  <c r="E1519" i="1"/>
  <c r="P1518" i="1"/>
  <c r="E1518" i="1"/>
  <c r="P1517" i="1"/>
  <c r="E1517" i="1"/>
  <c r="P1516" i="1"/>
  <c r="E1516" i="1"/>
  <c r="P1515" i="1"/>
  <c r="E1515" i="1"/>
  <c r="P1514" i="1"/>
  <c r="E1514" i="1"/>
  <c r="P1513" i="1"/>
  <c r="E1513" i="1"/>
  <c r="P1512" i="1"/>
  <c r="E1512" i="1"/>
  <c r="P1511" i="1"/>
  <c r="E1511" i="1"/>
  <c r="P1510" i="1"/>
  <c r="E1510" i="1"/>
  <c r="P1509" i="1"/>
  <c r="E1509" i="1"/>
  <c r="P1508" i="1"/>
  <c r="E1508" i="1"/>
  <c r="P1507" i="1"/>
  <c r="E1507" i="1"/>
  <c r="P1506" i="1"/>
  <c r="E1506" i="1"/>
  <c r="P1505" i="1"/>
  <c r="E1505" i="1"/>
  <c r="P1504" i="1"/>
  <c r="E1504" i="1"/>
  <c r="P1503" i="1"/>
  <c r="E1503" i="1"/>
  <c r="P1502" i="1"/>
  <c r="E1502" i="1"/>
  <c r="P1501" i="1"/>
  <c r="E1501" i="1"/>
  <c r="P1500" i="1"/>
  <c r="E1500" i="1"/>
  <c r="P1499" i="1"/>
  <c r="E1499" i="1"/>
  <c r="P1498" i="1"/>
  <c r="E1498" i="1"/>
  <c r="P1497" i="1"/>
  <c r="E1497" i="1"/>
  <c r="P1496" i="1"/>
  <c r="E1496" i="1"/>
  <c r="P1495" i="1"/>
  <c r="E1495" i="1"/>
  <c r="P1494" i="1"/>
  <c r="E1494" i="1"/>
  <c r="P1493" i="1"/>
  <c r="E1493" i="1"/>
  <c r="P1492" i="1"/>
  <c r="E1492" i="1"/>
  <c r="P1491" i="1"/>
  <c r="E1491" i="1"/>
  <c r="P1490" i="1"/>
  <c r="E1490" i="1"/>
  <c r="P1489" i="1"/>
  <c r="E1489" i="1"/>
  <c r="P1488" i="1"/>
  <c r="E1488" i="1"/>
  <c r="P1487" i="1"/>
  <c r="E1487" i="1"/>
  <c r="P1486" i="1"/>
  <c r="E1486" i="1"/>
  <c r="P1485" i="1"/>
  <c r="E1485" i="1"/>
  <c r="P1484" i="1"/>
  <c r="E1484" i="1"/>
  <c r="P1483" i="1"/>
  <c r="E1483" i="1"/>
  <c r="P1482" i="1"/>
  <c r="E1482" i="1"/>
  <c r="P1481" i="1"/>
  <c r="E1481" i="1"/>
  <c r="P1480" i="1"/>
  <c r="E1480" i="1"/>
  <c r="P1479" i="1"/>
  <c r="E1479" i="1"/>
  <c r="P1478" i="1"/>
  <c r="E1478" i="1"/>
  <c r="P1477" i="1"/>
  <c r="E1477" i="1"/>
  <c r="P1476" i="1"/>
  <c r="E1476" i="1"/>
  <c r="P1475" i="1"/>
  <c r="E1475" i="1"/>
  <c r="P1474" i="1"/>
  <c r="E1474" i="1"/>
  <c r="P1473" i="1"/>
  <c r="E1473" i="1"/>
  <c r="P1472" i="1"/>
  <c r="E1472" i="1"/>
  <c r="P1471" i="1"/>
  <c r="E1471" i="1"/>
  <c r="P1470" i="1"/>
  <c r="E1470" i="1"/>
  <c r="P1469" i="1"/>
  <c r="E1469" i="1"/>
  <c r="P1468" i="1"/>
  <c r="E1468" i="1"/>
  <c r="P1467" i="1"/>
  <c r="E1467" i="1"/>
  <c r="P1466" i="1"/>
  <c r="E1466" i="1"/>
  <c r="P1465" i="1"/>
  <c r="E1465" i="1"/>
  <c r="P1464" i="1"/>
  <c r="E1464" i="1"/>
  <c r="P1463" i="1"/>
  <c r="E1463" i="1"/>
  <c r="P1462" i="1"/>
  <c r="E1462" i="1"/>
  <c r="P1461" i="1"/>
  <c r="E1461" i="1"/>
  <c r="P1460" i="1"/>
  <c r="E1460" i="1"/>
  <c r="P1459" i="1"/>
  <c r="E1459" i="1"/>
  <c r="P1458" i="1"/>
  <c r="E1458" i="1"/>
  <c r="P1457" i="1"/>
  <c r="E1457" i="1"/>
  <c r="P1456" i="1"/>
  <c r="E1456" i="1"/>
  <c r="P1455" i="1"/>
  <c r="E1455" i="1"/>
  <c r="P1454" i="1"/>
  <c r="E1454" i="1"/>
  <c r="P1453" i="1"/>
  <c r="E1453" i="1"/>
  <c r="P1452" i="1"/>
  <c r="E1452" i="1"/>
  <c r="P1451" i="1"/>
  <c r="E1451" i="1"/>
  <c r="P1450" i="1"/>
  <c r="E1450" i="1"/>
  <c r="P1449" i="1"/>
  <c r="E1449" i="1"/>
  <c r="P1448" i="1"/>
  <c r="E1448" i="1"/>
  <c r="P1447" i="1"/>
  <c r="E1447" i="1"/>
  <c r="P1446" i="1"/>
  <c r="E1446" i="1"/>
  <c r="P1445" i="1"/>
  <c r="E1445" i="1"/>
  <c r="P1444" i="1"/>
  <c r="E1444" i="1"/>
  <c r="P1443" i="1"/>
  <c r="E1443" i="1"/>
  <c r="P1442" i="1"/>
  <c r="E1442" i="1"/>
  <c r="P1441" i="1"/>
  <c r="E1441" i="1"/>
  <c r="P1440" i="1"/>
  <c r="E1440" i="1"/>
  <c r="P1439" i="1"/>
  <c r="E1439" i="1"/>
  <c r="P1438" i="1"/>
  <c r="E1438" i="1"/>
  <c r="P1437" i="1"/>
  <c r="E1437" i="1"/>
  <c r="P1436" i="1"/>
  <c r="E1436" i="1"/>
  <c r="P1435" i="1"/>
  <c r="E1435" i="1"/>
  <c r="P1434" i="1"/>
  <c r="E1434" i="1"/>
  <c r="P1433" i="1"/>
  <c r="E1433" i="1"/>
  <c r="P1432" i="1"/>
  <c r="E1432" i="1"/>
  <c r="P1431" i="1"/>
  <c r="E1431" i="1"/>
  <c r="P1430" i="1"/>
  <c r="E1430" i="1"/>
  <c r="P1429" i="1"/>
  <c r="E1429" i="1"/>
  <c r="P1428" i="1"/>
  <c r="E1428" i="1"/>
  <c r="P1427" i="1"/>
  <c r="E1427" i="1"/>
  <c r="P1426" i="1"/>
  <c r="E1426" i="1"/>
  <c r="P1425" i="1"/>
  <c r="E1425" i="1"/>
  <c r="P1424" i="1"/>
  <c r="E1424" i="1"/>
  <c r="P1423" i="1"/>
  <c r="E1423" i="1"/>
  <c r="P1422" i="1"/>
  <c r="E1422" i="1"/>
  <c r="P1421" i="1"/>
  <c r="E1421" i="1"/>
  <c r="P1420" i="1"/>
  <c r="E1420" i="1"/>
  <c r="P1419" i="1"/>
  <c r="E1419" i="1"/>
  <c r="P1418" i="1"/>
  <c r="E1418" i="1"/>
  <c r="P1417" i="1"/>
  <c r="E1417" i="1"/>
  <c r="P1416" i="1"/>
  <c r="E1416" i="1"/>
  <c r="P1415" i="1"/>
  <c r="E1415" i="1"/>
  <c r="P1414" i="1"/>
  <c r="E1414" i="1"/>
  <c r="P1413" i="1"/>
  <c r="E1413" i="1"/>
  <c r="P1412" i="1"/>
  <c r="E1412" i="1"/>
  <c r="P1411" i="1"/>
  <c r="E1411" i="1"/>
  <c r="P1410" i="1"/>
  <c r="E1410" i="1"/>
  <c r="P1409" i="1"/>
  <c r="E1409" i="1"/>
  <c r="P1408" i="1"/>
  <c r="E1408" i="1"/>
  <c r="P1407" i="1"/>
  <c r="E1407" i="1"/>
  <c r="P1406" i="1"/>
  <c r="E1406" i="1"/>
  <c r="P1405" i="1"/>
  <c r="E1405" i="1"/>
  <c r="P1404" i="1"/>
  <c r="E1404" i="1"/>
  <c r="P1403" i="1"/>
  <c r="E1403" i="1"/>
  <c r="P1402" i="1"/>
  <c r="E1402" i="1"/>
  <c r="P1401" i="1"/>
  <c r="E1401" i="1"/>
  <c r="P1400" i="1"/>
  <c r="E1400" i="1"/>
  <c r="P1399" i="1"/>
  <c r="E1399" i="1"/>
  <c r="P1398" i="1"/>
  <c r="E1398" i="1"/>
  <c r="P1397" i="1"/>
  <c r="E1397" i="1"/>
  <c r="P1396" i="1"/>
  <c r="E1396" i="1"/>
  <c r="P1395" i="1"/>
  <c r="E1395" i="1"/>
  <c r="P1394" i="1"/>
  <c r="E1394" i="1"/>
  <c r="P1393" i="1"/>
  <c r="E1393" i="1"/>
  <c r="P1392" i="1"/>
  <c r="E1392" i="1"/>
  <c r="P1391" i="1"/>
  <c r="E1391" i="1"/>
  <c r="P1390" i="1"/>
  <c r="E1390" i="1"/>
  <c r="P1389" i="1"/>
  <c r="E1389" i="1"/>
  <c r="P1388" i="1"/>
  <c r="E1388" i="1"/>
  <c r="P1387" i="1"/>
  <c r="E1387" i="1"/>
  <c r="P1386" i="1"/>
  <c r="E1386" i="1"/>
  <c r="P1385" i="1"/>
  <c r="E1385" i="1"/>
  <c r="P1384" i="1"/>
  <c r="E1384" i="1"/>
  <c r="P1383" i="1"/>
  <c r="E1383" i="1"/>
  <c r="P1382" i="1"/>
  <c r="E1382" i="1"/>
  <c r="P1381" i="1"/>
  <c r="E1381" i="1"/>
  <c r="P1380" i="1"/>
  <c r="E1380" i="1"/>
  <c r="P1379" i="1"/>
  <c r="E1379" i="1"/>
  <c r="P1378" i="1"/>
  <c r="E1378" i="1"/>
  <c r="P1377" i="1"/>
  <c r="E1377" i="1"/>
  <c r="P1376" i="1"/>
  <c r="E1376" i="1"/>
  <c r="P1375" i="1"/>
  <c r="E1375" i="1"/>
  <c r="P1374" i="1"/>
  <c r="E1374" i="1"/>
  <c r="P1373" i="1"/>
  <c r="E1373" i="1"/>
  <c r="P1372" i="1"/>
  <c r="E1372" i="1"/>
  <c r="P1371" i="1"/>
  <c r="E1371" i="1"/>
  <c r="P1370" i="1"/>
  <c r="E1370" i="1"/>
  <c r="P1369" i="1"/>
  <c r="E1369" i="1"/>
  <c r="P1368" i="1"/>
  <c r="E1368" i="1"/>
  <c r="P1367" i="1"/>
  <c r="E1367" i="1"/>
  <c r="P1366" i="1"/>
  <c r="E1366" i="1"/>
  <c r="P1365" i="1"/>
  <c r="E1365" i="1"/>
  <c r="P1364" i="1"/>
  <c r="E1364" i="1"/>
  <c r="P1363" i="1"/>
  <c r="E1363" i="1"/>
  <c r="P1362" i="1"/>
  <c r="E1362" i="1"/>
  <c r="P1361" i="1"/>
  <c r="E1361" i="1"/>
  <c r="P1360" i="1"/>
  <c r="E1360" i="1"/>
  <c r="P1359" i="1"/>
  <c r="E1359" i="1"/>
  <c r="P1358" i="1"/>
  <c r="E1358" i="1"/>
  <c r="P1357" i="1"/>
  <c r="E1357" i="1"/>
  <c r="P1356" i="1"/>
  <c r="E1356" i="1"/>
  <c r="P1355" i="1"/>
  <c r="E1355" i="1"/>
  <c r="P1354" i="1"/>
  <c r="E1354" i="1"/>
  <c r="P1353" i="1"/>
  <c r="E1353" i="1"/>
  <c r="P1352" i="1"/>
  <c r="E1352" i="1"/>
  <c r="P1351" i="1"/>
  <c r="E1351" i="1"/>
  <c r="P1350" i="1"/>
  <c r="E1350" i="1"/>
  <c r="P1349" i="1"/>
  <c r="E1349" i="1"/>
  <c r="P1348" i="1"/>
  <c r="E1348" i="1"/>
  <c r="P1347" i="1"/>
  <c r="E1347" i="1"/>
  <c r="P1346" i="1"/>
  <c r="E1346" i="1"/>
  <c r="P1345" i="1"/>
  <c r="E1345" i="1"/>
  <c r="P1344" i="1"/>
  <c r="E1344" i="1"/>
  <c r="P1343" i="1"/>
  <c r="E1343" i="1"/>
  <c r="P1342" i="1"/>
  <c r="E1342" i="1"/>
  <c r="P1341" i="1"/>
  <c r="E1341" i="1"/>
  <c r="P1340" i="1"/>
  <c r="E1340" i="1"/>
  <c r="P1339" i="1"/>
  <c r="E1339" i="1"/>
  <c r="P1338" i="1"/>
  <c r="E1338" i="1"/>
  <c r="P1337" i="1"/>
  <c r="E1337" i="1"/>
  <c r="P1336" i="1"/>
  <c r="E1336" i="1"/>
  <c r="P1335" i="1"/>
  <c r="E1335" i="1"/>
  <c r="P1334" i="1"/>
  <c r="E1334" i="1"/>
  <c r="P1333" i="1"/>
  <c r="E1333" i="1"/>
  <c r="P1332" i="1"/>
  <c r="E1332" i="1"/>
  <c r="P1331" i="1"/>
  <c r="E1331" i="1"/>
  <c r="P1330" i="1"/>
  <c r="E1330" i="1"/>
  <c r="P1329" i="1"/>
  <c r="E1329" i="1"/>
  <c r="P1328" i="1"/>
  <c r="E1328" i="1"/>
  <c r="P1327" i="1"/>
  <c r="E1327" i="1"/>
  <c r="P1326" i="1"/>
  <c r="E1326" i="1"/>
  <c r="P1325" i="1"/>
  <c r="E1325" i="1"/>
  <c r="P1324" i="1"/>
  <c r="E1324" i="1"/>
  <c r="P1323" i="1"/>
  <c r="E1323" i="1"/>
  <c r="P1322" i="1"/>
  <c r="E1322" i="1"/>
  <c r="P1321" i="1"/>
  <c r="E1321" i="1"/>
  <c r="P1320" i="1"/>
  <c r="E1320" i="1"/>
  <c r="P1319" i="1"/>
  <c r="E1319" i="1"/>
  <c r="P1318" i="1"/>
  <c r="E1318" i="1"/>
  <c r="P1317" i="1"/>
  <c r="E1317" i="1"/>
  <c r="P1316" i="1"/>
  <c r="E1316" i="1"/>
  <c r="P1315" i="1"/>
  <c r="E1315" i="1"/>
  <c r="P1314" i="1"/>
  <c r="E1314" i="1"/>
  <c r="P1313" i="1"/>
  <c r="E1313" i="1"/>
  <c r="P1312" i="1"/>
  <c r="E1312" i="1"/>
  <c r="P1311" i="1"/>
  <c r="E1311" i="1"/>
  <c r="P1310" i="1"/>
  <c r="E1310" i="1"/>
  <c r="P1309" i="1"/>
  <c r="E1309" i="1"/>
  <c r="P1308" i="1"/>
  <c r="E1308" i="1"/>
  <c r="P1307" i="1"/>
  <c r="E1307" i="1"/>
  <c r="P1306" i="1"/>
  <c r="E1306" i="1"/>
  <c r="P1305" i="1"/>
  <c r="E1305" i="1"/>
  <c r="P1304" i="1"/>
  <c r="E1304" i="1"/>
  <c r="P1303" i="1"/>
  <c r="E1303" i="1"/>
  <c r="P1302" i="1"/>
  <c r="E1302" i="1"/>
  <c r="P1301" i="1"/>
  <c r="E1301" i="1"/>
  <c r="P1300" i="1"/>
  <c r="E1300" i="1"/>
  <c r="P1299" i="1"/>
  <c r="E1299" i="1"/>
  <c r="P1298" i="1"/>
  <c r="E1298" i="1"/>
  <c r="P1297" i="1"/>
  <c r="E1297" i="1"/>
  <c r="P1296" i="1"/>
  <c r="E1296" i="1"/>
  <c r="P1295" i="1"/>
  <c r="E1295" i="1"/>
  <c r="P1294" i="1"/>
  <c r="E1294" i="1"/>
  <c r="P1293" i="1"/>
  <c r="E1293" i="1"/>
  <c r="P1292" i="1"/>
  <c r="E1292" i="1"/>
  <c r="P1291" i="1"/>
  <c r="E1291" i="1"/>
  <c r="P1290" i="1"/>
  <c r="E1290" i="1"/>
  <c r="P1289" i="1"/>
  <c r="E1289" i="1"/>
  <c r="P1288" i="1"/>
  <c r="E1288" i="1"/>
  <c r="P1287" i="1"/>
  <c r="E1287" i="1"/>
  <c r="P1286" i="1"/>
  <c r="E1286" i="1"/>
  <c r="P1285" i="1"/>
  <c r="E1285" i="1"/>
  <c r="P1284" i="1"/>
  <c r="E1284" i="1"/>
  <c r="P1283" i="1"/>
  <c r="E1283" i="1"/>
  <c r="P1282" i="1"/>
  <c r="E1282" i="1"/>
  <c r="P1281" i="1"/>
  <c r="E1281" i="1"/>
  <c r="P1280" i="1"/>
  <c r="E1280" i="1"/>
  <c r="P1279" i="1"/>
  <c r="E1279" i="1"/>
  <c r="P1278" i="1"/>
  <c r="E1278" i="1"/>
  <c r="P1277" i="1"/>
  <c r="E1277" i="1"/>
  <c r="P1276" i="1"/>
  <c r="E1276" i="1"/>
  <c r="P1275" i="1"/>
  <c r="E1275" i="1"/>
  <c r="P1274" i="1"/>
  <c r="E1274" i="1"/>
  <c r="P1273" i="1"/>
  <c r="E1273" i="1"/>
  <c r="P1272" i="1"/>
  <c r="E1272" i="1"/>
  <c r="P1271" i="1"/>
  <c r="E1271" i="1"/>
  <c r="P1270" i="1"/>
  <c r="E1270" i="1"/>
  <c r="P1269" i="1"/>
  <c r="E1269" i="1"/>
  <c r="P1268" i="1"/>
  <c r="E1268" i="1"/>
  <c r="P1267" i="1"/>
  <c r="E1267" i="1"/>
  <c r="P1266" i="1"/>
  <c r="E1266" i="1"/>
  <c r="P1265" i="1"/>
  <c r="E1265" i="1"/>
  <c r="P1264" i="1"/>
  <c r="E1264" i="1"/>
  <c r="P1263" i="1"/>
  <c r="E1263" i="1"/>
  <c r="P1262" i="1"/>
  <c r="E1262" i="1"/>
  <c r="P1261" i="1"/>
  <c r="E1261" i="1"/>
  <c r="P1260" i="1"/>
  <c r="E1260" i="1"/>
  <c r="P1259" i="1"/>
  <c r="E1259" i="1"/>
  <c r="P1258" i="1"/>
  <c r="E1258" i="1"/>
  <c r="P1257" i="1"/>
  <c r="E1257" i="1"/>
  <c r="P1256" i="1"/>
  <c r="E1256" i="1"/>
  <c r="P1255" i="1"/>
  <c r="E1255" i="1"/>
  <c r="P1254" i="1"/>
  <c r="E1254" i="1"/>
  <c r="P1253" i="1"/>
  <c r="E1253" i="1"/>
  <c r="P1252" i="1"/>
  <c r="E1252" i="1"/>
  <c r="P1251" i="1"/>
  <c r="E1251" i="1"/>
  <c r="P1250" i="1"/>
  <c r="E1250" i="1"/>
  <c r="P1249" i="1"/>
  <c r="E1249" i="1"/>
  <c r="P1248" i="1"/>
  <c r="E1248" i="1"/>
  <c r="P1247" i="1"/>
  <c r="E1247" i="1"/>
  <c r="P1246" i="1"/>
  <c r="E1246" i="1"/>
  <c r="P1245" i="1"/>
  <c r="E1245" i="1"/>
  <c r="P1244" i="1"/>
  <c r="E1244" i="1"/>
  <c r="P1243" i="1"/>
  <c r="E1243" i="1"/>
  <c r="P1242" i="1"/>
  <c r="E1242" i="1"/>
  <c r="P1241" i="1"/>
  <c r="E1241" i="1"/>
  <c r="P1240" i="1"/>
  <c r="E1240" i="1"/>
  <c r="P1239" i="1"/>
  <c r="E1239" i="1"/>
  <c r="P1238" i="1"/>
  <c r="E1238" i="1"/>
  <c r="P1237" i="1"/>
  <c r="E1237" i="1"/>
  <c r="P1236" i="1"/>
  <c r="E1236" i="1"/>
  <c r="P1235" i="1"/>
  <c r="E1235" i="1"/>
  <c r="P1234" i="1"/>
  <c r="E1234" i="1"/>
  <c r="P1233" i="1"/>
  <c r="E1233" i="1"/>
  <c r="P1232" i="1"/>
  <c r="E1232" i="1"/>
  <c r="P1231" i="1"/>
  <c r="E1231" i="1"/>
  <c r="P1230" i="1"/>
  <c r="E1230" i="1"/>
  <c r="P1229" i="1"/>
  <c r="E1229" i="1"/>
  <c r="P1228" i="1"/>
  <c r="E1228" i="1"/>
  <c r="P1227" i="1"/>
  <c r="E1227" i="1"/>
  <c r="P1226" i="1"/>
  <c r="E1226" i="1"/>
  <c r="P1225" i="1"/>
  <c r="E1225" i="1"/>
  <c r="P1224" i="1"/>
  <c r="E1224" i="1"/>
  <c r="P1223" i="1"/>
  <c r="E1223" i="1"/>
  <c r="P1222" i="1"/>
  <c r="E1222" i="1"/>
  <c r="P1221" i="1"/>
  <c r="E1221" i="1"/>
  <c r="P1220" i="1"/>
  <c r="E1220" i="1"/>
  <c r="P1219" i="1"/>
  <c r="E1219" i="1"/>
  <c r="P1218" i="1"/>
  <c r="E1218" i="1"/>
  <c r="P1217" i="1"/>
  <c r="E1217" i="1"/>
  <c r="P1216" i="1"/>
  <c r="E1216" i="1"/>
  <c r="P1215" i="1"/>
  <c r="E1215" i="1"/>
  <c r="P1214" i="1"/>
  <c r="E1214" i="1"/>
  <c r="P1213" i="1"/>
  <c r="E1213" i="1"/>
  <c r="P1212" i="1"/>
  <c r="E1212" i="1"/>
  <c r="P1211" i="1"/>
  <c r="E1211" i="1"/>
  <c r="P1210" i="1"/>
  <c r="E1210" i="1"/>
  <c r="P1209" i="1"/>
  <c r="E1209" i="1"/>
  <c r="P1208" i="1"/>
  <c r="E1208" i="1"/>
  <c r="P1207" i="1"/>
  <c r="E1207" i="1"/>
  <c r="P1206" i="1"/>
  <c r="E1206" i="1"/>
  <c r="P1205" i="1"/>
  <c r="E1205" i="1"/>
  <c r="P1204" i="1"/>
  <c r="E1204" i="1"/>
  <c r="P1203" i="1"/>
  <c r="E1203" i="1"/>
  <c r="P1202" i="1"/>
  <c r="E1202" i="1"/>
  <c r="P1201" i="1"/>
  <c r="E1201" i="1"/>
  <c r="P1200" i="1"/>
  <c r="E1200" i="1"/>
  <c r="P1199" i="1"/>
  <c r="E1199" i="1"/>
  <c r="P1198" i="1"/>
  <c r="E1198" i="1"/>
  <c r="P1197" i="1"/>
  <c r="E1197" i="1"/>
  <c r="P1196" i="1"/>
  <c r="E1196" i="1"/>
  <c r="P1195" i="1"/>
  <c r="E1195" i="1"/>
  <c r="P1194" i="1"/>
  <c r="E1194" i="1"/>
  <c r="P1193" i="1"/>
  <c r="E1193" i="1"/>
  <c r="P1192" i="1"/>
  <c r="E1192" i="1"/>
  <c r="P1191" i="1"/>
  <c r="E1191" i="1"/>
  <c r="P1190" i="1"/>
  <c r="E1190" i="1"/>
  <c r="P1189" i="1"/>
  <c r="E1189" i="1"/>
  <c r="P1188" i="1"/>
  <c r="E1188" i="1"/>
  <c r="P1187" i="1"/>
  <c r="E1187" i="1"/>
  <c r="P1186" i="1"/>
  <c r="E1186" i="1"/>
  <c r="P1185" i="1"/>
  <c r="E1185" i="1"/>
  <c r="P1184" i="1"/>
  <c r="E1184" i="1"/>
  <c r="P1183" i="1"/>
  <c r="E1183" i="1"/>
  <c r="P1182" i="1"/>
  <c r="E1182" i="1"/>
  <c r="P1181" i="1"/>
  <c r="E1181" i="1"/>
  <c r="P1180" i="1"/>
  <c r="E1180" i="1"/>
  <c r="P1179" i="1"/>
  <c r="E1179" i="1"/>
  <c r="P1178" i="1"/>
  <c r="E1178" i="1"/>
  <c r="P1177" i="1"/>
  <c r="E1177" i="1"/>
  <c r="P1176" i="1"/>
  <c r="E1176" i="1"/>
  <c r="P1175" i="1"/>
  <c r="E1175" i="1"/>
  <c r="P1174" i="1"/>
  <c r="E1174" i="1"/>
  <c r="P1173" i="1"/>
  <c r="E1173" i="1"/>
  <c r="P1172" i="1"/>
  <c r="E1172" i="1"/>
  <c r="P1171" i="1"/>
  <c r="E1171" i="1"/>
  <c r="P1170" i="1"/>
  <c r="E1170" i="1"/>
  <c r="P1169" i="1"/>
  <c r="E1169" i="1"/>
  <c r="P1168" i="1"/>
  <c r="E1168" i="1"/>
  <c r="P1167" i="1"/>
  <c r="E1167" i="1"/>
  <c r="P1166" i="1"/>
  <c r="E1166" i="1"/>
  <c r="P1165" i="1"/>
  <c r="E1165" i="1"/>
  <c r="P1164" i="1"/>
  <c r="E1164" i="1"/>
  <c r="P1163" i="1"/>
  <c r="E1163" i="1"/>
  <c r="P1162" i="1"/>
  <c r="E1162" i="1"/>
  <c r="P1161" i="1"/>
  <c r="E1161" i="1"/>
  <c r="P1160" i="1"/>
  <c r="E1160" i="1"/>
  <c r="P1159" i="1"/>
  <c r="E1159" i="1"/>
  <c r="P1158" i="1"/>
  <c r="E1158" i="1"/>
  <c r="P1157" i="1"/>
  <c r="E1157" i="1"/>
  <c r="P1156" i="1"/>
  <c r="E1156" i="1"/>
  <c r="P1155" i="1"/>
  <c r="E1155" i="1"/>
  <c r="P1154" i="1"/>
  <c r="E1154" i="1"/>
  <c r="P1153" i="1"/>
  <c r="E1153" i="1"/>
  <c r="P1152" i="1"/>
  <c r="E1152" i="1"/>
  <c r="P1151" i="1"/>
  <c r="E1151" i="1"/>
  <c r="P1150" i="1"/>
  <c r="E1150" i="1"/>
  <c r="P1149" i="1"/>
  <c r="E1149" i="1"/>
  <c r="P1148" i="1"/>
  <c r="E1148" i="1"/>
  <c r="P1147" i="1"/>
  <c r="E1147" i="1"/>
  <c r="P1146" i="1"/>
  <c r="E1146" i="1"/>
  <c r="P1145" i="1"/>
  <c r="E1145" i="1"/>
  <c r="P1144" i="1"/>
  <c r="E1144" i="1"/>
  <c r="P1143" i="1"/>
  <c r="E1143" i="1"/>
  <c r="P1142" i="1"/>
  <c r="E1142" i="1"/>
  <c r="P1141" i="1"/>
  <c r="E1141" i="1"/>
  <c r="P1140" i="1"/>
  <c r="E1140" i="1"/>
  <c r="P1139" i="1"/>
  <c r="E1139" i="1"/>
  <c r="P1138" i="1"/>
  <c r="E1138" i="1"/>
  <c r="P1137" i="1"/>
  <c r="E1137" i="1"/>
  <c r="P1136" i="1"/>
  <c r="E1136" i="1"/>
  <c r="P1135" i="1"/>
  <c r="E1135" i="1"/>
  <c r="P1134" i="1"/>
  <c r="E1134" i="1"/>
  <c r="P1133" i="1"/>
  <c r="E1133" i="1"/>
  <c r="P1132" i="1"/>
  <c r="E1132" i="1"/>
  <c r="P1131" i="1"/>
  <c r="E1131" i="1"/>
  <c r="P1130" i="1"/>
  <c r="E1130" i="1"/>
  <c r="P1129" i="1"/>
  <c r="E1129" i="1"/>
  <c r="P1128" i="1"/>
  <c r="E1128" i="1"/>
  <c r="P1127" i="1"/>
  <c r="E1127" i="1"/>
  <c r="P1126" i="1"/>
  <c r="E1126" i="1"/>
  <c r="P1125" i="1"/>
  <c r="E1125" i="1"/>
  <c r="P1124" i="1"/>
  <c r="E1124" i="1"/>
  <c r="P1123" i="1"/>
  <c r="E1123" i="1"/>
  <c r="P1122" i="1"/>
  <c r="E1122" i="1"/>
  <c r="P1121" i="1"/>
  <c r="E1121" i="1"/>
  <c r="P1120" i="1"/>
  <c r="E1120" i="1"/>
  <c r="P1119" i="1"/>
  <c r="E1119" i="1"/>
  <c r="P1118" i="1"/>
  <c r="E1118" i="1"/>
  <c r="P1117" i="1"/>
  <c r="E1117" i="1"/>
  <c r="P1116" i="1"/>
  <c r="E1116" i="1"/>
  <c r="P1115" i="1"/>
  <c r="E1115" i="1"/>
  <c r="P1114" i="1"/>
  <c r="E1114" i="1"/>
  <c r="P1113" i="1"/>
  <c r="E1113" i="1"/>
  <c r="P1112" i="1"/>
  <c r="E1112" i="1"/>
  <c r="P1111" i="1"/>
  <c r="E1111" i="1"/>
  <c r="P1110" i="1"/>
  <c r="E1110" i="1"/>
  <c r="P1109" i="1"/>
  <c r="E1109" i="1"/>
  <c r="P1108" i="1"/>
  <c r="E1108" i="1"/>
  <c r="P1107" i="1"/>
  <c r="E1107" i="1"/>
  <c r="P1106" i="1"/>
  <c r="E1106" i="1"/>
  <c r="P1105" i="1"/>
  <c r="E1105" i="1"/>
  <c r="P1104" i="1"/>
  <c r="E1104" i="1"/>
  <c r="P1103" i="1"/>
  <c r="E1103" i="1"/>
  <c r="P1102" i="1"/>
  <c r="E1102" i="1"/>
  <c r="P1101" i="1"/>
  <c r="E1101" i="1"/>
  <c r="P1100" i="1"/>
  <c r="E1100" i="1"/>
  <c r="P1099" i="1"/>
  <c r="E1099" i="1"/>
  <c r="P1098" i="1"/>
  <c r="E1098" i="1"/>
  <c r="P1097" i="1"/>
  <c r="E1097" i="1"/>
  <c r="P1096" i="1"/>
  <c r="E1096" i="1"/>
  <c r="P1095" i="1"/>
  <c r="E1095" i="1"/>
  <c r="P1094" i="1"/>
  <c r="E1094" i="1"/>
  <c r="P1093" i="1"/>
  <c r="E1093" i="1"/>
  <c r="P1092" i="1"/>
  <c r="E1092" i="1"/>
  <c r="P1091" i="1"/>
  <c r="E1091" i="1"/>
  <c r="P1090" i="1"/>
  <c r="E1090" i="1"/>
  <c r="P1089" i="1"/>
  <c r="E1089" i="1"/>
  <c r="P1088" i="1"/>
  <c r="E1088" i="1"/>
  <c r="P1087" i="1"/>
  <c r="E1087" i="1"/>
  <c r="P1086" i="1"/>
  <c r="E1086" i="1"/>
  <c r="P1085" i="1"/>
  <c r="E1085" i="1"/>
  <c r="P1084" i="1"/>
  <c r="E1084" i="1"/>
  <c r="P1083" i="1"/>
  <c r="E1083" i="1"/>
  <c r="P1082" i="1"/>
  <c r="E1082" i="1"/>
  <c r="P1081" i="1"/>
  <c r="E1081" i="1"/>
  <c r="P1080" i="1"/>
  <c r="E1080" i="1"/>
  <c r="P1079" i="1"/>
  <c r="E1079" i="1"/>
  <c r="P1078" i="1"/>
  <c r="E1078" i="1"/>
  <c r="P1077" i="1"/>
  <c r="E1077" i="1"/>
  <c r="P1076" i="1"/>
  <c r="E1076" i="1"/>
  <c r="P1075" i="1"/>
  <c r="E1075" i="1"/>
  <c r="P1074" i="1"/>
  <c r="E1074" i="1"/>
  <c r="P1073" i="1"/>
  <c r="E1073" i="1"/>
  <c r="P1072" i="1"/>
  <c r="E1072" i="1"/>
  <c r="P1071" i="1"/>
  <c r="E1071" i="1"/>
  <c r="P1070" i="1"/>
  <c r="E1070" i="1"/>
  <c r="P1069" i="1"/>
  <c r="E1069" i="1"/>
  <c r="P1068" i="1"/>
  <c r="E1068" i="1"/>
  <c r="P1067" i="1"/>
  <c r="E1067" i="1"/>
  <c r="P1066" i="1"/>
  <c r="E1066" i="1"/>
  <c r="P1065" i="1"/>
  <c r="E1065" i="1"/>
  <c r="P1064" i="1"/>
  <c r="E1064" i="1"/>
  <c r="P1063" i="1"/>
  <c r="E1063" i="1"/>
  <c r="P1062" i="1"/>
  <c r="E1062" i="1"/>
  <c r="P1061" i="1"/>
  <c r="E1061" i="1"/>
  <c r="P1060" i="1"/>
  <c r="E1060" i="1"/>
  <c r="P1059" i="1"/>
  <c r="E1059" i="1"/>
  <c r="P1058" i="1"/>
  <c r="E1058" i="1"/>
  <c r="P1057" i="1"/>
  <c r="E1057" i="1"/>
  <c r="P1056" i="1"/>
  <c r="E1056" i="1"/>
  <c r="P1055" i="1"/>
  <c r="E1055" i="1"/>
  <c r="P1054" i="1"/>
  <c r="E1054" i="1"/>
  <c r="P1053" i="1"/>
  <c r="E1053" i="1"/>
  <c r="P1052" i="1"/>
  <c r="E1052" i="1"/>
  <c r="P1051" i="1"/>
  <c r="E1051" i="1"/>
  <c r="P1050" i="1"/>
  <c r="E1050" i="1"/>
  <c r="P1049" i="1"/>
  <c r="E1049" i="1"/>
  <c r="P1048" i="1"/>
  <c r="E1048" i="1"/>
  <c r="P1047" i="1"/>
  <c r="E1047" i="1"/>
  <c r="P1046" i="1"/>
  <c r="E1046" i="1"/>
  <c r="P1045" i="1"/>
  <c r="E1045" i="1"/>
  <c r="P1044" i="1"/>
  <c r="E1044" i="1"/>
  <c r="P1043" i="1"/>
  <c r="E1043" i="1"/>
  <c r="P1042" i="1"/>
  <c r="E1042" i="1"/>
  <c r="P1041" i="1"/>
  <c r="E1041" i="1"/>
  <c r="P1040" i="1"/>
  <c r="E1040" i="1"/>
  <c r="P1039" i="1"/>
  <c r="E1039" i="1"/>
  <c r="P1038" i="1"/>
  <c r="E1038" i="1"/>
  <c r="P1037" i="1"/>
  <c r="E1037" i="1"/>
  <c r="P1036" i="1"/>
  <c r="E1036" i="1"/>
  <c r="P1035" i="1"/>
  <c r="E1035" i="1"/>
  <c r="P1034" i="1"/>
  <c r="E1034" i="1"/>
  <c r="P1033" i="1"/>
  <c r="E1033" i="1"/>
  <c r="P1032" i="1"/>
  <c r="E1032" i="1"/>
  <c r="P1031" i="1"/>
  <c r="E1031" i="1"/>
  <c r="P1030" i="1"/>
  <c r="E1030" i="1"/>
  <c r="P1029" i="1"/>
  <c r="E1029" i="1"/>
  <c r="P1028" i="1"/>
  <c r="E1028" i="1"/>
  <c r="P1027" i="1"/>
  <c r="E1027" i="1"/>
  <c r="P1026" i="1"/>
  <c r="E1026" i="1"/>
  <c r="P1025" i="1"/>
  <c r="E1025" i="1"/>
  <c r="P1024" i="1"/>
  <c r="E1024" i="1"/>
  <c r="P1023" i="1"/>
  <c r="E1023" i="1"/>
  <c r="P1022" i="1"/>
  <c r="E1022" i="1"/>
  <c r="P1021" i="1"/>
  <c r="E1021" i="1"/>
  <c r="P1020" i="1"/>
  <c r="E1020" i="1"/>
  <c r="P1019" i="1"/>
  <c r="E1019" i="1"/>
  <c r="P1018" i="1"/>
  <c r="E1018" i="1"/>
  <c r="P1017" i="1"/>
  <c r="E1017" i="1"/>
  <c r="P1016" i="1"/>
  <c r="E1016" i="1"/>
  <c r="P1015" i="1"/>
  <c r="E1015" i="1"/>
  <c r="P1014" i="1"/>
  <c r="E1014" i="1"/>
  <c r="P1013" i="1"/>
  <c r="E1013" i="1"/>
  <c r="P1012" i="1"/>
  <c r="E1012" i="1"/>
  <c r="P1011" i="1"/>
  <c r="E1011" i="1"/>
  <c r="P1010" i="1"/>
  <c r="E1010" i="1"/>
  <c r="P1009" i="1"/>
  <c r="E1009" i="1"/>
  <c r="P1008" i="1"/>
  <c r="E1008" i="1"/>
  <c r="P1007" i="1"/>
  <c r="E1007" i="1"/>
  <c r="P1006" i="1"/>
  <c r="E1006" i="1"/>
  <c r="P1005" i="1"/>
  <c r="E1005" i="1"/>
  <c r="P1004" i="1"/>
  <c r="E1004" i="1"/>
  <c r="P1003" i="1"/>
  <c r="E1003" i="1"/>
  <c r="P1002" i="1"/>
  <c r="E1002" i="1"/>
  <c r="P1001" i="1"/>
  <c r="E1001" i="1"/>
  <c r="P1000" i="1"/>
  <c r="E1000" i="1"/>
  <c r="P999" i="1"/>
  <c r="E999" i="1"/>
  <c r="P998" i="1"/>
  <c r="E998" i="1"/>
  <c r="P997" i="1"/>
  <c r="E997" i="1"/>
  <c r="P996" i="1"/>
  <c r="E996" i="1"/>
  <c r="P995" i="1"/>
  <c r="E995" i="1"/>
  <c r="P994" i="1"/>
  <c r="E994" i="1"/>
  <c r="P993" i="1"/>
  <c r="E993" i="1"/>
  <c r="P992" i="1"/>
  <c r="E992" i="1"/>
  <c r="P991" i="1"/>
  <c r="E991" i="1"/>
  <c r="P990" i="1"/>
  <c r="E990" i="1"/>
  <c r="P989" i="1"/>
  <c r="E989" i="1"/>
  <c r="P988" i="1"/>
  <c r="E988" i="1"/>
  <c r="P987" i="1"/>
  <c r="E987" i="1"/>
  <c r="P986" i="1"/>
  <c r="E986" i="1"/>
  <c r="P985" i="1"/>
  <c r="E985" i="1"/>
  <c r="P984" i="1"/>
  <c r="E984" i="1"/>
  <c r="P983" i="1"/>
  <c r="E983" i="1"/>
  <c r="P982" i="1"/>
  <c r="E982" i="1"/>
  <c r="P981" i="1"/>
  <c r="E981" i="1"/>
  <c r="P980" i="1"/>
  <c r="E980" i="1"/>
  <c r="P979" i="1"/>
  <c r="E979" i="1"/>
  <c r="P978" i="1"/>
  <c r="E978" i="1"/>
  <c r="P977" i="1"/>
  <c r="E977" i="1"/>
  <c r="P976" i="1"/>
  <c r="E976" i="1"/>
  <c r="P975" i="1"/>
  <c r="E975" i="1"/>
  <c r="P974" i="1"/>
  <c r="E974" i="1"/>
  <c r="P973" i="1"/>
  <c r="E973" i="1"/>
  <c r="P972" i="1"/>
  <c r="E972" i="1"/>
  <c r="P971" i="1"/>
  <c r="E971" i="1"/>
  <c r="P970" i="1"/>
  <c r="E970" i="1"/>
  <c r="P969" i="1"/>
  <c r="E969" i="1"/>
  <c r="P968" i="1"/>
  <c r="E968" i="1"/>
  <c r="P967" i="1"/>
  <c r="E967" i="1"/>
  <c r="P966" i="1"/>
  <c r="E966" i="1"/>
  <c r="P965" i="1"/>
  <c r="E965" i="1"/>
  <c r="P964" i="1"/>
  <c r="E964" i="1"/>
  <c r="P963" i="1"/>
  <c r="E963" i="1"/>
  <c r="P962" i="1"/>
  <c r="E962" i="1"/>
  <c r="P961" i="1"/>
  <c r="E961" i="1"/>
  <c r="P960" i="1"/>
  <c r="E960" i="1"/>
  <c r="P959" i="1"/>
  <c r="E959" i="1"/>
  <c r="P958" i="1"/>
  <c r="E958" i="1"/>
  <c r="P957" i="1"/>
  <c r="E957" i="1"/>
  <c r="P956" i="1"/>
  <c r="E956" i="1"/>
  <c r="P955" i="1"/>
  <c r="E955" i="1"/>
  <c r="P954" i="1"/>
  <c r="E954" i="1"/>
  <c r="P953" i="1"/>
  <c r="E953" i="1"/>
  <c r="P952" i="1"/>
  <c r="E952" i="1"/>
  <c r="P951" i="1"/>
  <c r="E951" i="1"/>
  <c r="P950" i="1"/>
  <c r="E950" i="1"/>
  <c r="P949" i="1"/>
  <c r="E949" i="1"/>
  <c r="P948" i="1"/>
  <c r="E948" i="1"/>
  <c r="P947" i="1"/>
  <c r="E947" i="1"/>
  <c r="P946" i="1"/>
  <c r="E946" i="1"/>
  <c r="P945" i="1"/>
  <c r="E945" i="1"/>
  <c r="P944" i="1"/>
  <c r="E944" i="1"/>
  <c r="P943" i="1"/>
  <c r="E943" i="1"/>
  <c r="P942" i="1"/>
  <c r="E942" i="1"/>
  <c r="P941" i="1"/>
  <c r="E941" i="1"/>
  <c r="P940" i="1"/>
  <c r="E940" i="1"/>
  <c r="P939" i="1"/>
  <c r="E939" i="1"/>
  <c r="P938" i="1"/>
  <c r="E938" i="1"/>
  <c r="P937" i="1"/>
  <c r="E937" i="1"/>
  <c r="P936" i="1"/>
  <c r="E936" i="1"/>
  <c r="P935" i="1"/>
  <c r="E935" i="1"/>
  <c r="P934" i="1"/>
  <c r="E934" i="1"/>
  <c r="P933" i="1"/>
  <c r="E933" i="1"/>
  <c r="P932" i="1"/>
  <c r="E932" i="1"/>
  <c r="P931" i="1"/>
  <c r="E931" i="1"/>
  <c r="P930" i="1"/>
  <c r="E930" i="1"/>
  <c r="P929" i="1"/>
  <c r="E929" i="1"/>
  <c r="P928" i="1"/>
  <c r="E928" i="1"/>
  <c r="P927" i="1"/>
  <c r="E927" i="1"/>
  <c r="P926" i="1"/>
  <c r="E926" i="1"/>
  <c r="P925" i="1"/>
  <c r="E925" i="1"/>
  <c r="P924" i="1"/>
  <c r="E924" i="1"/>
  <c r="P923" i="1"/>
  <c r="E923" i="1"/>
  <c r="P922" i="1"/>
  <c r="E922" i="1"/>
  <c r="P921" i="1"/>
  <c r="E921" i="1"/>
  <c r="P920" i="1"/>
  <c r="E920" i="1"/>
  <c r="P919" i="1"/>
  <c r="E919" i="1"/>
  <c r="P918" i="1"/>
  <c r="E918" i="1"/>
  <c r="P917" i="1"/>
  <c r="E917" i="1"/>
  <c r="P916" i="1"/>
  <c r="E916" i="1"/>
  <c r="P915" i="1"/>
  <c r="E915" i="1"/>
  <c r="P914" i="1"/>
  <c r="E914" i="1"/>
  <c r="P913" i="1"/>
  <c r="E913" i="1"/>
  <c r="P912" i="1"/>
  <c r="E912" i="1"/>
  <c r="P911" i="1"/>
  <c r="E911" i="1"/>
  <c r="P910" i="1"/>
  <c r="E910" i="1"/>
  <c r="P909" i="1"/>
  <c r="E909" i="1"/>
  <c r="P908" i="1"/>
  <c r="E908" i="1"/>
  <c r="P907" i="1"/>
  <c r="E907" i="1"/>
  <c r="P906" i="1"/>
  <c r="E906" i="1"/>
  <c r="P905" i="1"/>
  <c r="E905" i="1"/>
  <c r="P904" i="1"/>
  <c r="E904" i="1"/>
  <c r="P903" i="1"/>
  <c r="E903" i="1"/>
  <c r="P902" i="1"/>
  <c r="E902" i="1"/>
  <c r="P901" i="1"/>
  <c r="E901" i="1"/>
  <c r="P900" i="1"/>
  <c r="E900" i="1"/>
  <c r="P899" i="1"/>
  <c r="E899" i="1"/>
  <c r="P898" i="1"/>
  <c r="E898" i="1"/>
  <c r="P897" i="1"/>
  <c r="E897" i="1"/>
  <c r="P896" i="1"/>
  <c r="E896" i="1"/>
  <c r="P895" i="1"/>
  <c r="E895" i="1"/>
  <c r="P894" i="1"/>
  <c r="E894" i="1"/>
  <c r="P893" i="1"/>
  <c r="E893" i="1"/>
  <c r="P892" i="1"/>
  <c r="E892" i="1"/>
  <c r="P891" i="1"/>
  <c r="E891" i="1"/>
  <c r="P890" i="1"/>
  <c r="E890" i="1"/>
  <c r="P889" i="1"/>
  <c r="E889" i="1"/>
  <c r="P888" i="1"/>
  <c r="E888" i="1"/>
  <c r="P887" i="1"/>
  <c r="E887" i="1"/>
  <c r="P886" i="1"/>
  <c r="E886" i="1"/>
  <c r="P885" i="1"/>
  <c r="E885" i="1"/>
  <c r="P884" i="1"/>
  <c r="E884" i="1"/>
  <c r="P883" i="1"/>
  <c r="E883" i="1"/>
  <c r="P882" i="1"/>
  <c r="E882" i="1"/>
  <c r="P881" i="1"/>
  <c r="E881" i="1"/>
  <c r="P880" i="1"/>
  <c r="E880" i="1"/>
  <c r="P879" i="1"/>
  <c r="E879" i="1"/>
  <c r="P878" i="1"/>
  <c r="E878" i="1"/>
  <c r="P877" i="1"/>
  <c r="E877" i="1"/>
  <c r="P876" i="1"/>
  <c r="E876" i="1"/>
  <c r="P875" i="1"/>
  <c r="E875" i="1"/>
  <c r="P874" i="1"/>
  <c r="E874" i="1"/>
  <c r="P873" i="1"/>
  <c r="E873" i="1"/>
  <c r="P872" i="1"/>
  <c r="E872" i="1"/>
  <c r="P871" i="1"/>
  <c r="E871" i="1"/>
  <c r="P870" i="1"/>
  <c r="E870" i="1"/>
  <c r="P869" i="1"/>
  <c r="E869" i="1"/>
  <c r="P868" i="1"/>
  <c r="E868" i="1"/>
  <c r="P867" i="1"/>
  <c r="E867" i="1"/>
  <c r="P866" i="1"/>
  <c r="E866" i="1"/>
  <c r="P865" i="1"/>
  <c r="E865" i="1"/>
  <c r="P864" i="1"/>
  <c r="E864" i="1"/>
  <c r="P863" i="1"/>
  <c r="E863" i="1"/>
  <c r="P862" i="1"/>
  <c r="E862" i="1"/>
  <c r="P861" i="1"/>
  <c r="E861" i="1"/>
  <c r="P860" i="1"/>
  <c r="E860" i="1"/>
  <c r="P859" i="1"/>
  <c r="E859" i="1"/>
  <c r="P858" i="1"/>
  <c r="E858" i="1"/>
  <c r="P857" i="1"/>
  <c r="E857" i="1"/>
  <c r="P856" i="1"/>
  <c r="E856" i="1"/>
  <c r="P855" i="1"/>
  <c r="E855" i="1"/>
  <c r="P854" i="1"/>
  <c r="E854" i="1"/>
  <c r="P853" i="1"/>
  <c r="E853" i="1"/>
  <c r="P852" i="1"/>
  <c r="E852" i="1"/>
  <c r="P851" i="1"/>
  <c r="E851" i="1"/>
  <c r="P850" i="1"/>
  <c r="E850" i="1"/>
  <c r="P849" i="1"/>
  <c r="E849" i="1"/>
  <c r="P848" i="1"/>
  <c r="E848" i="1"/>
  <c r="P847" i="1"/>
  <c r="E847" i="1"/>
  <c r="P846" i="1"/>
  <c r="E846" i="1"/>
  <c r="P845" i="1"/>
  <c r="E845" i="1"/>
  <c r="P844" i="1"/>
  <c r="E844" i="1"/>
  <c r="P843" i="1"/>
  <c r="E843" i="1"/>
  <c r="P842" i="1"/>
  <c r="E842" i="1"/>
  <c r="P841" i="1"/>
  <c r="E841" i="1"/>
  <c r="P840" i="1"/>
  <c r="E840" i="1"/>
  <c r="P839" i="1"/>
  <c r="E839" i="1"/>
  <c r="P838" i="1"/>
  <c r="E838" i="1"/>
  <c r="P837" i="1"/>
  <c r="E837" i="1"/>
  <c r="P836" i="1"/>
  <c r="E836" i="1"/>
  <c r="P835" i="1"/>
  <c r="E835" i="1"/>
  <c r="P834" i="1"/>
  <c r="E834" i="1"/>
  <c r="P833" i="1"/>
  <c r="E833" i="1"/>
  <c r="P832" i="1"/>
  <c r="E832" i="1"/>
  <c r="P831" i="1"/>
  <c r="E831" i="1"/>
  <c r="P830" i="1"/>
  <c r="E830" i="1"/>
  <c r="P829" i="1"/>
  <c r="E829" i="1"/>
  <c r="P828" i="1"/>
  <c r="E828" i="1"/>
  <c r="P827" i="1"/>
  <c r="E827" i="1"/>
  <c r="P826" i="1"/>
  <c r="E826" i="1"/>
  <c r="P825" i="1"/>
  <c r="E825" i="1"/>
  <c r="P824" i="1"/>
  <c r="E824" i="1"/>
  <c r="P823" i="1"/>
  <c r="E823" i="1"/>
  <c r="P822" i="1"/>
  <c r="E822" i="1"/>
  <c r="P821" i="1"/>
  <c r="E821" i="1"/>
  <c r="P820" i="1"/>
  <c r="E820" i="1"/>
  <c r="P819" i="1"/>
  <c r="E819" i="1"/>
  <c r="P818" i="1"/>
  <c r="E818" i="1"/>
  <c r="P817" i="1"/>
  <c r="E817" i="1"/>
  <c r="P816" i="1"/>
  <c r="E816" i="1"/>
  <c r="P815" i="1"/>
  <c r="E815" i="1"/>
  <c r="P814" i="1"/>
  <c r="E814" i="1"/>
  <c r="P813" i="1"/>
  <c r="E813" i="1"/>
  <c r="P812" i="1"/>
  <c r="E812" i="1"/>
  <c r="P811" i="1"/>
  <c r="E811" i="1"/>
  <c r="P810" i="1"/>
  <c r="E810" i="1"/>
  <c r="P809" i="1"/>
  <c r="E809" i="1"/>
  <c r="P808" i="1"/>
  <c r="E808" i="1"/>
  <c r="P807" i="1"/>
  <c r="E807" i="1"/>
  <c r="P806" i="1"/>
  <c r="E806" i="1"/>
  <c r="P805" i="1"/>
  <c r="E805" i="1"/>
  <c r="P804" i="1"/>
  <c r="E804" i="1"/>
  <c r="P803" i="1"/>
  <c r="E803" i="1"/>
  <c r="P802" i="1"/>
  <c r="E802" i="1"/>
  <c r="P801" i="1"/>
  <c r="E801" i="1"/>
  <c r="P800" i="1"/>
  <c r="E800" i="1"/>
  <c r="P799" i="1"/>
  <c r="E799" i="1"/>
  <c r="P798" i="1"/>
  <c r="E798" i="1"/>
  <c r="P797" i="1"/>
  <c r="E797" i="1"/>
  <c r="P796" i="1"/>
  <c r="E796" i="1"/>
  <c r="P795" i="1"/>
  <c r="E795" i="1"/>
  <c r="P794" i="1"/>
  <c r="E794" i="1"/>
  <c r="P793" i="1"/>
  <c r="E793" i="1"/>
  <c r="P792" i="1"/>
  <c r="E792" i="1"/>
  <c r="P791" i="1"/>
  <c r="E791" i="1"/>
  <c r="P790" i="1"/>
  <c r="E790" i="1"/>
  <c r="P789" i="1"/>
  <c r="E789" i="1"/>
  <c r="P788" i="1"/>
  <c r="E788" i="1"/>
  <c r="P787" i="1"/>
  <c r="E787" i="1"/>
  <c r="P786" i="1"/>
  <c r="E786" i="1"/>
  <c r="P785" i="1"/>
  <c r="E785" i="1"/>
  <c r="P784" i="1"/>
  <c r="E784" i="1"/>
  <c r="P783" i="1"/>
  <c r="E783" i="1"/>
  <c r="P782" i="1"/>
  <c r="E782" i="1"/>
  <c r="P781" i="1"/>
  <c r="E781" i="1"/>
  <c r="P780" i="1"/>
  <c r="E780" i="1"/>
  <c r="P779" i="1"/>
  <c r="E779" i="1"/>
  <c r="P778" i="1"/>
  <c r="E778" i="1"/>
  <c r="P777" i="1"/>
  <c r="E777" i="1"/>
  <c r="P776" i="1"/>
  <c r="E776" i="1"/>
  <c r="P775" i="1"/>
  <c r="E775" i="1"/>
  <c r="P774" i="1"/>
  <c r="E774" i="1"/>
  <c r="P773" i="1"/>
  <c r="E773" i="1"/>
  <c r="P772" i="1"/>
  <c r="E772" i="1"/>
  <c r="P771" i="1"/>
  <c r="E771" i="1"/>
  <c r="P770" i="1"/>
  <c r="E770" i="1"/>
  <c r="P769" i="1"/>
  <c r="E769" i="1"/>
  <c r="P768" i="1"/>
  <c r="E768" i="1"/>
  <c r="P767" i="1"/>
  <c r="E767" i="1"/>
  <c r="P766" i="1"/>
  <c r="E766" i="1"/>
  <c r="P765" i="1"/>
  <c r="E765" i="1"/>
  <c r="P764" i="1"/>
  <c r="E764" i="1"/>
  <c r="P763" i="1"/>
  <c r="E763" i="1"/>
  <c r="P762" i="1"/>
  <c r="E762" i="1"/>
  <c r="P761" i="1"/>
  <c r="E761" i="1"/>
  <c r="P760" i="1"/>
  <c r="E760" i="1"/>
  <c r="P759" i="1"/>
  <c r="E759" i="1"/>
  <c r="P758" i="1"/>
  <c r="E758" i="1"/>
  <c r="P757" i="1"/>
  <c r="E757" i="1"/>
  <c r="P756" i="1"/>
  <c r="E756" i="1"/>
  <c r="P755" i="1"/>
  <c r="E755" i="1"/>
  <c r="P754" i="1"/>
  <c r="E754" i="1"/>
  <c r="P753" i="1"/>
  <c r="E753" i="1"/>
  <c r="P752" i="1"/>
  <c r="E752" i="1"/>
  <c r="P751" i="1"/>
  <c r="E751" i="1"/>
  <c r="P750" i="1"/>
  <c r="E750" i="1"/>
  <c r="P749" i="1"/>
  <c r="E749" i="1"/>
  <c r="P748" i="1"/>
  <c r="E748" i="1"/>
  <c r="P747" i="1"/>
  <c r="E747" i="1"/>
  <c r="P746" i="1"/>
  <c r="E746" i="1"/>
  <c r="P745" i="1"/>
  <c r="E745" i="1"/>
  <c r="P744" i="1"/>
  <c r="E744" i="1"/>
  <c r="P743" i="1"/>
  <c r="E743" i="1"/>
  <c r="P742" i="1"/>
  <c r="E742" i="1"/>
  <c r="P741" i="1"/>
  <c r="E741" i="1"/>
  <c r="P740" i="1"/>
  <c r="E740" i="1"/>
  <c r="P739" i="1"/>
  <c r="E739" i="1"/>
  <c r="P738" i="1"/>
  <c r="E738" i="1"/>
  <c r="P737" i="1"/>
  <c r="E737" i="1"/>
  <c r="P736" i="1"/>
  <c r="E736" i="1"/>
  <c r="P735" i="1"/>
  <c r="E735" i="1"/>
  <c r="P734" i="1"/>
  <c r="E734" i="1"/>
  <c r="P733" i="1"/>
  <c r="E733" i="1"/>
  <c r="P732" i="1"/>
  <c r="E732" i="1"/>
  <c r="P731" i="1"/>
  <c r="E731" i="1"/>
  <c r="P730" i="1"/>
  <c r="E730" i="1"/>
  <c r="P729" i="1"/>
  <c r="E729" i="1"/>
  <c r="P728" i="1"/>
  <c r="E728" i="1"/>
  <c r="P727" i="1"/>
  <c r="E727" i="1"/>
  <c r="P726" i="1"/>
  <c r="E726" i="1"/>
  <c r="P725" i="1"/>
  <c r="E725" i="1"/>
  <c r="P724" i="1"/>
  <c r="E724" i="1"/>
  <c r="P723" i="1"/>
  <c r="E723" i="1"/>
  <c r="P722" i="1"/>
  <c r="E722" i="1"/>
  <c r="P721" i="1"/>
  <c r="E721" i="1"/>
  <c r="P720" i="1"/>
  <c r="E720" i="1"/>
  <c r="P719" i="1"/>
  <c r="E719" i="1"/>
  <c r="P718" i="1"/>
  <c r="E718" i="1"/>
  <c r="P717" i="1"/>
  <c r="E717" i="1"/>
  <c r="P716" i="1"/>
  <c r="E716" i="1"/>
  <c r="P715" i="1"/>
  <c r="E715" i="1"/>
  <c r="P714" i="1"/>
  <c r="E714" i="1"/>
  <c r="P713" i="1"/>
  <c r="E713" i="1"/>
  <c r="P712" i="1"/>
  <c r="E712" i="1"/>
  <c r="P711" i="1"/>
  <c r="E711" i="1"/>
  <c r="P710" i="1"/>
  <c r="E710" i="1"/>
  <c r="P709" i="1"/>
  <c r="E709" i="1"/>
  <c r="P708" i="1"/>
  <c r="E708" i="1"/>
  <c r="P707" i="1"/>
  <c r="E707" i="1"/>
  <c r="P706" i="1"/>
  <c r="E706" i="1"/>
  <c r="P705" i="1"/>
  <c r="E705" i="1"/>
  <c r="P704" i="1"/>
  <c r="E704" i="1"/>
  <c r="P703" i="1"/>
  <c r="E703" i="1"/>
  <c r="P702" i="1"/>
  <c r="E702" i="1"/>
  <c r="P701" i="1"/>
  <c r="E701" i="1"/>
  <c r="P700" i="1"/>
  <c r="E700" i="1"/>
  <c r="P699" i="1"/>
  <c r="E699" i="1"/>
  <c r="P698" i="1"/>
  <c r="E698" i="1"/>
  <c r="P697" i="1"/>
  <c r="E697" i="1"/>
  <c r="P696" i="1"/>
  <c r="E696" i="1"/>
  <c r="P695" i="1"/>
  <c r="E695" i="1"/>
  <c r="P694" i="1"/>
  <c r="E694" i="1"/>
  <c r="P693" i="1"/>
  <c r="E693" i="1"/>
  <c r="P692" i="1"/>
  <c r="E692" i="1"/>
  <c r="P691" i="1"/>
  <c r="E691" i="1"/>
  <c r="P690" i="1"/>
  <c r="E690" i="1"/>
  <c r="P689" i="1"/>
  <c r="E689" i="1"/>
  <c r="P688" i="1"/>
  <c r="E688" i="1"/>
  <c r="P687" i="1"/>
  <c r="E687" i="1"/>
  <c r="P686" i="1"/>
  <c r="E686" i="1"/>
  <c r="P685" i="1"/>
  <c r="E685" i="1"/>
  <c r="P684" i="1"/>
  <c r="E684" i="1"/>
  <c r="P683" i="1"/>
  <c r="E683" i="1"/>
  <c r="P682" i="1"/>
  <c r="E682" i="1"/>
  <c r="P681" i="1"/>
  <c r="E681" i="1"/>
  <c r="P680" i="1"/>
  <c r="E680" i="1"/>
  <c r="P679" i="1"/>
  <c r="E679" i="1"/>
  <c r="P678" i="1"/>
  <c r="E678" i="1"/>
  <c r="P677" i="1"/>
  <c r="E677" i="1"/>
  <c r="P676" i="1"/>
  <c r="E676" i="1"/>
  <c r="P675" i="1"/>
  <c r="E675" i="1"/>
  <c r="P674" i="1"/>
  <c r="E674" i="1"/>
  <c r="P673" i="1"/>
  <c r="E673" i="1"/>
  <c r="P672" i="1"/>
  <c r="E672" i="1"/>
  <c r="P671" i="1"/>
  <c r="E671" i="1"/>
  <c r="P670" i="1"/>
  <c r="E670" i="1"/>
  <c r="P669" i="1"/>
  <c r="E669" i="1"/>
  <c r="P668" i="1"/>
  <c r="E668" i="1"/>
  <c r="P667" i="1"/>
  <c r="E667" i="1"/>
  <c r="P666" i="1"/>
  <c r="E666" i="1"/>
  <c r="P665" i="1"/>
  <c r="E665" i="1"/>
  <c r="P664" i="1"/>
  <c r="E664" i="1"/>
  <c r="P663" i="1"/>
  <c r="E663" i="1"/>
  <c r="P662" i="1"/>
  <c r="E662" i="1"/>
  <c r="P661" i="1"/>
  <c r="E661" i="1"/>
  <c r="P660" i="1"/>
  <c r="E660" i="1"/>
  <c r="P659" i="1"/>
  <c r="E659" i="1"/>
  <c r="P658" i="1"/>
  <c r="E658" i="1"/>
  <c r="P657" i="1"/>
  <c r="E657" i="1"/>
  <c r="P656" i="1"/>
  <c r="E656" i="1"/>
  <c r="P655" i="1"/>
  <c r="E655" i="1"/>
  <c r="P654" i="1"/>
  <c r="E654" i="1"/>
  <c r="P653" i="1"/>
  <c r="E653" i="1"/>
  <c r="P652" i="1"/>
  <c r="E652" i="1"/>
  <c r="P651" i="1"/>
  <c r="E651" i="1"/>
  <c r="P650" i="1"/>
  <c r="E650" i="1"/>
  <c r="P649" i="1"/>
  <c r="E649" i="1"/>
  <c r="P648" i="1"/>
  <c r="E648" i="1"/>
  <c r="P647" i="1"/>
  <c r="E647" i="1"/>
  <c r="P646" i="1"/>
  <c r="E646" i="1"/>
  <c r="P645" i="1"/>
  <c r="E645" i="1"/>
  <c r="P644" i="1"/>
  <c r="E644" i="1"/>
  <c r="P643" i="1"/>
  <c r="E643" i="1"/>
  <c r="P642" i="1"/>
  <c r="E642" i="1"/>
  <c r="P641" i="1"/>
  <c r="E641" i="1"/>
  <c r="P640" i="1"/>
  <c r="E640" i="1"/>
  <c r="P639" i="1"/>
  <c r="E639" i="1"/>
  <c r="P638" i="1"/>
  <c r="E638" i="1"/>
  <c r="P637" i="1"/>
  <c r="E637" i="1"/>
  <c r="P636" i="1"/>
  <c r="E636" i="1"/>
  <c r="P635" i="1"/>
  <c r="E635" i="1"/>
  <c r="P634" i="1"/>
  <c r="E634" i="1"/>
  <c r="P633" i="1"/>
  <c r="E633" i="1"/>
  <c r="P632" i="1"/>
  <c r="E632" i="1"/>
  <c r="P631" i="1"/>
  <c r="E631" i="1"/>
  <c r="P630" i="1"/>
  <c r="E630" i="1"/>
  <c r="P629" i="1"/>
  <c r="E629" i="1"/>
  <c r="P628" i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<sst xmlns="http://schemas.openxmlformats.org/spreadsheetml/2006/main" count="49666" uniqueCount="2915">
  <si>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</si>
  <si>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</si>
  <si>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</si>
  <si>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</si>
  <si>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</si>
  <si>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</si>
  <si>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</si>
  <si>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</si>
  <si>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</si>
  <si>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</si>
  <si>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</si>
  <si>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</si>
  <si>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</si>
  <si>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</si>
  <si>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</si>
  <si>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</si>
  <si>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</si>
  <si>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</si>
  <si>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</si>
  <si>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</si>
  <si>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</si>
  <si>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</si>
  <si>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</si>
  <si>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</si>
  <si>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</si>
  <si>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</si>
  <si>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</si>
  <si>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</si>
  <si>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</si>
  <si>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</si>
  <si>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</si>
  <si>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</si>
  <si>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</si>
  <si>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</si>
  <si>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</si>
  <si>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</si>
  <si>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</si>
  <si>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</si>
  <si>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</si>
  <si>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</si>
  <si>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</si>
  <si>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</si>
  <si>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</si>
  <si>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</si>
  <si>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</si>
  <si>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</si>
  <si>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</si>
  <si>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</si>
  <si>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</si>
  <si>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</si>
  <si>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</si>
  <si>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</si>
  <si>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</si>
  <si>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</si>
  <si>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</si>
  <si>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</si>
  <si>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</si>
  <si>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</si>
  <si>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</si>
  <si>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</si>
  <si>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</si>
  <si>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</si>
  <si>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</si>
  <si>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</si>
  <si>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</si>
  <si>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</si>
  <si>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</si>
  <si>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</si>
  <si>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</si>
  <si>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</si>
  <si>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</si>
  <si>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</si>
  <si>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C17924</t>
  </si>
  <si>
    <t>MOVE ANALYTICS CC (FESTO DIRECT DEL</t>
  </si>
  <si>
    <t>WAY</t>
  </si>
  <si>
    <t>KEMPT</t>
  </si>
  <si>
    <t>KEMPTON PARK</t>
  </si>
  <si>
    <t xml:space="preserve">FESTO (Move Analytics)             </t>
  </si>
  <si>
    <t xml:space="preserve">                                   </t>
  </si>
  <si>
    <t>GERMI</t>
  </si>
  <si>
    <t>GERMISTON</t>
  </si>
  <si>
    <t xml:space="preserve">BLISS BRANDS (PTY) LTD             </t>
  </si>
  <si>
    <t>ON1</t>
  </si>
  <si>
    <t>BLISS BRANDS</t>
  </si>
  <si>
    <t>Gift Masinga</t>
  </si>
  <si>
    <t>SHIFT MANAGER</t>
  </si>
  <si>
    <t>yes</t>
  </si>
  <si>
    <t>DOC / DOC / FUE / INS</t>
  </si>
  <si>
    <t>FES CUST 20250806 53 - BACK TO CUSTOMER</t>
  </si>
  <si>
    <t>BOX</t>
  </si>
  <si>
    <t>no</t>
  </si>
  <si>
    <t>BLOE1</t>
  </si>
  <si>
    <t>BLOEMFONTEIN</t>
  </si>
  <si>
    <t xml:space="preserve">Central Processing                 </t>
  </si>
  <si>
    <t xml:space="preserve">FESTO                              </t>
  </si>
  <si>
    <t>DBC</t>
  </si>
  <si>
    <t>?</t>
  </si>
  <si>
    <t>GIFT</t>
  </si>
  <si>
    <t>Michele</t>
  </si>
  <si>
    <t>Gift</t>
  </si>
  <si>
    <t>FUE / doc</t>
  </si>
  <si>
    <t>POD received from cell 0774119086 M</t>
  </si>
  <si>
    <t>Box</t>
  </si>
  <si>
    <t>PIET</t>
  </si>
  <si>
    <t>PIET RETIEF</t>
  </si>
  <si>
    <t xml:space="preserve">HCH ELECTRIC CC                    </t>
  </si>
  <si>
    <t>HCH ELECTRIC CC</t>
  </si>
  <si>
    <t>ENOCK</t>
  </si>
  <si>
    <t>POD received from cell 0832048163 M</t>
  </si>
  <si>
    <t xml:space="preserve">FLYER                         </t>
  </si>
  <si>
    <t>RANDB</t>
  </si>
  <si>
    <t>RANDBURG</t>
  </si>
  <si>
    <t xml:space="preserve">ALLPRONIX (PTY) LTD RANDPARK R     </t>
  </si>
  <si>
    <t>ON2</t>
  </si>
  <si>
    <t>ALLPRONIX  PTY  LTD RANDPARK R</t>
  </si>
  <si>
    <t>Tommy schomacher</t>
  </si>
  <si>
    <t>POD received from cell 0628474552 M</t>
  </si>
  <si>
    <t xml:space="preserve">PARCEL                        </t>
  </si>
  <si>
    <t>PAARL</t>
  </si>
  <si>
    <t xml:space="preserve">FILMATIC PACKAGING SYSTEMS PTY     </t>
  </si>
  <si>
    <t>FILMATIC PACKAGING SYSTEMS</t>
  </si>
  <si>
    <t>Patrick</t>
  </si>
  <si>
    <t>POD received from cell 0671392487 M</t>
  </si>
  <si>
    <t>CAPET</t>
  </si>
  <si>
    <t>CAPE TOWN</t>
  </si>
  <si>
    <t xml:space="preserve">BMG BELLVILLE (PTY) LTD 0120       </t>
  </si>
  <si>
    <t>BMG BELLVILLE  PTY  LTD 0120</t>
  </si>
  <si>
    <t>SPHEN</t>
  </si>
  <si>
    <t>POD received from cell 0746644640 M</t>
  </si>
  <si>
    <t>ISIPI</t>
  </si>
  <si>
    <t>ISIPINGO</t>
  </si>
  <si>
    <t xml:space="preserve">THE SOUTH AFRICAN BREWERIES LT     </t>
  </si>
  <si>
    <t>THE SOUTH AFRICAN BREWERIES LT</t>
  </si>
  <si>
    <t>themba</t>
  </si>
  <si>
    <t>Late Linehaul Delayed Beyond Skynet Control</t>
  </si>
  <si>
    <t>lev</t>
  </si>
  <si>
    <t>POD received from cell 0670029554 M</t>
  </si>
  <si>
    <t>PINET</t>
  </si>
  <si>
    <t>PINETOWN</t>
  </si>
  <si>
    <t xml:space="preserve">MAHLE BEHR SOUTH AFRICA PTY LT     </t>
  </si>
  <si>
    <t>MAHLE BEHR S.A</t>
  </si>
  <si>
    <t>nokthula</t>
  </si>
  <si>
    <t>POD received from cell 0812584693 M</t>
  </si>
  <si>
    <t xml:space="preserve">ACDC DYNAMICS CC                   </t>
  </si>
  <si>
    <t>ACDC DYNAMICS CC</t>
  </si>
  <si>
    <t>innocent</t>
  </si>
  <si>
    <t>POD received from cell 0766412100 M</t>
  </si>
  <si>
    <t xml:space="preserve">BOX                           </t>
  </si>
  <si>
    <t xml:space="preserve">PIONEER FOODS GROCERIES PTY LT     </t>
  </si>
  <si>
    <t>PIONEER FOODS GROCERIES PTY LT</t>
  </si>
  <si>
    <t>dollas</t>
  </si>
  <si>
    <t>POD received from cell 0604467550 M</t>
  </si>
  <si>
    <t xml:space="preserve">BMG ISANDO 0165                    </t>
  </si>
  <si>
    <t>BMG ISANDO</t>
  </si>
  <si>
    <t>Emmanuel</t>
  </si>
  <si>
    <t>POD received from cell 0837323487 M</t>
  </si>
  <si>
    <t>ROODE</t>
  </si>
  <si>
    <t>ROODEPOORT</t>
  </si>
  <si>
    <t xml:space="preserve">AFRISAM SOUTH AFRICA (PTY) LTD     </t>
  </si>
  <si>
    <t>AFRISAM SOUTH AFRICA  PTY  LTD</t>
  </si>
  <si>
    <t>steve</t>
  </si>
  <si>
    <t>POD received from cell 0845040713 M</t>
  </si>
  <si>
    <t>PIET1</t>
  </si>
  <si>
    <t>PIETERMARITZBURG</t>
  </si>
  <si>
    <t xml:space="preserve">EGLI PRECISION ENGINEERING PTY     </t>
  </si>
  <si>
    <t>EGLI PRECISION ENGINEERING PTY</t>
  </si>
  <si>
    <t>Machaela</t>
  </si>
  <si>
    <t>POD received from cell 0848417301 M</t>
  </si>
  <si>
    <t xml:space="preserve">PRO PROJECT MACHINERY PTY LTD      </t>
  </si>
  <si>
    <t>PRO PROJECT MACHINERY PTY LTD</t>
  </si>
  <si>
    <t>Graig</t>
  </si>
  <si>
    <t>POD received from cell 0612301350 M</t>
  </si>
  <si>
    <t>STEL2</t>
  </si>
  <si>
    <t>STELLENBOSCH</t>
  </si>
  <si>
    <t xml:space="preserve">HEINEKEN BEVERAGES SA PTY LTD      </t>
  </si>
  <si>
    <t>HEINEKEN BEVERAGES SA PTY LTD</t>
  </si>
  <si>
    <t>Redirect waybill on waybill nu</t>
  </si>
  <si>
    <t>Redirect waybill on waybill number R0800</t>
  </si>
  <si>
    <t>PARCEL</t>
  </si>
  <si>
    <t>KRUGE</t>
  </si>
  <si>
    <t>KRUGERSDORP</t>
  </si>
  <si>
    <t xml:space="preserve">SCHULLPAK GAUTENG (PTY) LTD        </t>
  </si>
  <si>
    <t>SCHULLPAK GAUTENG  PTY  LTD</t>
  </si>
  <si>
    <t>Evans</t>
  </si>
  <si>
    <t>POD received from cell 0644108519 M</t>
  </si>
  <si>
    <t xml:space="preserve">MACSTEEL SERVICE CENTRES SA 20     </t>
  </si>
  <si>
    <t>MACSTEEL SERVICE CENTRES SA 20</t>
  </si>
  <si>
    <t>thuli</t>
  </si>
  <si>
    <t>POD received from cell 0767196058 M</t>
  </si>
  <si>
    <t xml:space="preserve">ACEPAK PACKAGING SYSTEMS UNIT      </t>
  </si>
  <si>
    <t>ACEPAK PACKAGING SYSTEMS UNIT</t>
  </si>
  <si>
    <t>madlela</t>
  </si>
  <si>
    <t>POD received from cell 0738058187 M</t>
  </si>
  <si>
    <t>MIDD2</t>
  </si>
  <si>
    <t>MIDDELBURG (Mpumalanga)</t>
  </si>
  <si>
    <t xml:space="preserve">DES AUTO REPAIRS   HOME SECURI     </t>
  </si>
  <si>
    <t>DES AUTO REPAIRTS   HOME SECUR</t>
  </si>
  <si>
    <t>debbie</t>
  </si>
  <si>
    <t>PORT3</t>
  </si>
  <si>
    <t>PORT ELIZABETH</t>
  </si>
  <si>
    <t xml:space="preserve">SHATTERPRUFE TRADING AS A DIV      </t>
  </si>
  <si>
    <t>SHATTERPRUFE TRADING AS A DIV</t>
  </si>
  <si>
    <t>lanwabo</t>
  </si>
  <si>
    <t>POD received from cell 0711146140 M</t>
  </si>
  <si>
    <t xml:space="preserve">HALL LONGMORE HOLDINGS (PTY) L     </t>
  </si>
  <si>
    <t>HALL LONGMORE HOLDINGS  PTY  L</t>
  </si>
  <si>
    <t>pennil</t>
  </si>
  <si>
    <t>MALME</t>
  </si>
  <si>
    <t>MALMESBURY</t>
  </si>
  <si>
    <t xml:space="preserve">HYDROMATIC T A HEADLINE TRADIN     </t>
  </si>
  <si>
    <t>HYDROMATIC T A HEADLINE TRADIN</t>
  </si>
  <si>
    <t>mary</t>
  </si>
  <si>
    <t>POD received from cell 0650974645 M</t>
  </si>
  <si>
    <t xml:space="preserve">JLINC T A TASAMA TRADING 213C      </t>
  </si>
  <si>
    <t>JLINC T A TASAMA TRADING 213C</t>
  </si>
  <si>
    <t>J Lutzeler</t>
  </si>
  <si>
    <t>y</t>
  </si>
  <si>
    <t>DURBA</t>
  </si>
  <si>
    <t>DURBAN</t>
  </si>
  <si>
    <t xml:space="preserve">COMPRESSED AIR EQUIPMENT DURBA     </t>
  </si>
  <si>
    <t>COMPRESSED AIR EQUIPMENT DURBA</t>
  </si>
  <si>
    <t>noma</t>
  </si>
  <si>
    <t>POD received from cell 0670405005 M</t>
  </si>
  <si>
    <t>EAST</t>
  </si>
  <si>
    <t>EAST LONDON</t>
  </si>
  <si>
    <t xml:space="preserve">HACKMACK ENTERPRISES               </t>
  </si>
  <si>
    <t>HACKMACK ENTERPRISES</t>
  </si>
  <si>
    <t>jonathan</t>
  </si>
  <si>
    <t>POD received from cell 0780568122 M</t>
  </si>
  <si>
    <t>LICHT</t>
  </si>
  <si>
    <t>LICHTENBURG</t>
  </si>
  <si>
    <t xml:space="preserve">JAPIE GODFREY    VESCOTECH         </t>
  </si>
  <si>
    <t>JAPIE GODFREY    VESCOTECH</t>
  </si>
  <si>
    <t>JAPIE</t>
  </si>
  <si>
    <t>VERWO</t>
  </si>
  <si>
    <t>CENTURION</t>
  </si>
  <si>
    <t xml:space="preserve">PRODUCTIVE SYSTEMS CC              </t>
  </si>
  <si>
    <t>PRODUCTIVE SYSTEMS CC</t>
  </si>
  <si>
    <t>BenBen</t>
  </si>
  <si>
    <t>POD received from cell 0698970078 M</t>
  </si>
  <si>
    <t>0157</t>
  </si>
  <si>
    <t>BOKSB</t>
  </si>
  <si>
    <t>BOKSBURG</t>
  </si>
  <si>
    <t xml:space="preserve">Rapid Industrial                   </t>
  </si>
  <si>
    <t>Nita</t>
  </si>
  <si>
    <t>Robby</t>
  </si>
  <si>
    <t xml:space="preserve">CLIFFORD MACHINES   TECHNOLOGY     </t>
  </si>
  <si>
    <t>CLIFFORD MACHINES   TECHNOLOGY</t>
  </si>
  <si>
    <t>reshu</t>
  </si>
  <si>
    <t xml:space="preserve">AMSN INDUSTRIAL SUPPLIES (PTY)     </t>
  </si>
  <si>
    <t>AMSN INDUSTRIAL SUPPLIES  PTY</t>
  </si>
  <si>
    <t>stanton</t>
  </si>
  <si>
    <t xml:space="preserve">DIVFOOD A DIV OF NAMPAK            </t>
  </si>
  <si>
    <t>DIVFOOD A DIV OF NAMPAK</t>
  </si>
  <si>
    <t>zama</t>
  </si>
  <si>
    <t>BENON</t>
  </si>
  <si>
    <t>BENONI</t>
  </si>
  <si>
    <t xml:space="preserve">ME ELECMETAL PRIMA MANUFACTURI     </t>
  </si>
  <si>
    <t>ME ELECMETAL PRIMA MANUFACTURI</t>
  </si>
  <si>
    <t>meagan</t>
  </si>
  <si>
    <t>POD received from cell 0840403522 M</t>
  </si>
  <si>
    <t xml:space="preserve">NATIONAL PACKAGING SYSTEMS         </t>
  </si>
  <si>
    <t>NATIONAL PACKAGING SYSTEMS</t>
  </si>
  <si>
    <t>Moses</t>
  </si>
  <si>
    <t>POD received from cell 0671865619 M</t>
  </si>
  <si>
    <t xml:space="preserve">SFC SOLUTIONS CLIMATE SOUTH AF     </t>
  </si>
  <si>
    <t>SFC SOLUTIONS CLIMATE SOUTH AF</t>
  </si>
  <si>
    <t>Anele</t>
  </si>
  <si>
    <t>POD received from cell 0788915943 M</t>
  </si>
  <si>
    <t xml:space="preserve">POLIMATRIX S.A                     </t>
  </si>
  <si>
    <t>POLIMATRIX S.A</t>
  </si>
  <si>
    <t>Victor Security</t>
  </si>
  <si>
    <t>POD received from cell 0817753249 M</t>
  </si>
  <si>
    <t xml:space="preserve">POINEER FOODS GROCERIES (PTY)      </t>
  </si>
  <si>
    <t>POINEER FOODS GROCERIES  PTY</t>
  </si>
  <si>
    <t xml:space="preserve">KRONES SOUTH AFRICA PTY LTD LA     </t>
  </si>
  <si>
    <t>KRONES SOUTH AFRICA PTY LTD LA</t>
  </si>
  <si>
    <t>Kwane</t>
  </si>
  <si>
    <t>PRETO</t>
  </si>
  <si>
    <t>PRETORIA</t>
  </si>
  <si>
    <t xml:space="preserve">DALEIN AGRI PLAN (PTY) LTD         </t>
  </si>
  <si>
    <t>DALEIN AGRI PLAN  PTY  LTD</t>
  </si>
  <si>
    <t>katlego</t>
  </si>
  <si>
    <t>POD received from cell 0844936893 M</t>
  </si>
  <si>
    <t>0186</t>
  </si>
  <si>
    <t xml:space="preserve">MDW PNEUMATIC TRADING PTY LTD      </t>
  </si>
  <si>
    <t>MDW PNEUMATIC TRADING PTY LTD</t>
  </si>
  <si>
    <t>maruschka</t>
  </si>
  <si>
    <t>POD received from cell 0661618209 M</t>
  </si>
  <si>
    <t>0002</t>
  </si>
  <si>
    <t xml:space="preserve">1FLYER                        </t>
  </si>
  <si>
    <t>ALBE2</t>
  </si>
  <si>
    <t>ALBERTON</t>
  </si>
  <si>
    <t xml:space="preserve">FOSECO A DIV OF VESUVIUS SOUTH     </t>
  </si>
  <si>
    <t>FOSECO</t>
  </si>
  <si>
    <t>sipho</t>
  </si>
  <si>
    <t>POD received from cell 0647581272 M</t>
  </si>
  <si>
    <t>UMHLA</t>
  </si>
  <si>
    <t>UMHLANGA ROCKS</t>
  </si>
  <si>
    <t xml:space="preserve">FILTEC AUTOMATION CC               </t>
  </si>
  <si>
    <t>FILTEC AUTOMATION CC</t>
  </si>
  <si>
    <t>phayal</t>
  </si>
  <si>
    <t>POD received from cell 0844020000 M</t>
  </si>
  <si>
    <t>SOME2</t>
  </si>
  <si>
    <t>SOMERSET WEST</t>
  </si>
  <si>
    <t xml:space="preserve">ULMO WATER FIRGROVE INDUSTRIAL     </t>
  </si>
  <si>
    <t>ULMO WATER FIRGROVE INDUSTRIAL</t>
  </si>
  <si>
    <t>irvyue</t>
  </si>
  <si>
    <t>POD received from cell 0622930487 M</t>
  </si>
  <si>
    <t xml:space="preserve">ACCUTECH WEIGHING SERVICES PTY     </t>
  </si>
  <si>
    <t>ACCUTECH WEIGHING SERVICES PTY</t>
  </si>
  <si>
    <t>Sbu</t>
  </si>
  <si>
    <t>POD received from cell 0720457394 M</t>
  </si>
  <si>
    <t>HYDROMATIC</t>
  </si>
  <si>
    <t>NIGEL</t>
  </si>
  <si>
    <t xml:space="preserve">M   C BEARING AND TRANSMISSION     </t>
  </si>
  <si>
    <t>M   C BEARING AND TRANSMISSION</t>
  </si>
  <si>
    <t>Priscilla</t>
  </si>
  <si>
    <t>MPR054337</t>
  </si>
  <si>
    <t>POTCH</t>
  </si>
  <si>
    <t>POTCHEFSTROOM</t>
  </si>
  <si>
    <t xml:space="preserve">VESCOTECH                          </t>
  </si>
  <si>
    <t>VESCOTECH</t>
  </si>
  <si>
    <t>Trymore</t>
  </si>
  <si>
    <t>POD received from cell 0737934317 M</t>
  </si>
  <si>
    <t>JOHAN</t>
  </si>
  <si>
    <t>JOHANNESBURG</t>
  </si>
  <si>
    <t xml:space="preserve">CONTINENTAL BISCUITS PTY LTD       </t>
  </si>
  <si>
    <t>CONTINENTAL BISCUITS PTY LTD</t>
  </si>
  <si>
    <t>Nomandla</t>
  </si>
  <si>
    <t>FUE / DOC</t>
  </si>
  <si>
    <t>POD received from cell 0834177790 M</t>
  </si>
  <si>
    <t xml:space="preserve">NESTLE SOUTH AFRICA PTY LTD        </t>
  </si>
  <si>
    <t>NESTLE SOUTH AFRICA PTY LTD</t>
  </si>
  <si>
    <t>YANGA</t>
  </si>
  <si>
    <t>BRIT1</t>
  </si>
  <si>
    <t>BRITS</t>
  </si>
  <si>
    <t xml:space="preserve">NECSA ECO INDUSTRIAL PARK          </t>
  </si>
  <si>
    <t>NECSA ECO INDUSTRIAL PARK</t>
  </si>
  <si>
    <t>Cerel</t>
  </si>
  <si>
    <t>POD received from cell 0641065083 M</t>
  </si>
  <si>
    <t>0250</t>
  </si>
  <si>
    <t xml:space="preserve">CLURE PROJECTS CC                  </t>
  </si>
  <si>
    <t>CLURE PROJECTS CC</t>
  </si>
  <si>
    <t>Nathan</t>
  </si>
  <si>
    <t>POD received from cell 0817078010 M</t>
  </si>
  <si>
    <t xml:space="preserve">AMROD COPORATE SOLUTION (PTY)      </t>
  </si>
  <si>
    <t>AMROD COPORATE SOLUTION  PTY</t>
  </si>
  <si>
    <t>tibang</t>
  </si>
  <si>
    <t>HAMMA</t>
  </si>
  <si>
    <t>HAMMANSKRAAL</t>
  </si>
  <si>
    <t xml:space="preserve">NESTLE SOUTH AFRICA (PTY) LTD      </t>
  </si>
  <si>
    <t>NESTLE SOUTH AFRICA  PTY  LTD</t>
  </si>
  <si>
    <t>itumeleng</t>
  </si>
  <si>
    <t>POD received from cell 0726543055 M</t>
  </si>
  <si>
    <t>0400</t>
  </si>
  <si>
    <t xml:space="preserve">MACSTEEL COIL PROCESSING           </t>
  </si>
  <si>
    <t>MACSTEEL COIL PROCESSING</t>
  </si>
  <si>
    <t>Shirley</t>
  </si>
  <si>
    <t>TZANE</t>
  </si>
  <si>
    <t>TZANEEN</t>
  </si>
  <si>
    <t xml:space="preserve">MERENSKY TIMBER PTY LTD T A NO     </t>
  </si>
  <si>
    <t>MERENSKY</t>
  </si>
  <si>
    <t>Annie</t>
  </si>
  <si>
    <t>Outlying delivery location</t>
  </si>
  <si>
    <t>liv</t>
  </si>
  <si>
    <t>POD received from cell 0721205889 M</t>
  </si>
  <si>
    <t>0850</t>
  </si>
  <si>
    <t xml:space="preserve">Polyoak Packaging                  </t>
  </si>
  <si>
    <t>Kyle Harris</t>
  </si>
  <si>
    <t xml:space="preserve">MEXAN PRODUCTS (PTY) LTD           </t>
  </si>
  <si>
    <t>MEXAN PRODUCTS  PTY  LTD</t>
  </si>
  <si>
    <t>Hemkress</t>
  </si>
  <si>
    <t>DESPA</t>
  </si>
  <si>
    <t>DESPATCH</t>
  </si>
  <si>
    <t>THE SOUTH AFRICAN BREWERIES</t>
  </si>
  <si>
    <t>nadine</t>
  </si>
  <si>
    <t xml:space="preserve">FESTO CAPE TOWN OFFICE             </t>
  </si>
  <si>
    <t>FESTO CAPE TOWN OFFICE</t>
  </si>
  <si>
    <t>Pierre</t>
  </si>
  <si>
    <t>Consignee not available)</t>
  </si>
  <si>
    <t>JUH</t>
  </si>
  <si>
    <t>POD received from cell 0761265903 M</t>
  </si>
  <si>
    <t xml:space="preserve">THE SOUTH AFRICA BREWERIES LTD     </t>
  </si>
  <si>
    <t>THE SOUTH AFRICA BREWERIES LTD</t>
  </si>
  <si>
    <t>SPRI3</t>
  </si>
  <si>
    <t>SPRINGS</t>
  </si>
  <si>
    <t xml:space="preserve">KIMBERLY-CLARK VENDOR NUMBER:      </t>
  </si>
  <si>
    <t>KIMBERLY-CLARK VENDOR NUMBER</t>
  </si>
  <si>
    <t>sibusiso</t>
  </si>
  <si>
    <t>POD received from cell 0714073863 M</t>
  </si>
  <si>
    <t>ASHTO</t>
  </si>
  <si>
    <t>ASHTON</t>
  </si>
  <si>
    <t xml:space="preserve">CSM BEARINGS   PNEUMATICS ASHT     </t>
  </si>
  <si>
    <t>CSM BEARINGS   PNEUMATICS ASHT</t>
  </si>
  <si>
    <t>A Steffans</t>
  </si>
  <si>
    <t>POD received from cell 0786786237 M</t>
  </si>
  <si>
    <t xml:space="preserve">NAMPAK PRODUCTS LTD T A BEVCAN     </t>
  </si>
  <si>
    <t>NAMPAK PRODUCTS</t>
  </si>
  <si>
    <t>lucky</t>
  </si>
  <si>
    <t>UITEN</t>
  </si>
  <si>
    <t>UITENHAGE</t>
  </si>
  <si>
    <t xml:space="preserve">REHAU POLYMER PTY LTD              </t>
  </si>
  <si>
    <t>REHAU POLYMER</t>
  </si>
  <si>
    <t>deon</t>
  </si>
  <si>
    <t>POD received from cell 0793062989 M</t>
  </si>
  <si>
    <t xml:space="preserve">VICTORY ELECTRICAL CC              </t>
  </si>
  <si>
    <t>VICTORY ELECTRICAL CC</t>
  </si>
  <si>
    <t>sibusio</t>
  </si>
  <si>
    <t xml:space="preserve">FLYERE                        </t>
  </si>
  <si>
    <t xml:space="preserve">GRANROTH (PTY) LTD                 </t>
  </si>
  <si>
    <t>GRANROTH  PTY  LTD</t>
  </si>
  <si>
    <t>bradley</t>
  </si>
  <si>
    <t>POD received from cell 0608702785 M</t>
  </si>
  <si>
    <t xml:space="preserve">AUTO INDUSTRIAL MACHINING A DI     </t>
  </si>
  <si>
    <t>AUTO INDUSTRIAL MACHINING A DI</t>
  </si>
  <si>
    <t>Oupa</t>
  </si>
  <si>
    <t xml:space="preserve">ADCOCK INGRAM CRITICAL CARE PT     </t>
  </si>
  <si>
    <t>ADCOCK INGRAM CRITICAL CARE PT</t>
  </si>
  <si>
    <t>Created only</t>
  </si>
  <si>
    <t>LBR</t>
  </si>
  <si>
    <t>DOC / FUE / INS</t>
  </si>
  <si>
    <t xml:space="preserve">FESTO DURBAN  SUITE 107A           </t>
  </si>
  <si>
    <t>FESTO DURBAN  SUITE 107A</t>
  </si>
  <si>
    <t>mark</t>
  </si>
  <si>
    <t>POD received from cell 0747980518 M</t>
  </si>
  <si>
    <t xml:space="preserve">FESTO PORT ELIZABETH               </t>
  </si>
  <si>
    <t>JANSE VAN RENSBURG</t>
  </si>
  <si>
    <t>Carl</t>
  </si>
  <si>
    <t>pierre</t>
  </si>
  <si>
    <t xml:space="preserve">CONTINENTAL TYRE SA PTY LTD SI     </t>
  </si>
  <si>
    <t>CONTINENTAL TYRE SA PTY LTD SI</t>
  </si>
  <si>
    <t>richard</t>
  </si>
  <si>
    <t>POD received from cell 0644881838 M</t>
  </si>
  <si>
    <t>SIBUSISO</t>
  </si>
  <si>
    <t>TONGA</t>
  </si>
  <si>
    <t>TONGAAT</t>
  </si>
  <si>
    <t xml:space="preserve">SA MACHINE DESIGN (PTY) LTD BA     </t>
  </si>
  <si>
    <t>SA MACHINE DESIGN  PTY  LTD BA</t>
  </si>
  <si>
    <t>SA Machine Design</t>
  </si>
  <si>
    <t>LEV</t>
  </si>
  <si>
    <t>POD received from cell 0769518219 M</t>
  </si>
  <si>
    <t xml:space="preserve">BRADCHER INDUSTRIAL WHOLESALER     </t>
  </si>
  <si>
    <t>BRADCHER  INDUSTRIAL WHOLESALE</t>
  </si>
  <si>
    <t>vusi</t>
  </si>
  <si>
    <t>POD received from cell 0678197388 M</t>
  </si>
  <si>
    <t>DELMA</t>
  </si>
  <si>
    <t>DELMAS</t>
  </si>
  <si>
    <t xml:space="preserve">MCCAIN FOODS SOUTH AFRICA PTY      </t>
  </si>
  <si>
    <t>MCCAIN FOODS SOUTH AFRICA PTY</t>
  </si>
  <si>
    <t>Windy</t>
  </si>
  <si>
    <t>POD received from cell 0659646054 M</t>
  </si>
  <si>
    <t>SASOL</t>
  </si>
  <si>
    <t>SASOLBURG</t>
  </si>
  <si>
    <t xml:space="preserve">COREL INSTRUMENTATION   CONTRO     </t>
  </si>
  <si>
    <t>COREL INSTRUMENTATION   CONTRO</t>
  </si>
  <si>
    <t xml:space="preserve">BENITA                        </t>
  </si>
  <si>
    <t xml:space="preserve">                                        </t>
  </si>
  <si>
    <t xml:space="preserve">QUALITECHS                         </t>
  </si>
  <si>
    <t>QUALITECHS</t>
  </si>
  <si>
    <t>Renny</t>
  </si>
  <si>
    <t>POD received from cell 0767738416 M</t>
  </si>
  <si>
    <t xml:space="preserve">PBA SPARES (PTY) LTD               </t>
  </si>
  <si>
    <t>PBA SPARES  PTY  LTD</t>
  </si>
  <si>
    <t>m hiodgson</t>
  </si>
  <si>
    <t>POD received from cell 0763378994 M</t>
  </si>
  <si>
    <t xml:space="preserve">H.G MOLENAAR (PTY) LTD             </t>
  </si>
  <si>
    <t>H.G MOLENAAR  PTY  LTD</t>
  </si>
  <si>
    <t>Gavin</t>
  </si>
  <si>
    <t xml:space="preserve">BMG PORT ELIZABETH                 </t>
  </si>
  <si>
    <t>BMG PORT ELIZABETH</t>
  </si>
  <si>
    <t>Sivu</t>
  </si>
  <si>
    <t>LYDEN</t>
  </si>
  <si>
    <t>LYDENBURG</t>
  </si>
  <si>
    <t xml:space="preserve">GLENCORE ALLOYS THORNCLIFFE        </t>
  </si>
  <si>
    <t>GLENCORE ALLOYS THORNCLIFFE</t>
  </si>
  <si>
    <t xml:space="preserve">SHATTERPRUFE TRADING DIVISION      </t>
  </si>
  <si>
    <t>SHATTERPRUFE TRADING DIVISION</t>
  </si>
  <si>
    <t>t makgafela</t>
  </si>
  <si>
    <t>0221</t>
  </si>
  <si>
    <t xml:space="preserve">CBZ SOLUTIONS (PTY) LTD            </t>
  </si>
  <si>
    <t>CBZ SOLUTIONS  PTY  LTD</t>
  </si>
  <si>
    <t>LEBOGANG</t>
  </si>
  <si>
    <t>benita</t>
  </si>
  <si>
    <t>POD received from cell 0781810800 M</t>
  </si>
  <si>
    <t>spha</t>
  </si>
  <si>
    <t xml:space="preserve">ALC CORP. (PTY) LTD                </t>
  </si>
  <si>
    <t>ALC CORP.  PTY  LTD</t>
  </si>
  <si>
    <t>LESLEY ANNE</t>
  </si>
  <si>
    <t>POD received from cell 0782833197 M</t>
  </si>
  <si>
    <t xml:space="preserve">MONDI SOUTH AFRICA PROPRIETARY     </t>
  </si>
  <si>
    <t>MONDI SOUTH AFRICA PROPRIETARY</t>
  </si>
  <si>
    <t>nelson</t>
  </si>
  <si>
    <t>silindile</t>
  </si>
  <si>
    <t xml:space="preserve">REEF CONSTRUCTION MACHINERY (P     </t>
  </si>
  <si>
    <t>REEF CONSTRUCTION MACHINERY  P</t>
  </si>
  <si>
    <t xml:space="preserve">Andre                         </t>
  </si>
  <si>
    <t xml:space="preserve">POD received from cell 0837842726 M     </t>
  </si>
  <si>
    <t xml:space="preserve">TI GROUP AUTOMOTIVE SYSTEMS (P     </t>
  </si>
  <si>
    <t>TI GROUP AUTOMOTIVE SYSTEMS  P</t>
  </si>
  <si>
    <t>reescn</t>
  </si>
  <si>
    <t xml:space="preserve">RICH PRODUCTS CORP OF SOUTH AF     </t>
  </si>
  <si>
    <t>RICH PRODUCTS CORP OF SOUTH AF</t>
  </si>
  <si>
    <t>golden</t>
  </si>
  <si>
    <t>POD received from cell 0825419099 M</t>
  </si>
  <si>
    <t xml:space="preserve">BBF SAFETY FROUP (PTY) LTD         </t>
  </si>
  <si>
    <t>BBF SAFETY FROUP  PTY  LTD</t>
  </si>
  <si>
    <t>rethebile</t>
  </si>
  <si>
    <t xml:space="preserve">1310 MAIN STREET PYT LTD T A T     </t>
  </si>
  <si>
    <t>1310 MAIN STREET PYT LTD T A T</t>
  </si>
  <si>
    <t>Mary</t>
  </si>
  <si>
    <t>POD received from cell 0817092867 M</t>
  </si>
  <si>
    <t>0117</t>
  </si>
  <si>
    <t>RUSTE</t>
  </si>
  <si>
    <t>RUSTENBURG</t>
  </si>
  <si>
    <t xml:space="preserve">BOLT   ENGINEERING DISTRIBUTOR     </t>
  </si>
  <si>
    <t>BOLT   ENGINEERING DISTRIBUTOR</t>
  </si>
  <si>
    <t>Phillip</t>
  </si>
  <si>
    <t>POD received from cell 0685210458 M</t>
  </si>
  <si>
    <t>0299</t>
  </si>
  <si>
    <t>VEREE</t>
  </si>
  <si>
    <t>VEREENIGING</t>
  </si>
  <si>
    <t xml:space="preserve">HEINEKEN SOUTH AFRICA (PTY) LT     </t>
  </si>
  <si>
    <t>HEINEKEN SOUTH AFRICA  PTY  LT</t>
  </si>
  <si>
    <t>Goodman</t>
  </si>
  <si>
    <t>POD received from cell 0791970159 M</t>
  </si>
  <si>
    <t>sello</t>
  </si>
  <si>
    <t xml:space="preserve">FLSMIDTH SOUTH AFRICA PTY LTD      </t>
  </si>
  <si>
    <t>FLSMIDTH SOUTH AFRICA PTY LTD</t>
  </si>
  <si>
    <t xml:space="preserve">IRENE                         </t>
  </si>
  <si>
    <t xml:space="preserve">POD received from cell 0839573774 M     </t>
  </si>
  <si>
    <t>pfarelo</t>
  </si>
  <si>
    <t>POD received from cell 0658865869 M</t>
  </si>
  <si>
    <t>0200</t>
  </si>
  <si>
    <t xml:space="preserve">KIMBERLY-CLARK S.A VENDOR: 100     </t>
  </si>
  <si>
    <t>KIMBERLY-CLARK S.A VENDOR  100</t>
  </si>
  <si>
    <t>MICHAEL</t>
  </si>
  <si>
    <t xml:space="preserve">ANG INDUSTRIAL SOLUTIONS PTY       </t>
  </si>
  <si>
    <t>ANG INDUSTRIAL SOLUTIONS</t>
  </si>
  <si>
    <t xml:space="preserve">Samuel                        </t>
  </si>
  <si>
    <t xml:space="preserve">POD received from cell 0791069864 M     </t>
  </si>
  <si>
    <t>Lerato</t>
  </si>
  <si>
    <t>POD received from cell 0609039667 M</t>
  </si>
  <si>
    <t>Thabang</t>
  </si>
  <si>
    <t xml:space="preserve">BMG PINETOWN                       </t>
  </si>
  <si>
    <t>BMG PINETOWN</t>
  </si>
  <si>
    <t>Randall</t>
  </si>
  <si>
    <t>POD received from cell 0735736630 M</t>
  </si>
  <si>
    <t xml:space="preserve">ARDAGH GLASS PACKAGING SOUTH A     </t>
  </si>
  <si>
    <t>ARDAGH GLASS PACKAGING SOUTH A</t>
  </si>
  <si>
    <t>Elijah</t>
  </si>
  <si>
    <t xml:space="preserve">BIZ AFRIKA 925 (PTY) LTD           </t>
  </si>
  <si>
    <t>BIZ AFRIKA 925  PTY  LTD</t>
  </si>
  <si>
    <t>danel</t>
  </si>
  <si>
    <t>POD received from cell 0721074601 M</t>
  </si>
  <si>
    <t>WORCE</t>
  </si>
  <si>
    <t>WORCESTER</t>
  </si>
  <si>
    <t xml:space="preserve">RCL FOODS CONSUMER (PTY) LTD M     </t>
  </si>
  <si>
    <t>RCL FOODS CONSUMER  PTY  LTD M</t>
  </si>
  <si>
    <t xml:space="preserve">medwin                        </t>
  </si>
  <si>
    <t xml:space="preserve">POD received from cell 0813352451 M     </t>
  </si>
  <si>
    <t>warrick</t>
  </si>
  <si>
    <t xml:space="preserve">MAIN STREET 1310(PTY) LTD T A      </t>
  </si>
  <si>
    <t>MAIN STREET 1310 PTY  LTD T A</t>
  </si>
  <si>
    <t>Nokukhanya</t>
  </si>
  <si>
    <t>ANSEL</t>
  </si>
  <si>
    <t>POD received from cell 0658550146 M</t>
  </si>
  <si>
    <t xml:space="preserve">BOWLER PLASTICS (PTY) LTD PHIL     </t>
  </si>
  <si>
    <t>BOWLER PLASTICS  PTY  LTD PHIL</t>
  </si>
  <si>
    <t>Rusheen</t>
  </si>
  <si>
    <t>POD received from cell 0679520811 M</t>
  </si>
  <si>
    <t>moses</t>
  </si>
  <si>
    <t>reesau</t>
  </si>
  <si>
    <t xml:space="preserve">GRW COMMERCIALS (PTY) LTD T A      </t>
  </si>
  <si>
    <t>GRW COMMERCIALS  PTY  LTD T A</t>
  </si>
  <si>
    <t>William</t>
  </si>
  <si>
    <t>POD received from cell 0837842726 M</t>
  </si>
  <si>
    <t xml:space="preserve">ACEPAK PACKAGING SYSTEMS           </t>
  </si>
  <si>
    <t>ACEPAK PACKAGING SYSTEMS</t>
  </si>
  <si>
    <t>BURG1</t>
  </si>
  <si>
    <t>BURGERSFORT</t>
  </si>
  <si>
    <t>wicus De wet</t>
  </si>
  <si>
    <t>POD received from cell 0716361725 M</t>
  </si>
  <si>
    <t>gary</t>
  </si>
  <si>
    <t xml:space="preserve">BMG Isando                         </t>
  </si>
  <si>
    <t>Emmanuel Ravele</t>
  </si>
  <si>
    <t xml:space="preserve">Victory Electrical                 </t>
  </si>
  <si>
    <t>Kevin Sherwin</t>
  </si>
  <si>
    <t>robby</t>
  </si>
  <si>
    <t>POD received from cell 0719533928 M</t>
  </si>
  <si>
    <t xml:space="preserve">RCL FOODS CONSUMER                 </t>
  </si>
  <si>
    <t>RCL FOODS CONSUMER</t>
  </si>
  <si>
    <t>bongani</t>
  </si>
  <si>
    <t>POD received from cell 0827869932 M</t>
  </si>
  <si>
    <t xml:space="preserve">CLOVER SA (PTY) LTD                </t>
  </si>
  <si>
    <t>CLOVER SA  PTY  LTD</t>
  </si>
  <si>
    <t>Zimba</t>
  </si>
  <si>
    <t>FLYER</t>
  </si>
  <si>
    <t xml:space="preserve">S4 INTEGRATION PTY LTD             </t>
  </si>
  <si>
    <t>S4 INTEGRATION PTY LTD</t>
  </si>
  <si>
    <t>Ayanda</t>
  </si>
  <si>
    <t>POD received from cell 0684745132 M</t>
  </si>
  <si>
    <t xml:space="preserve">ADCOCK INGRAM HEALTHCARE (PTY)     </t>
  </si>
  <si>
    <t>ADCOCK INGRAM HEALTHCARE  PTY</t>
  </si>
  <si>
    <t>tshepo</t>
  </si>
  <si>
    <t>ntembeko</t>
  </si>
  <si>
    <t>PHALA</t>
  </si>
  <si>
    <t>PHALABORWA</t>
  </si>
  <si>
    <t xml:space="preserve">JMS GROUP ENIGEERING PHALABORW     </t>
  </si>
  <si>
    <t>JMS GROUP ENIGEERING PHALABORW</t>
  </si>
  <si>
    <t>daleen</t>
  </si>
  <si>
    <t>POD received from cell 0714955146 M</t>
  </si>
  <si>
    <t xml:space="preserve">ROBOTIC HANDLING SYSTEMS CC        </t>
  </si>
  <si>
    <t>ROBOTIC HANDLING SYSTEMS CC</t>
  </si>
  <si>
    <t>Darren</t>
  </si>
  <si>
    <t>Gary</t>
  </si>
  <si>
    <t xml:space="preserve">TM ENGINEERING                     </t>
  </si>
  <si>
    <t>TM ENGINEERING</t>
  </si>
  <si>
    <t>Noleen</t>
  </si>
  <si>
    <t>POD received from cell 0767510913 M</t>
  </si>
  <si>
    <t xml:space="preserve">MBP ENGINEERS AND PROCUREMENT      </t>
  </si>
  <si>
    <t>MBP ENGINEERS AND PROCUREMENT</t>
  </si>
  <si>
    <t>Patricia</t>
  </si>
  <si>
    <t>POD received from cell 0614527212 M</t>
  </si>
  <si>
    <t xml:space="preserve">FELTEX AUTOMOTIVE DIVISION- GR     </t>
  </si>
  <si>
    <t>FELTEX AUTOMOTIVE DIVISION- GR</t>
  </si>
  <si>
    <t>zanele</t>
  </si>
  <si>
    <t>POD received from cell 0661903076 M</t>
  </si>
  <si>
    <t xml:space="preserve">NAMPAK LTD. DIVFOOD EPPING         </t>
  </si>
  <si>
    <t>NAMPAK LTD. DIVFOOD EPPING</t>
  </si>
  <si>
    <t>Tshepo</t>
  </si>
  <si>
    <t>kgothatso</t>
  </si>
  <si>
    <t xml:space="preserve">RYMCO YEAST PTY LTD                </t>
  </si>
  <si>
    <t>RYMCO YEAST PTY LTD</t>
  </si>
  <si>
    <t>Thobile</t>
  </si>
  <si>
    <t xml:space="preserve">HEINEKEN BEVERAGES SA (PTY) LT     </t>
  </si>
  <si>
    <t>HEINEKEN BEVERAGES SA  PTY  LT</t>
  </si>
  <si>
    <t>SIYALO</t>
  </si>
  <si>
    <t xml:space="preserve">TECHNOVAA PACKAGING INDUSTRIES     </t>
  </si>
  <si>
    <t>TECHNOVAA PACKAGING INDUSTRIES</t>
  </si>
  <si>
    <t>PAUL</t>
  </si>
  <si>
    <t>col</t>
  </si>
  <si>
    <t>lutha</t>
  </si>
  <si>
    <t>David</t>
  </si>
  <si>
    <t>ppm</t>
  </si>
  <si>
    <t>Somabile</t>
  </si>
  <si>
    <t>sonwabile</t>
  </si>
  <si>
    <t>gulto</t>
  </si>
  <si>
    <t xml:space="preserve">AFS FILTER SYSTEMS PTY LTD         </t>
  </si>
  <si>
    <t>AFS FILTER SYSTEMS PTY LTD</t>
  </si>
  <si>
    <t>Alfred</t>
  </si>
  <si>
    <t>POD received from cell 0723083847 M</t>
  </si>
  <si>
    <t>0001</t>
  </si>
  <si>
    <t>MPHO</t>
  </si>
  <si>
    <t>UMBOG</t>
  </si>
  <si>
    <t>UMBOGINTWINI</t>
  </si>
  <si>
    <t xml:space="preserve">RYMCO PTY LTD T A ANCHOR YEAST     </t>
  </si>
  <si>
    <t>RYMCO</t>
  </si>
  <si>
    <t xml:space="preserve">Dumisani                      </t>
  </si>
  <si>
    <t>COL</t>
  </si>
  <si>
    <t xml:space="preserve">POD received from cell 0671711975 M     </t>
  </si>
  <si>
    <t xml:space="preserve">RUST-OLEUM SOUTH AFRICA PTY LT     </t>
  </si>
  <si>
    <t>RUST-OLEUM SOUTH AFRICA PTY LT</t>
  </si>
  <si>
    <t xml:space="preserve">FOXOLUTION SYSTEMS ENGINEERING     </t>
  </si>
  <si>
    <t>FOXOLUTION SYSTEMS ENGINEERING</t>
  </si>
  <si>
    <t>Arno</t>
  </si>
  <si>
    <t>POD received from cell 0735647467 M</t>
  </si>
  <si>
    <t xml:space="preserve">CONTINENTAL TYRE SA SIDWELL        </t>
  </si>
  <si>
    <t>CONTINENTAL TYRE SA SIDWELL</t>
  </si>
  <si>
    <t xml:space="preserve">HYDRAQUIP BERGRIVIER HIDROLIES     </t>
  </si>
  <si>
    <t>HYDRAQUIP BERGRIVIER HIDROLIES</t>
  </si>
  <si>
    <t>farren</t>
  </si>
  <si>
    <t>LADYS</t>
  </si>
  <si>
    <t>LADYSMITH (NTL)</t>
  </si>
  <si>
    <t xml:space="preserve">LADYSMITH TRADING CC               </t>
  </si>
  <si>
    <t>LADYSMITH TRADING CC</t>
  </si>
  <si>
    <t>THULANI</t>
  </si>
  <si>
    <t xml:space="preserve">PRO PROJECT MACHINERY ( PTY )      </t>
  </si>
  <si>
    <t>PRO PROJECT MACHINERY   PTY</t>
  </si>
  <si>
    <t>Juan</t>
  </si>
  <si>
    <t xml:space="preserve">JENDAMARK AUTOMATION PTY LTD P     </t>
  </si>
  <si>
    <t>JENDAMARK AUTOMATION PTY LTD P</t>
  </si>
  <si>
    <t>shaakir</t>
  </si>
  <si>
    <t xml:space="preserve">MAVTECH TECHNOLOGIES (PTY) LTD     </t>
  </si>
  <si>
    <t>MAVTECH TECHNOLOGIES  PTY  LTD</t>
  </si>
  <si>
    <t>Louisah</t>
  </si>
  <si>
    <t xml:space="preserve">ASPEN SA OPERATIONS ( PTY ) LT     </t>
  </si>
  <si>
    <t>ASPEN SA OPERATIONS   PTY   LT</t>
  </si>
  <si>
    <t>simpiwe</t>
  </si>
  <si>
    <t>POD received from cell 0658421544 M</t>
  </si>
  <si>
    <t xml:space="preserve">ROBOTIC INNOVATIONS (PTY) LTD      </t>
  </si>
  <si>
    <t>ROBOTIC INNOVATIONS  PTY  LTD</t>
  </si>
  <si>
    <t>Chantell</t>
  </si>
  <si>
    <t>POD received from cell 0726316905 M</t>
  </si>
  <si>
    <t xml:space="preserve">VOLKSWAGEN OF SA (VC 3055)         </t>
  </si>
  <si>
    <t>VOLKSWAGEN OF SA  VC 3055</t>
  </si>
  <si>
    <t>candice</t>
  </si>
  <si>
    <t xml:space="preserve">ISEGEN S.A (PTY) LTD               </t>
  </si>
  <si>
    <t>ISEGEN S.A  PTY  LTD</t>
  </si>
  <si>
    <t>keegan</t>
  </si>
  <si>
    <t>THAB1</t>
  </si>
  <si>
    <t>THABAZIMBI</t>
  </si>
  <si>
    <t xml:space="preserve">WATERBERG TVET COLLEGE THABAZI     </t>
  </si>
  <si>
    <t>WATERBERG TVET COLLEGE THABAZI</t>
  </si>
  <si>
    <t xml:space="preserve">kabelo                        </t>
  </si>
  <si>
    <t>Late linehaul</t>
  </si>
  <si>
    <t>ora</t>
  </si>
  <si>
    <t>0387</t>
  </si>
  <si>
    <t xml:space="preserve">PALLET                        </t>
  </si>
  <si>
    <t xml:space="preserve">RCL FOODS CONSUMER (PTY) LTD       </t>
  </si>
  <si>
    <t>RCL FOODS CONSUMER  PTY  LTD</t>
  </si>
  <si>
    <t>thapelo</t>
  </si>
  <si>
    <t>POD received from cell 0647443659 M</t>
  </si>
  <si>
    <t xml:space="preserve">TENNECO RIDE CONTROL SA (PTY)      </t>
  </si>
  <si>
    <t>TENNECO RIDE CONTROL SA  PTY</t>
  </si>
  <si>
    <t>wifa</t>
  </si>
  <si>
    <t>Lebogang</t>
  </si>
  <si>
    <t xml:space="preserve">UNILEVER SOUTH AFRICA PTY LTD      </t>
  </si>
  <si>
    <t>UNILEVER SOUTH AFRICA PTY LTD</t>
  </si>
  <si>
    <t>Kanyane</t>
  </si>
  <si>
    <t>POD received from cell 0839573774 M</t>
  </si>
  <si>
    <t>RANDF</t>
  </si>
  <si>
    <t>RANDFONTEIN</t>
  </si>
  <si>
    <t xml:space="preserve">RCL GROUP SERVICES (PTY) LTD       </t>
  </si>
  <si>
    <t>RCL GROUP SERVICES  PTY  LTD</t>
  </si>
  <si>
    <t>super</t>
  </si>
  <si>
    <t>POD received from cell 0679017498 M</t>
  </si>
  <si>
    <t xml:space="preserve">BRIDGESTONE FIRESTONE              </t>
  </si>
  <si>
    <t>BRIDGESTONE FIRESTONE</t>
  </si>
  <si>
    <t>Thando</t>
  </si>
  <si>
    <t>POD received from cell 0790934153 M</t>
  </si>
  <si>
    <t xml:space="preserve">IDWALA CARBONATES DIV -IDWALA      </t>
  </si>
  <si>
    <t>IDWALA CARBONATES DIV -IDWALA</t>
  </si>
  <si>
    <t>kerisha</t>
  </si>
  <si>
    <t>POD received from cell 0663869424 M</t>
  </si>
  <si>
    <t xml:space="preserve">BMW SOUTH AFRICA                   </t>
  </si>
  <si>
    <t>BMW</t>
  </si>
  <si>
    <t>johannes</t>
  </si>
  <si>
    <t>Samuel</t>
  </si>
  <si>
    <t>POD received from cell 0791069864 M</t>
  </si>
  <si>
    <t xml:space="preserve">BOWLER PLASTICS PTY LTD            </t>
  </si>
  <si>
    <t>BOWLER PLASTICS PTY LTD</t>
  </si>
  <si>
    <t>DIKIRRIS</t>
  </si>
  <si>
    <t>sgi</t>
  </si>
  <si>
    <t xml:space="preserve">CEREBOS LTD                        </t>
  </si>
  <si>
    <t>CEREBOS LTD</t>
  </si>
  <si>
    <t>brenda</t>
  </si>
  <si>
    <t>naw</t>
  </si>
  <si>
    <t>delivered by 10h00</t>
  </si>
  <si>
    <t xml:space="preserve">FORD MOTORING CO OF SA SIMON V     </t>
  </si>
  <si>
    <t>FORD MOTORING CO OF SA SIMON V</t>
  </si>
  <si>
    <t>moloto</t>
  </si>
  <si>
    <t>POD received from cell 0607413788 M</t>
  </si>
  <si>
    <t>0184</t>
  </si>
  <si>
    <t xml:space="preserve">KW BREAD PACKAGING SYSTEMS CC      </t>
  </si>
  <si>
    <t>KW BREAD PACKAGING SYSTEMS CC</t>
  </si>
  <si>
    <t>Leanne</t>
  </si>
  <si>
    <t xml:space="preserve">Filkraft                           </t>
  </si>
  <si>
    <t>Jandre Smith</t>
  </si>
  <si>
    <t>l moloi</t>
  </si>
  <si>
    <t>POD received from cell 0799684820 M</t>
  </si>
  <si>
    <t xml:space="preserve">MESCHTEC SERVICES (PTY) LTD        </t>
  </si>
  <si>
    <t>MESCHTEC SERVICES  PTY  LTD</t>
  </si>
  <si>
    <t>Tracy</t>
  </si>
  <si>
    <t xml:space="preserve">RCL FOODS CONSUMER (PTY) LTD F     </t>
  </si>
  <si>
    <t>RCL FOODS CONSUMER  PTY  LTD F</t>
  </si>
  <si>
    <t>cassim</t>
  </si>
  <si>
    <t xml:space="preserve">VEOLIA WATER SOLUTIONS   TECHN     </t>
  </si>
  <si>
    <t>VEOLIA WATER SOLUTIONS   TECHN</t>
  </si>
  <si>
    <t>pearl</t>
  </si>
  <si>
    <t xml:space="preserve">DIRECTECH (PTY) LTD                </t>
  </si>
  <si>
    <t>DIRECTECH  PTY  LTD</t>
  </si>
  <si>
    <t>NICO</t>
  </si>
  <si>
    <t>Missed cutoff</t>
  </si>
  <si>
    <t xml:space="preserve">M AND T BEARING AND BELTING SU     </t>
  </si>
  <si>
    <t>M AND T BEARING AND BELTING SU</t>
  </si>
  <si>
    <t>norma</t>
  </si>
  <si>
    <t>POD received from cell 0659262838 M</t>
  </si>
  <si>
    <t xml:space="preserve">ISANTI GLASS 1 (PTY) LTD           </t>
  </si>
  <si>
    <t>ISANTI GLASS 1  PTY  LTD</t>
  </si>
  <si>
    <t>Maxwell</t>
  </si>
  <si>
    <t xml:space="preserve">SHIFT-ID (PTY) LTD FALCON PARK     </t>
  </si>
  <si>
    <t>SHIFT-ID  PTY  LTD FALCON PARK</t>
  </si>
  <si>
    <t>fouche</t>
  </si>
  <si>
    <t xml:space="preserve">A C PNEUMATICS WETTON              </t>
  </si>
  <si>
    <t>A C PNEUMATICS WETTON</t>
  </si>
  <si>
    <t>SARAH</t>
  </si>
  <si>
    <t>lolita</t>
  </si>
  <si>
    <t xml:space="preserve">BENTELER SOUTH AFRICA PTY LTD      </t>
  </si>
  <si>
    <t>BENTELER SOUTH AFRICA PTY LTD</t>
  </si>
  <si>
    <t>Kurt</t>
  </si>
  <si>
    <t>lonwabo</t>
  </si>
  <si>
    <t xml:space="preserve">SRF FLEXIPAK PTY LTD               </t>
  </si>
  <si>
    <t>SRF FLEXIPAK PTY LTD</t>
  </si>
  <si>
    <t>phelele</t>
  </si>
  <si>
    <t>POD received from cell 0764180934 M</t>
  </si>
  <si>
    <t>vukile</t>
  </si>
  <si>
    <t>Luisa</t>
  </si>
  <si>
    <t>ked</t>
  </si>
  <si>
    <t xml:space="preserve">CORRUSEAL CORRUGATED GAUTENG P     </t>
  </si>
  <si>
    <t>CORRUSEAL CORRUGATED GAUTENG P</t>
  </si>
  <si>
    <t>Siyanda</t>
  </si>
  <si>
    <t>van Der nest</t>
  </si>
  <si>
    <t xml:space="preserve">DEFY APPLIANCES (PTY) LTD LADY     </t>
  </si>
  <si>
    <t>DEFY APPLIANCES  PTY  LTD LADY</t>
  </si>
  <si>
    <t>Simon radebe</t>
  </si>
  <si>
    <t>POD received from cell 0662487527 M</t>
  </si>
  <si>
    <t xml:space="preserve">DAIRY GROUP SA PTY LTD             </t>
  </si>
  <si>
    <t>DAIRY GROUP SA PTY LTD</t>
  </si>
  <si>
    <t>nivan</t>
  </si>
  <si>
    <t>POD received from cell 0692632913 M</t>
  </si>
  <si>
    <t xml:space="preserve">DIYA VALVES INTERNATIONAL CC P     </t>
  </si>
  <si>
    <t>DIYA VALVES INTERNATIONAL CC P</t>
  </si>
  <si>
    <t>Angie</t>
  </si>
  <si>
    <t>POD received from cell 0782274968 M</t>
  </si>
  <si>
    <t xml:space="preserve">BAGTECH INTERNATIONAL PTY LTD      </t>
  </si>
  <si>
    <t>BAGTECH INTERNATIONAL</t>
  </si>
  <si>
    <t>Wiseman</t>
  </si>
  <si>
    <t xml:space="preserve">SCHAEFFLER SOUTH AFRICA (PTY)      </t>
  </si>
  <si>
    <t>SCHAEFFLER SOUTH AFRICA  PTY</t>
  </si>
  <si>
    <t>ayanda</t>
  </si>
  <si>
    <t xml:space="preserve">CSM ENGINEERING CC CENTURION       </t>
  </si>
  <si>
    <t>CSM ENGINEERING CC CENTURION</t>
  </si>
  <si>
    <t>wickus</t>
  </si>
  <si>
    <t>POD received from cell 0826975382 M</t>
  </si>
  <si>
    <t xml:space="preserve">REPMA ENGINEERING (PTY) LTD        </t>
  </si>
  <si>
    <t>REPMA ENGINEERING  PTY  LTD</t>
  </si>
  <si>
    <t>Stanley</t>
  </si>
  <si>
    <t>AKESH</t>
  </si>
  <si>
    <t>G Coetzee</t>
  </si>
  <si>
    <t xml:space="preserve">NATIONAL BRANDS BIS SNK DIV BI     </t>
  </si>
  <si>
    <t>NATIONAL BRANDS BIS SNK DIV</t>
  </si>
  <si>
    <t>macheala</t>
  </si>
  <si>
    <t xml:space="preserve">MED-ENGINEERING (PTY) LTD          </t>
  </si>
  <si>
    <t>MED-ENGINEERING  PTY  LTD</t>
  </si>
  <si>
    <t>Randal</t>
  </si>
  <si>
    <t xml:space="preserve">C.A.G.E ENGINEERING SOLUTIONS      </t>
  </si>
  <si>
    <t>C.A.G.E ENGINEERING SOLUTIONS</t>
  </si>
  <si>
    <t>Martha</t>
  </si>
  <si>
    <t>POD received from cell 0649482691 M</t>
  </si>
  <si>
    <t xml:space="preserve">GOSSAMER STRUCTURES LTD            </t>
  </si>
  <si>
    <t>GOSSAMER STRUCTURES LTD</t>
  </si>
  <si>
    <t>neclo</t>
  </si>
  <si>
    <t>jam</t>
  </si>
  <si>
    <t xml:space="preserve">GRW ENGINEERING (PTY) LTD          </t>
  </si>
  <si>
    <t>GRW ENGINEERING  PTY  LTD</t>
  </si>
  <si>
    <t xml:space="preserve">Sherwin Van Wyk               </t>
  </si>
  <si>
    <t xml:space="preserve">POD received from cell 0608104719 M     </t>
  </si>
  <si>
    <t xml:space="preserve">ELEMENT SIX (PRODUCTION)           </t>
  </si>
  <si>
    <t>ELEMENT SIX</t>
  </si>
  <si>
    <t>paulos</t>
  </si>
  <si>
    <t>POD received from cell 0715155602 M</t>
  </si>
  <si>
    <t xml:space="preserve">DE BEERS GROUP SERVICE PTY LTD     </t>
  </si>
  <si>
    <t>DE BEERS GROUP SERVICE PTY LTD</t>
  </si>
  <si>
    <t>Siya</t>
  </si>
  <si>
    <t>MIDRA</t>
  </si>
  <si>
    <t>MIDRAND</t>
  </si>
  <si>
    <t xml:space="preserve">FAMOUS BRANDS MANAGEMENT           </t>
  </si>
  <si>
    <t>FAMOUS BRANDS MANAGEMENT</t>
  </si>
  <si>
    <t>lufuno</t>
  </si>
  <si>
    <t>POD received from cell 0848256515 M</t>
  </si>
  <si>
    <t xml:space="preserve">UNILEVER SOUTH AFRICA PTY NLTD     </t>
  </si>
  <si>
    <t>UNILEVER SOUTH AFRICA</t>
  </si>
  <si>
    <t>NIKESH</t>
  </si>
  <si>
    <t>POD received from cell 0661437222 M</t>
  </si>
  <si>
    <t>Moloto</t>
  </si>
  <si>
    <t xml:space="preserve">LION MATCH PRODUCTS (PTY) LTD      </t>
  </si>
  <si>
    <t>LION MATCH PRODUCTS  PTY  LTD</t>
  </si>
  <si>
    <t>joys</t>
  </si>
  <si>
    <t>jma</t>
  </si>
  <si>
    <t xml:space="preserve">ABF SUGAR (PTY) LTD SEZELA MOU     </t>
  </si>
  <si>
    <t>ABF SUGAR  PTY  LTD SEZELA MOU</t>
  </si>
  <si>
    <t>sipho receiveing</t>
  </si>
  <si>
    <t>POD received from cell 0717859225 M</t>
  </si>
  <si>
    <t xml:space="preserve">ENGCON SUPPLIES (PTY) LTD          </t>
  </si>
  <si>
    <t>ENGCON SUPPLIES  PTY  LTD</t>
  </si>
  <si>
    <t>ELIGIBLE</t>
  </si>
  <si>
    <t xml:space="preserve">AGRIPLAS PTY LTD (2670) STIKLA     </t>
  </si>
  <si>
    <t>AGRIPLAS PTY LTD  2670  STIKLA</t>
  </si>
  <si>
    <t>quinton</t>
  </si>
  <si>
    <t xml:space="preserve">PROMAX SIVEX DISTRIBUTORS CC T     </t>
  </si>
  <si>
    <t>PROMAX SIVEX DISTRIBUTORS CC T</t>
  </si>
  <si>
    <t>YVONNE</t>
  </si>
  <si>
    <t>0083</t>
  </si>
  <si>
    <t xml:space="preserve">PAMODZI UNIQUE ENGINEERING (PT     </t>
  </si>
  <si>
    <t>PAMODZI UNIQUE ENGINEERING  PT</t>
  </si>
  <si>
    <t>Kevin</t>
  </si>
  <si>
    <t xml:space="preserve">BOWLER PLASTICS (PTY) LTD          </t>
  </si>
  <si>
    <t>BOWLER PLASTICS  PTY  LTD</t>
  </si>
  <si>
    <t>ALPHONSO</t>
  </si>
  <si>
    <t xml:space="preserve">IMPROCHEM PTY LTD                  </t>
  </si>
  <si>
    <t>IMPROCHEM PTY LTD</t>
  </si>
  <si>
    <t>dumisani</t>
  </si>
  <si>
    <t xml:space="preserve">DANONE SOUTHERN AFRICA PTY LTD     </t>
  </si>
  <si>
    <t>DANONE SOUTHERN AFRICA PTY LTD</t>
  </si>
  <si>
    <t>Philippine</t>
  </si>
  <si>
    <t>industrial action</t>
  </si>
  <si>
    <t>mmd</t>
  </si>
  <si>
    <t xml:space="preserve">TIGER CONSUMER BRANDS LTD T A      </t>
  </si>
  <si>
    <t>TIGER CONSUMER BRANDS LTD T A</t>
  </si>
  <si>
    <t>TSHEPO</t>
  </si>
  <si>
    <t>RICHARD</t>
  </si>
  <si>
    <t xml:space="preserve">ANDERSON ENGINEERING FOOD AND      </t>
  </si>
  <si>
    <t>ANDERSON ENGINEERING FOOD AND</t>
  </si>
  <si>
    <t>nnngalwa</t>
  </si>
  <si>
    <t xml:space="preserve">chnaga                        </t>
  </si>
  <si>
    <t xml:space="preserve">BOX (CON                      </t>
  </si>
  <si>
    <t xml:space="preserve">PEAKERS OPERATIONS PTY LTD         </t>
  </si>
  <si>
    <t xml:space="preserve">DeDisa Peaking Power               </t>
  </si>
  <si>
    <t>stores Shane</t>
  </si>
  <si>
    <t>PEAKERS OPERATIONS PTY LTD</t>
  </si>
  <si>
    <t>Shane</t>
  </si>
  <si>
    <t>Rico</t>
  </si>
  <si>
    <t>Warrick</t>
  </si>
  <si>
    <t xml:space="preserve">Sivu                          </t>
  </si>
  <si>
    <t xml:space="preserve">POD received from cell 0817078010 M     </t>
  </si>
  <si>
    <t xml:space="preserve">G.U.D. HOLDINGS                    </t>
  </si>
  <si>
    <t>G.U.D. HOLDINGS</t>
  </si>
  <si>
    <t>amita</t>
  </si>
  <si>
    <t>POD received from cell 0685390657 M</t>
  </si>
  <si>
    <t xml:space="preserve">EXCEL TOOLING                      </t>
  </si>
  <si>
    <t>EXCEL TOOLING</t>
  </si>
  <si>
    <t xml:space="preserve">Gwen                          </t>
  </si>
  <si>
    <t xml:space="preserve">POD received from cell 0608702785 M     </t>
  </si>
  <si>
    <t xml:space="preserve">BAKHRESA SA PTY LTD                </t>
  </si>
  <si>
    <t>BAKHRESA SA PTY LTD</t>
  </si>
  <si>
    <t>HAFIZA</t>
  </si>
  <si>
    <t>POD received from cell 0716311909 M</t>
  </si>
  <si>
    <t xml:space="preserve">FOODCORP (PTY) LTD PRESIDENT B     </t>
  </si>
  <si>
    <t>FOODCORP  PTY  LTD PRESIDENT B</t>
  </si>
  <si>
    <t>Jerry</t>
  </si>
  <si>
    <t xml:space="preserve">brad                          </t>
  </si>
  <si>
    <t xml:space="preserve">BENTELER SOUTH AFRICA UITENHAG     </t>
  </si>
  <si>
    <t>BENTELER SOUTH AFRICA UITENHAG</t>
  </si>
  <si>
    <t xml:space="preserve">TUBBING                       </t>
  </si>
  <si>
    <t xml:space="preserve">SML BOX                       </t>
  </si>
  <si>
    <t xml:space="preserve">shaakir                       </t>
  </si>
  <si>
    <t>ardre</t>
  </si>
  <si>
    <t>POD received from cell 0728258300 M</t>
  </si>
  <si>
    <t xml:space="preserve">BMG EAST LONDON                    </t>
  </si>
  <si>
    <t>BMG EAST LONDON</t>
  </si>
  <si>
    <t xml:space="preserve">Ronaldo                       </t>
  </si>
  <si>
    <t xml:space="preserve">COCA COLA BEVERAGE SOUTH AFRIC     </t>
  </si>
  <si>
    <t>COCA COLA BEVERAGE SOUTH AFRIC</t>
  </si>
  <si>
    <t>siya</t>
  </si>
  <si>
    <t>POD received from cell 0744435413 M</t>
  </si>
  <si>
    <t xml:space="preserve">CLOVER SA PTY LTD PERSEVERANCE     </t>
  </si>
  <si>
    <t>CLOVER SA PTY LTD PERSEVERANCE</t>
  </si>
  <si>
    <t>clinton</t>
  </si>
  <si>
    <t>faro</t>
  </si>
  <si>
    <t xml:space="preserve">Nolusindiso                   </t>
  </si>
  <si>
    <t>collen</t>
  </si>
  <si>
    <t>penny</t>
  </si>
  <si>
    <t>POD received from cell 0692418191 M</t>
  </si>
  <si>
    <t>Godfrey</t>
  </si>
  <si>
    <t xml:space="preserve">PUREM PORT ELIZABETH               </t>
  </si>
  <si>
    <t>PUREM PORT ELIZABETH</t>
  </si>
  <si>
    <t>Ashely</t>
  </si>
  <si>
    <t xml:space="preserve">CROWN CHICKENS T A SOVEREIGHFO     </t>
  </si>
  <si>
    <t>CROWN CHICKENS</t>
  </si>
  <si>
    <t xml:space="preserve">Harrison                      </t>
  </si>
  <si>
    <t xml:space="preserve">POD received from cell 0711790907 M     </t>
  </si>
  <si>
    <t>0183</t>
  </si>
  <si>
    <t>chase</t>
  </si>
  <si>
    <t>kurtt</t>
  </si>
  <si>
    <t>yca</t>
  </si>
  <si>
    <t xml:space="preserve">ENVISION AFRICA                    </t>
  </si>
  <si>
    <t>ENVISION AFRICA</t>
  </si>
  <si>
    <t>Lynn</t>
  </si>
  <si>
    <t>POD received from cell 0715270557 M</t>
  </si>
  <si>
    <t xml:space="preserve">PLASTIC                       </t>
  </si>
  <si>
    <t xml:space="preserve">MOVE ANALYTICS CC (FESTO DIREC     </t>
  </si>
  <si>
    <t xml:space="preserve">Nederburg Wines                    </t>
  </si>
  <si>
    <t>Bernadette Roos</t>
  </si>
  <si>
    <t>B Roos</t>
  </si>
  <si>
    <t xml:space="preserve">SCOTT BADER (PTY) LTD              </t>
  </si>
  <si>
    <t>SCOTT BADER  PTY  LTD</t>
  </si>
  <si>
    <t>nomusa</t>
  </si>
  <si>
    <t xml:space="preserve">RAPID INDUSTRIAL SUPPLIES PTY      </t>
  </si>
  <si>
    <t>RAPID INDUSTRIAL SUPPLIES PTY</t>
  </si>
  <si>
    <t xml:space="preserve">QUALITEC ENGINEERING CC            </t>
  </si>
  <si>
    <t>QUALITEC ENGINEERING CC</t>
  </si>
  <si>
    <t>Gilbert</t>
  </si>
  <si>
    <t>BRAKP</t>
  </si>
  <si>
    <t>BRAKPAN</t>
  </si>
  <si>
    <t xml:space="preserve">ERGO MINING PTY LTD                </t>
  </si>
  <si>
    <t>ERGO MINING PTY LTD</t>
  </si>
  <si>
    <t>jacob</t>
  </si>
  <si>
    <t>POD received from cell 0792308326 M</t>
  </si>
  <si>
    <t>RYMCO PTY LTD T A ANCHOR YEAST</t>
  </si>
  <si>
    <t>POD received from cell 0655428752 M</t>
  </si>
  <si>
    <t>mojapelo</t>
  </si>
  <si>
    <t xml:space="preserve">DEFY APPLIANCES (PTY) LTD : AT     </t>
  </si>
  <si>
    <t>DEFY APPLIANCES  PTY  LTD   AT</t>
  </si>
  <si>
    <t>LINEAR D</t>
  </si>
  <si>
    <t>Vusi</t>
  </si>
  <si>
    <t xml:space="preserve">JAPIE                         </t>
  </si>
  <si>
    <t xml:space="preserve">BRIDGE PROCUREMENT A DIV OF C.     </t>
  </si>
  <si>
    <t>BRIDGE PROCUREMENT A DIV OF C.</t>
  </si>
  <si>
    <t>lathan</t>
  </si>
  <si>
    <t>POD received from cell 0793098518 M</t>
  </si>
  <si>
    <t xml:space="preserve">FAURECIA EMISIONS CONTROL TECH     </t>
  </si>
  <si>
    <t>FAURECIA EMISIONS CONTROL TECH</t>
  </si>
  <si>
    <t>ESTCO</t>
  </si>
  <si>
    <t>ESTCOURT</t>
  </si>
  <si>
    <t xml:space="preserve">NESTLE SOUTH AFRICA                </t>
  </si>
  <si>
    <t>NESTLE SOUTH AFRICA</t>
  </si>
  <si>
    <t xml:space="preserve">nokwanda                      </t>
  </si>
  <si>
    <t xml:space="preserve">VISTA 24 (PTY) LTD HAMMANSKRAA     </t>
  </si>
  <si>
    <t>VISTA 24  PTY  LTD HAMMANSKRAA</t>
  </si>
  <si>
    <t>vusumuzi</t>
  </si>
  <si>
    <t>0407</t>
  </si>
  <si>
    <t xml:space="preserve">GUTH SOUTH AFRICA (PTY) LTD NE     </t>
  </si>
  <si>
    <t>GUTH SOUTH AFRICA  PTY  LTD NE</t>
  </si>
  <si>
    <t>yandi</t>
  </si>
  <si>
    <t>POD received from cell 0733836560 M</t>
  </si>
  <si>
    <t>Demetri</t>
  </si>
  <si>
    <t xml:space="preserve">CONTROL SYSTEMS RUSTENBURG         </t>
  </si>
  <si>
    <t>CONTROL SYSTEMS RUSTENBURG</t>
  </si>
  <si>
    <t>Marelize</t>
  </si>
  <si>
    <t xml:space="preserve">AECI MINING LTD                    </t>
  </si>
  <si>
    <t>AECI MINING LTD    STEFANIE GR</t>
  </si>
  <si>
    <t>Alex</t>
  </si>
  <si>
    <t xml:space="preserve">ILLOVO SUGAR                       </t>
  </si>
  <si>
    <t>ILLOVO SUGAR</t>
  </si>
  <si>
    <t>jephery</t>
  </si>
  <si>
    <t>POD received from cell 0794077267 M</t>
  </si>
  <si>
    <t xml:space="preserve">DE BEERS CONSOLIDATED MINES LT     </t>
  </si>
  <si>
    <t>DE BEERS CONSOLIDATED MINES LT</t>
  </si>
  <si>
    <t>sithole</t>
  </si>
  <si>
    <t xml:space="preserve">KELLOGGS CO OF SA PTY LTD VEND     </t>
  </si>
  <si>
    <t>KELLOGGS CO OF SA PTY LTD VEND</t>
  </si>
  <si>
    <t>Isaac</t>
  </si>
  <si>
    <t>diya</t>
  </si>
  <si>
    <t xml:space="preserve">Jacky                         </t>
  </si>
  <si>
    <t xml:space="preserve">POD received from cell 0814028850 M     </t>
  </si>
  <si>
    <t xml:space="preserve">EMENEM INDUSTRIAL CC               </t>
  </si>
  <si>
    <t>EMENEM INDUSTRIAL CC</t>
  </si>
  <si>
    <t>leroy</t>
  </si>
  <si>
    <t>POD received from cell 0818026982 M</t>
  </si>
  <si>
    <t>Sboniso</t>
  </si>
  <si>
    <t>queen</t>
  </si>
  <si>
    <t>0127</t>
  </si>
  <si>
    <t>JMA</t>
  </si>
  <si>
    <t>Africa</t>
  </si>
  <si>
    <t>Vehicle breakdown</t>
  </si>
  <si>
    <t>MEM</t>
  </si>
  <si>
    <t xml:space="preserve">EAST RAND HYDRAULIC                </t>
  </si>
  <si>
    <t>EAST RAND HYDRAULIC</t>
  </si>
  <si>
    <t>asif</t>
  </si>
  <si>
    <t>Berniece</t>
  </si>
  <si>
    <t xml:space="preserve">FUEL INDUSTRY SERVICES (PTY) L     </t>
  </si>
  <si>
    <t>FUEL INDUSTRY SERVICES  PTY  L</t>
  </si>
  <si>
    <t xml:space="preserve">Nico                          </t>
  </si>
  <si>
    <t xml:space="preserve">POD received from cell 0693852220 M     </t>
  </si>
  <si>
    <t xml:space="preserve">BEARING MAN GROUP PTY LTD          </t>
  </si>
  <si>
    <t>BEARING MAN GROUP</t>
  </si>
  <si>
    <t>jabu</t>
  </si>
  <si>
    <t xml:space="preserve">COMPRESSED AIR EQUIPMENT  JHB      </t>
  </si>
  <si>
    <t>COMPRESSED AIR EQUIPMENT</t>
  </si>
  <si>
    <t>lorenzo</t>
  </si>
  <si>
    <t xml:space="preserve">CIRCUIT BREAKER INDUSTRIES (PT     </t>
  </si>
  <si>
    <t>CIRCUIT BREAKER INDUSTRIES  PT</t>
  </si>
  <si>
    <t>thabang</t>
  </si>
  <si>
    <t xml:space="preserve">ALBANY BAKERS A DIV OF TIGER C     </t>
  </si>
  <si>
    <t>ALBANY BAKERS A DIV OF TIGER C</t>
  </si>
  <si>
    <t>nonto</t>
  </si>
  <si>
    <t xml:space="preserve">BALLENA TRADING 31 PTY LTD T A     </t>
  </si>
  <si>
    <t>BALLENA TRADING 31 PTY LTD T A</t>
  </si>
  <si>
    <t>POD received from cell 0606746779 M</t>
  </si>
  <si>
    <t xml:space="preserve">GMC AUTOMATION NEWTON PARK PLZ     </t>
  </si>
  <si>
    <t>GMC AUTOMATION NEWTON PARK PLZ</t>
  </si>
  <si>
    <t xml:space="preserve">La-Rochelle                   </t>
  </si>
  <si>
    <t xml:space="preserve">AUTOMOULD PTY LTD                  </t>
  </si>
  <si>
    <t>AUTOMOULD PTY LTD</t>
  </si>
  <si>
    <t>SELBY</t>
  </si>
  <si>
    <t>HARRI</t>
  </si>
  <si>
    <t>HARRISMITH</t>
  </si>
  <si>
    <t>Ntombi</t>
  </si>
  <si>
    <t>POD received from cell 0638379238 M</t>
  </si>
  <si>
    <t>Taz Japhta</t>
  </si>
  <si>
    <t xml:space="preserve">APEX AUTOMATION (PTY) LTD BRAS     </t>
  </si>
  <si>
    <t>APEX AUTOMATION  PTY  LTD BRAS</t>
  </si>
  <si>
    <t xml:space="preserve">ighsaan                       </t>
  </si>
  <si>
    <t xml:space="preserve">BORBET SA PTY LTD                  </t>
  </si>
  <si>
    <t>BORBET SA PTY LTD</t>
  </si>
  <si>
    <t>Asaanda</t>
  </si>
  <si>
    <t>MOSSE</t>
  </si>
  <si>
    <t>MOSSEL BAY</t>
  </si>
  <si>
    <t xml:space="preserve">CSM BEARINGS   PNEUMATICS MOSS     </t>
  </si>
  <si>
    <t>CSM BEARINGS   PNEUMATICS MOSS</t>
  </si>
  <si>
    <t>santie</t>
  </si>
  <si>
    <t>POD received from cell 0781804576 M</t>
  </si>
  <si>
    <t>POD received from cell 0639000995 M</t>
  </si>
  <si>
    <t>Greg</t>
  </si>
  <si>
    <t xml:space="preserve">BOXES                         </t>
  </si>
  <si>
    <t xml:space="preserve">CHW DESIGN CC                      </t>
  </si>
  <si>
    <t>CHW DESIGN CC</t>
  </si>
  <si>
    <t xml:space="preserve">shida                         </t>
  </si>
  <si>
    <t xml:space="preserve">POD received from cell 0842084217 M     </t>
  </si>
  <si>
    <t xml:space="preserve">YNF ENGINEERING ANVIL RD ISAND     </t>
  </si>
  <si>
    <t>YNF ENGINEERING ANVIL RD ISAND</t>
  </si>
  <si>
    <t xml:space="preserve">PORTIA                        </t>
  </si>
  <si>
    <t xml:space="preserve">POD received from cell 0774119086 M     </t>
  </si>
  <si>
    <t xml:space="preserve">KELPACK MANUFACTURING (PTY) LT     </t>
  </si>
  <si>
    <t>KELPACK MANUFACTURING  PTY  LT</t>
  </si>
  <si>
    <t>Returned to sender on waybill</t>
  </si>
  <si>
    <t>Returned to sender on waybill number R08</t>
  </si>
  <si>
    <t xml:space="preserve">BIO CAPSULE PHARMACHEUTICAL DI     </t>
  </si>
  <si>
    <t>BIO CAPSULE PHARMACHEUTICAL DI</t>
  </si>
  <si>
    <t>Claudelle</t>
  </si>
  <si>
    <t>POD received from cell 0792230061 M</t>
  </si>
  <si>
    <t xml:space="preserve">OCEAN LEGACY MARINE ENGINEERIN     </t>
  </si>
  <si>
    <t>OCEAN LEGACY MARINE ENGINEERIN</t>
  </si>
  <si>
    <t>l  pain</t>
  </si>
  <si>
    <t xml:space="preserve">CIM AUTOMATION PTY LTD MONTAGU     </t>
  </si>
  <si>
    <t>CIM AUTOMATION PTY LTD MONTAGU</t>
  </si>
  <si>
    <t>jarelle</t>
  </si>
  <si>
    <t>japie</t>
  </si>
  <si>
    <t xml:space="preserve">Festo Cape Town                    </t>
  </si>
  <si>
    <t>Kavenesh</t>
  </si>
  <si>
    <t xml:space="preserve">GRW Commercials                    </t>
  </si>
  <si>
    <t>Mondre van Wyk</t>
  </si>
  <si>
    <t>ashley</t>
  </si>
  <si>
    <t>tumelo</t>
  </si>
  <si>
    <t>POD received from cell 0794504670 M</t>
  </si>
  <si>
    <t xml:space="preserve">GENERAL  PNEUMATICS                </t>
  </si>
  <si>
    <t>GENERAL  PNEUMATICS</t>
  </si>
  <si>
    <t>cebo</t>
  </si>
  <si>
    <t xml:space="preserve">I AM AUTOMATION                    </t>
  </si>
  <si>
    <t>GERHARDT STRYDOM</t>
  </si>
  <si>
    <t>elmarie</t>
  </si>
  <si>
    <t>mdm</t>
  </si>
  <si>
    <t>POD received from cell 0683701964 M</t>
  </si>
  <si>
    <t xml:space="preserve">Frank                         </t>
  </si>
  <si>
    <t>RICH2</t>
  </si>
  <si>
    <t>RICHMOND (NATAL)</t>
  </si>
  <si>
    <t xml:space="preserve">NORMANDIEN FARMS PTY LTD           </t>
  </si>
  <si>
    <t>NORMANDIEN</t>
  </si>
  <si>
    <t>wayne</t>
  </si>
  <si>
    <t>NDC / FUE / DOC</t>
  </si>
  <si>
    <t>Siyabonga</t>
  </si>
  <si>
    <t>HUMAN</t>
  </si>
  <si>
    <t>HUMANSDORP</t>
  </si>
  <si>
    <t xml:space="preserve">WOODLANDS DAIRY PTY LTD HUMANS     </t>
  </si>
  <si>
    <t>WOODLANDS DAIRY PTY LTD HUMANS</t>
  </si>
  <si>
    <t>Evan</t>
  </si>
  <si>
    <t>POD received from cell 0694933966 M</t>
  </si>
  <si>
    <t xml:space="preserve">PNEUMATIC AID                      </t>
  </si>
  <si>
    <t>PNEUMATIC AID</t>
  </si>
  <si>
    <t>hanno</t>
  </si>
  <si>
    <t xml:space="preserve">HEAT AND CONTROL SA (PTY) LTD      </t>
  </si>
  <si>
    <t>HEAT AND CONTROLSA   PTY  LTD</t>
  </si>
  <si>
    <t>shelein</t>
  </si>
  <si>
    <t xml:space="preserve">PATERSON HUGHES ENGINEERING        </t>
  </si>
  <si>
    <t>PATERSON HUGHES ENGINEERING</t>
  </si>
  <si>
    <t>hans</t>
  </si>
  <si>
    <t>SECUN</t>
  </si>
  <si>
    <t>SECUNDA</t>
  </si>
  <si>
    <t xml:space="preserve">HMF TECHNOLOGIES (PTY) LTD         </t>
  </si>
  <si>
    <t>HMF TECHNOLOGIES  PTY  LTD</t>
  </si>
  <si>
    <t>Letisia</t>
  </si>
  <si>
    <t>POD received from cell 0603223659 M</t>
  </si>
  <si>
    <t>jeany</t>
  </si>
  <si>
    <t xml:space="preserve">BOX:CONT                      </t>
  </si>
  <si>
    <t>SYMON</t>
  </si>
  <si>
    <t>KATLEHO</t>
  </si>
  <si>
    <t>Driver late</t>
  </si>
  <si>
    <t>bmo</t>
  </si>
  <si>
    <t xml:space="preserve">THE SOUTH AFRICA BREWERIES MAL     </t>
  </si>
  <si>
    <t>THE SOUTH AFRICA BREWERIES MAL</t>
  </si>
  <si>
    <t>nomsa</t>
  </si>
  <si>
    <t>siyabonga</t>
  </si>
  <si>
    <t xml:space="preserve">IRVIN   JOHNSON LTD PAARDEN EI     </t>
  </si>
  <si>
    <t>IRVIN   JOHNSON LTD PAARDEN EI</t>
  </si>
  <si>
    <t>saban</t>
  </si>
  <si>
    <t>acfaso</t>
  </si>
  <si>
    <t>thulani</t>
  </si>
  <si>
    <t>H.G MOLENAAR</t>
  </si>
  <si>
    <t xml:space="preserve">ROCBOLT TECHNOLOGIES PTY LTD       </t>
  </si>
  <si>
    <t>ROCBOLT TECHNOLOGIES</t>
  </si>
  <si>
    <t>japhter</t>
  </si>
  <si>
    <t>BETHL</t>
  </si>
  <si>
    <t>BETHLEHEM</t>
  </si>
  <si>
    <t xml:space="preserve">BUILD IT                           </t>
  </si>
  <si>
    <t>BUILD IT</t>
  </si>
  <si>
    <t>Simon</t>
  </si>
  <si>
    <t>POD received from cell 0633539650 M</t>
  </si>
  <si>
    <t xml:space="preserve">SUPREME PROCESSING PTY LTD         </t>
  </si>
  <si>
    <t>SUPREME PROCESSING PTY LTD</t>
  </si>
  <si>
    <t xml:space="preserve">NOMSA                         </t>
  </si>
  <si>
    <t xml:space="preserve">POD received from cell 0736687669 M     </t>
  </si>
  <si>
    <t xml:space="preserve">TRUDA FOODS (PTY) LTD              </t>
  </si>
  <si>
    <t>TRUDA FOODS  PTY  LTD</t>
  </si>
  <si>
    <t>Chledza</t>
  </si>
  <si>
    <t>peter</t>
  </si>
  <si>
    <t xml:space="preserve">J MEYER ENGINEERING CC             </t>
  </si>
  <si>
    <t>J MEYER ENGINEERING CC</t>
  </si>
  <si>
    <t>elsabe</t>
  </si>
  <si>
    <t xml:space="preserve">CSM BEARING   PNEUMATIC SUP (P     </t>
  </si>
  <si>
    <t>CSM BEARING   PNEUMATIC SUP  P</t>
  </si>
  <si>
    <t>Mia</t>
  </si>
  <si>
    <t>AFRIKA</t>
  </si>
  <si>
    <t>aton</t>
  </si>
  <si>
    <t xml:space="preserve">BULK TUB                      </t>
  </si>
  <si>
    <t>I AM AUTOMATION</t>
  </si>
  <si>
    <t xml:space="preserve">UNILEVER SOUTH AFRICA              </t>
  </si>
  <si>
    <t>david</t>
  </si>
  <si>
    <t>Ruben</t>
  </si>
  <si>
    <t xml:space="preserve">ADCOCK INGRAM CRITICAL CARE        </t>
  </si>
  <si>
    <t>ADCOCK INGRAM CRITICAL CARE</t>
  </si>
  <si>
    <t>Lona</t>
  </si>
  <si>
    <t xml:space="preserve">AXXELLO PROJECTS (PTY) LTD         </t>
  </si>
  <si>
    <t xml:space="preserve">PETER MPHO                         </t>
  </si>
  <si>
    <t>N A</t>
  </si>
  <si>
    <t>AXXELLO PROJECTS  PTY  LTD</t>
  </si>
  <si>
    <t>Redirect waybill on waybill number RR080</t>
  </si>
  <si>
    <t xml:space="preserve">Medwin                        </t>
  </si>
  <si>
    <t>Dery</t>
  </si>
  <si>
    <t>VRED3</t>
  </si>
  <si>
    <t>VREDENBURG</t>
  </si>
  <si>
    <t xml:space="preserve">NAMAKWA SANDS MINE SITE GPS CO     </t>
  </si>
  <si>
    <t>NAMAKWA SANDS MINE SITE GPS CO</t>
  </si>
  <si>
    <t>SHANE</t>
  </si>
  <si>
    <t>DANIE</t>
  </si>
  <si>
    <t xml:space="preserve">FLYE                          </t>
  </si>
  <si>
    <t xml:space="preserve">CTP PRINTERS CAPE TOWN             </t>
  </si>
  <si>
    <t>CTP PRINTERS CAPE TOWN</t>
  </si>
  <si>
    <t>Dawn</t>
  </si>
  <si>
    <t>POD received from cell 0737996477 M</t>
  </si>
  <si>
    <t>Thabo</t>
  </si>
  <si>
    <t>mpho</t>
  </si>
  <si>
    <t>randel</t>
  </si>
  <si>
    <t>Alphonso</t>
  </si>
  <si>
    <t>SYSTEM</t>
  </si>
  <si>
    <t xml:space="preserve">TRUDA FOODS (PTY) LTD EPPING I     </t>
  </si>
  <si>
    <t>TRUDA FOODS  PTY  LTD EPPING I</t>
  </si>
  <si>
    <t>Kamva</t>
  </si>
  <si>
    <t>POD received from cell 0659386993 M</t>
  </si>
  <si>
    <t xml:space="preserve">GENERAL  PNEUMATICS KZN            </t>
  </si>
  <si>
    <t>GENERAL PNEUMATICS</t>
  </si>
  <si>
    <t>lwazi</t>
  </si>
  <si>
    <t>Maj</t>
  </si>
  <si>
    <t>POD received from cell 0724326506 M</t>
  </si>
  <si>
    <t xml:space="preserve">PSA AFRICA (PTY) LTD JET PARK      </t>
  </si>
  <si>
    <t>PSA AFRICA  PTY  LTD JET PARK</t>
  </si>
  <si>
    <t xml:space="preserve">Dean                          </t>
  </si>
  <si>
    <t xml:space="preserve">SUNNY MACHINE AND MAINTENANCE      </t>
  </si>
  <si>
    <t>SUNNY MACHINE AND MAINTENANCE</t>
  </si>
  <si>
    <t>ANGELIQUE</t>
  </si>
  <si>
    <t>naidoo</t>
  </si>
  <si>
    <t xml:space="preserve">SIQALO FOODS PTY LTD               </t>
  </si>
  <si>
    <t>SIQALO FOODS PTY LTD</t>
  </si>
  <si>
    <t>Lisa</t>
  </si>
  <si>
    <t>HOWIC</t>
  </si>
  <si>
    <t>HOWICK</t>
  </si>
  <si>
    <t xml:space="preserve">FAIRFIELD DAIRY PTY LTD            </t>
  </si>
  <si>
    <t>FAIRFIELD DAIRY PTY LTD</t>
  </si>
  <si>
    <t>sbongisrni</t>
  </si>
  <si>
    <t>POD received from cell 0633530723 M</t>
  </si>
  <si>
    <t>marcell</t>
  </si>
  <si>
    <t xml:space="preserve">BLENDCOR (PTY) LTD 5482            </t>
  </si>
  <si>
    <t>BLENDCOR  PTY  LTD 5482</t>
  </si>
  <si>
    <t>SABIAN</t>
  </si>
  <si>
    <t>sadha</t>
  </si>
  <si>
    <t xml:space="preserve">SA POWER SERVICES (PTY) LTD        </t>
  </si>
  <si>
    <t>SA POWER SERVICES  PTY  LTD</t>
  </si>
  <si>
    <t xml:space="preserve">POD received from cell 0720457394 M     </t>
  </si>
  <si>
    <t xml:space="preserve">TECHNOGRAIN                        </t>
  </si>
  <si>
    <t>TECHNOGRAIN</t>
  </si>
  <si>
    <t>anold</t>
  </si>
  <si>
    <t>POD received from cell 0836935442 M</t>
  </si>
  <si>
    <t>CAMPE</t>
  </si>
  <si>
    <t>CAMPERDOWN</t>
  </si>
  <si>
    <t>lwandle</t>
  </si>
  <si>
    <t>VANDE</t>
  </si>
  <si>
    <t>VANDERBIJLPARK</t>
  </si>
  <si>
    <t xml:space="preserve">DIVFOOD A DIV OF NAMPAK PRODUC     </t>
  </si>
  <si>
    <t>DIVFOOD A DIV OF NAMPAK PRODUC</t>
  </si>
  <si>
    <t xml:space="preserve">ADIENT SOUTH AFRICA (PTY) LTD      </t>
  </si>
  <si>
    <t>ADIENT SOUTH AFRICA  PTY  LTD</t>
  </si>
  <si>
    <t>ngwenyama</t>
  </si>
  <si>
    <t>Nico</t>
  </si>
  <si>
    <t xml:space="preserve">Greif SA                           </t>
  </si>
  <si>
    <t>Hannes Wilken</t>
  </si>
  <si>
    <t>Jaya</t>
  </si>
  <si>
    <t>POD received from cell 0671711975 M</t>
  </si>
  <si>
    <t xml:space="preserve">UNIVERSAL CLIPS PTY LTD            </t>
  </si>
  <si>
    <t>UNIVERSAL CLIPS PTY LTD</t>
  </si>
  <si>
    <t>Daniel</t>
  </si>
  <si>
    <t xml:space="preserve">MITHRATECH SA PTY (LTD T A CHE     </t>
  </si>
  <si>
    <t>MITHRATECH SA PTY  LTD T A CHE</t>
  </si>
  <si>
    <t>selesta</t>
  </si>
  <si>
    <t>maxwell</t>
  </si>
  <si>
    <t>DOC / FUE</t>
  </si>
  <si>
    <t>Sous</t>
  </si>
  <si>
    <t>TENNECO RIDE CONTROL</t>
  </si>
  <si>
    <t>lifa</t>
  </si>
  <si>
    <t>Kathleen</t>
  </si>
  <si>
    <t>ROBBY</t>
  </si>
  <si>
    <t>POD received from cell 0683004232 M</t>
  </si>
  <si>
    <t xml:space="preserve">FAURECIA FIS PRETORIA AUTOMOTI     </t>
  </si>
  <si>
    <t>FAURECIA FIS PRETORIA AUTOMOTI</t>
  </si>
  <si>
    <t>venesa</t>
  </si>
  <si>
    <t xml:space="preserve">CYLINDER                      </t>
  </si>
  <si>
    <t xml:space="preserve">MERCEDES BENZ SOUTH AFRICA         </t>
  </si>
  <si>
    <t>MERCEDES BENZ S.A</t>
  </si>
  <si>
    <t>Malubekho</t>
  </si>
  <si>
    <t>POD received from cell 0740914769 M</t>
  </si>
  <si>
    <t>chiledzi</t>
  </si>
  <si>
    <t>sbusiso</t>
  </si>
  <si>
    <t>m van Der nest</t>
  </si>
  <si>
    <t>asanda</t>
  </si>
  <si>
    <t xml:space="preserve">TRONOX MINERAL SANDS (PTY) LTD     </t>
  </si>
  <si>
    <t>TRONOX MINERAL SANDS  PTY  LTD</t>
  </si>
  <si>
    <t xml:space="preserve">SHANE                         </t>
  </si>
  <si>
    <t>JACO1</t>
  </si>
  <si>
    <t>JACOBS</t>
  </si>
  <si>
    <t xml:space="preserve">TROPIC PLASTIC   PACKAGING LTD     </t>
  </si>
  <si>
    <t>TROPIC PLASTIC   PACKAGING LTD</t>
  </si>
  <si>
    <t>abba</t>
  </si>
  <si>
    <t xml:space="preserve">DEVCOTECH ELECTRICAL ENGINEERI     </t>
  </si>
  <si>
    <t>DEVCOTECH ELECTRICAL ENGINEERI</t>
  </si>
  <si>
    <t>Alister</t>
  </si>
  <si>
    <t>jlc</t>
  </si>
  <si>
    <t>Lonwabo</t>
  </si>
  <si>
    <t>reshmi</t>
  </si>
  <si>
    <t>POD received from cell 0833616148 M</t>
  </si>
  <si>
    <t xml:space="preserve">HYDRABERG HYDRAULICS CC            </t>
  </si>
  <si>
    <t>HYDRABERG HYDRAULICS CC</t>
  </si>
  <si>
    <t>UNILEVER SOUTH AFRICA PTY NLTD</t>
  </si>
  <si>
    <t>Busiswa</t>
  </si>
  <si>
    <t xml:space="preserve">LUVANIZE (PTY) LTD PORT ELIZAB     </t>
  </si>
  <si>
    <t>LUVANIZE  PTY  LTD PORT ELIZAB</t>
  </si>
  <si>
    <t>barton</t>
  </si>
  <si>
    <t xml:space="preserve">Chrisna                       </t>
  </si>
  <si>
    <t xml:space="preserve">POD received from cell 0685210458 M     </t>
  </si>
  <si>
    <t xml:space="preserve">RCL FOODS CONSUMER PTY LTD         </t>
  </si>
  <si>
    <t>RCL FOODS CONSUMER PTY LTD</t>
  </si>
  <si>
    <t>Jeff</t>
  </si>
  <si>
    <t xml:space="preserve">NUKOR (PTY) LTD                    </t>
  </si>
  <si>
    <t>NUKOR  PTY  LTD</t>
  </si>
  <si>
    <t>tman</t>
  </si>
  <si>
    <t>POD received from cell 0665274072 M</t>
  </si>
  <si>
    <t xml:space="preserve">LIAM                          </t>
  </si>
  <si>
    <t xml:space="preserve">POD received from cell 0823636526 M     </t>
  </si>
  <si>
    <t>Wendy</t>
  </si>
  <si>
    <t>POD received from cell 0608104719 M</t>
  </si>
  <si>
    <t>Irvine</t>
  </si>
  <si>
    <t>POD received from cell 0673277989 M</t>
  </si>
  <si>
    <t xml:space="preserve">Lona                          </t>
  </si>
  <si>
    <t xml:space="preserve">POD received from cell 0834177790 M     </t>
  </si>
  <si>
    <t>Chase</t>
  </si>
  <si>
    <t xml:space="preserve">SIGNAL HILL BREWERY                </t>
  </si>
  <si>
    <t>WILLEM BESTER</t>
  </si>
  <si>
    <t>Wys Bester</t>
  </si>
  <si>
    <t>POD received from cell 0814028850 M</t>
  </si>
  <si>
    <t xml:space="preserve">FORD MOTOR CO. SA MANUFACTURIN     </t>
  </si>
  <si>
    <t>FORD MOTOR CO. SA MANUFACTURIN</t>
  </si>
  <si>
    <t>M Saba</t>
  </si>
  <si>
    <t>UAT</t>
  </si>
  <si>
    <t xml:space="preserve">AUTOLIV S.A                        </t>
  </si>
  <si>
    <t>AUTOLIV S.A</t>
  </si>
  <si>
    <t xml:space="preserve">Hazel                         </t>
  </si>
  <si>
    <t xml:space="preserve">POD received from cell 0787213917 M     </t>
  </si>
  <si>
    <t xml:space="preserve">SML BOX:                      </t>
  </si>
  <si>
    <t xml:space="preserve">POLYOAK PACKAGING (PTY) LTD KZ     </t>
  </si>
  <si>
    <t>POLYOAK PACKAGING  PTY  LTD KZ</t>
  </si>
  <si>
    <t>nosipho</t>
  </si>
  <si>
    <t>Sameer</t>
  </si>
  <si>
    <t>reush</t>
  </si>
  <si>
    <t xml:space="preserve">PRIME PRODUCTS MANUFACTURING N     </t>
  </si>
  <si>
    <t>PRIME PRODUCTS FRED 0828086395</t>
  </si>
  <si>
    <t>Sipho</t>
  </si>
  <si>
    <t>0216</t>
  </si>
  <si>
    <t xml:space="preserve">HYGIENIC TISSUE MILL               </t>
  </si>
  <si>
    <t>HYGIENIC TISSUE MILL</t>
  </si>
  <si>
    <t>Tim</t>
  </si>
  <si>
    <t>kameshni</t>
  </si>
  <si>
    <t xml:space="preserve">MATO PRODUCTS (PTY) LTD            </t>
  </si>
  <si>
    <t>MATO PRODUCTS  PTY  LTD</t>
  </si>
  <si>
    <t>Requel</t>
  </si>
  <si>
    <t xml:space="preserve">SIME DARBY OILS SOUTH AFRICA (     </t>
  </si>
  <si>
    <t>SIME DARBY OILS SOUTH AFRICA</t>
  </si>
  <si>
    <t>PAYAL</t>
  </si>
  <si>
    <t>Reece</t>
  </si>
  <si>
    <t>Tagz Japhta</t>
  </si>
  <si>
    <t xml:space="preserve">DE BEERS GROUP SERVICES (PTY)      </t>
  </si>
  <si>
    <t>DE BEERS GROUP SERVICES  PTY</t>
  </si>
  <si>
    <t>chantal</t>
  </si>
  <si>
    <t>SABAN</t>
  </si>
  <si>
    <t>Richard</t>
  </si>
  <si>
    <t>gwen</t>
  </si>
  <si>
    <t>Reynier</t>
  </si>
  <si>
    <t>Abongile</t>
  </si>
  <si>
    <t xml:space="preserve">DAVITA TRADING (PTY) LTD           </t>
  </si>
  <si>
    <t>DAVITA TRADING  PTY  LTD</t>
  </si>
  <si>
    <t xml:space="preserve">Busisiwe                      </t>
  </si>
  <si>
    <t>Katleho</t>
  </si>
  <si>
    <t xml:space="preserve">QUANTUM MECHANICAL CC              </t>
  </si>
  <si>
    <t>QUANTUM MECHANICAL CC</t>
  </si>
  <si>
    <t>JEROME</t>
  </si>
  <si>
    <t>juh</t>
  </si>
  <si>
    <t xml:space="preserve">Godfrey                       </t>
  </si>
  <si>
    <t xml:space="preserve">SMITHS MANUFACTURING (PTY) LTD     </t>
  </si>
  <si>
    <t>SMITHS MANUFACTURING  PTY  LTD</t>
  </si>
  <si>
    <t>mahommed</t>
  </si>
  <si>
    <t xml:space="preserve">RCL GROUP SERVICES PTY LTD         </t>
  </si>
  <si>
    <t>RCL GROUP SERVICES PTY LTD</t>
  </si>
  <si>
    <t>Edith</t>
  </si>
  <si>
    <t>POD received from cell 0715414711 M</t>
  </si>
  <si>
    <t>brad</t>
  </si>
  <si>
    <t>kimone</t>
  </si>
  <si>
    <t xml:space="preserve">MINOPEX BOSVELD PHOSHATES          </t>
  </si>
  <si>
    <t>MINOPEX BOSVELD PHOSHATES</t>
  </si>
  <si>
    <t>jahana</t>
  </si>
  <si>
    <t xml:space="preserve">CONRO PRECISION                    </t>
  </si>
  <si>
    <t>CONRO PRECISION</t>
  </si>
  <si>
    <t>Suwellen</t>
  </si>
  <si>
    <t xml:space="preserve">Patrick                       </t>
  </si>
  <si>
    <t xml:space="preserve">POD received from cell 0671392487 M     </t>
  </si>
  <si>
    <t xml:space="preserve">TI GROUP AUTOMOTIVE SYSTEMS        </t>
  </si>
  <si>
    <t>TI GROUP AUTOMOTIVE SYSTEMS</t>
  </si>
  <si>
    <t>xoliswa</t>
  </si>
  <si>
    <t xml:space="preserve">Juan                          </t>
  </si>
  <si>
    <t xml:space="preserve">POD received from cell 0612301350 M     </t>
  </si>
  <si>
    <t xml:space="preserve">ELINEM ENGINEERING                 </t>
  </si>
  <si>
    <t>ELINEM ENGINEERING</t>
  </si>
  <si>
    <t>Millicent</t>
  </si>
  <si>
    <t>Sadha</t>
  </si>
  <si>
    <t>Bradley</t>
  </si>
  <si>
    <t xml:space="preserve">GERALDO                       </t>
  </si>
  <si>
    <t>jeff</t>
  </si>
  <si>
    <t>Shida</t>
  </si>
  <si>
    <t xml:space="preserve">EFAMATIC MACHINE TOOLS             </t>
  </si>
  <si>
    <t>EFAMATIC MACHINE TOOLS</t>
  </si>
  <si>
    <t>NELLY</t>
  </si>
  <si>
    <t>GONUB</t>
  </si>
  <si>
    <t>GONUBIE</t>
  </si>
  <si>
    <t xml:space="preserve">TITUS CONSULTING CC                </t>
  </si>
  <si>
    <t>TITUS CONSULTING CC</t>
  </si>
  <si>
    <t>Michelle</t>
  </si>
  <si>
    <t>POD received from cell 0664755228 M</t>
  </si>
  <si>
    <t>Thandi</t>
  </si>
  <si>
    <t>c mokgalepa</t>
  </si>
  <si>
    <t xml:space="preserve">Siya                          </t>
  </si>
  <si>
    <t xml:space="preserve">SNEAKER SNACKS CC                  </t>
  </si>
  <si>
    <t>SNEAKER SNACKS CC</t>
  </si>
  <si>
    <t>Llewellyn</t>
  </si>
  <si>
    <t xml:space="preserve">ELECTRO - MECH SERVICES CC         </t>
  </si>
  <si>
    <t>ELECTRO - MECH SERVICES CC</t>
  </si>
  <si>
    <t>Adriaan Jabs</t>
  </si>
  <si>
    <t>POD received from cell 0682118246 M</t>
  </si>
  <si>
    <t xml:space="preserve">CONLOG (PTY) LTD                   </t>
  </si>
  <si>
    <t>CONLOG  PTY  LTD</t>
  </si>
  <si>
    <t>Sibusiso</t>
  </si>
  <si>
    <t>POD received from cell 0847863055 M</t>
  </si>
  <si>
    <t>WARRICK</t>
  </si>
  <si>
    <t>reshmni</t>
  </si>
  <si>
    <t xml:space="preserve">POLYOAK PACKAGING PTY LTD AERO     </t>
  </si>
  <si>
    <t>POLYOAK PACKAGING PTY LTD AERO</t>
  </si>
  <si>
    <t xml:space="preserve">Bytel                         </t>
  </si>
  <si>
    <t xml:space="preserve">TOOLS   CARBIDE PLASTICS           </t>
  </si>
  <si>
    <t>TOOLS   CARBIDE</t>
  </si>
  <si>
    <t>vorsten</t>
  </si>
  <si>
    <t xml:space="preserve">COCA-COLA BEVERAGES SOUTH AFRI     </t>
  </si>
  <si>
    <t>COCA-COLA BEVERAGES SOUTH AFRI</t>
  </si>
  <si>
    <t>nomathamsanqa</t>
  </si>
  <si>
    <t>Gcina</t>
  </si>
  <si>
    <t xml:space="preserve">Windy                         </t>
  </si>
  <si>
    <t xml:space="preserve">POD received from cell 0659646054 M     </t>
  </si>
  <si>
    <t>lerato</t>
  </si>
  <si>
    <t xml:space="preserve">A.P.L CARTONS WORCESTER            </t>
  </si>
  <si>
    <t>A.P.L CARTONS WORCESTER</t>
  </si>
  <si>
    <t>Cameron</t>
  </si>
  <si>
    <t>maraia</t>
  </si>
  <si>
    <t>karabo</t>
  </si>
  <si>
    <t>POD received from cell 0768079810 M</t>
  </si>
  <si>
    <t>0082</t>
  </si>
  <si>
    <t xml:space="preserve">C   M HYDRAULIC SERVICES           </t>
  </si>
  <si>
    <t>C   M HYDRAULIC SERVICES</t>
  </si>
  <si>
    <t>rAYMOND</t>
  </si>
  <si>
    <t>igshaam</t>
  </si>
  <si>
    <t>POD received from cell 0727759089 M</t>
  </si>
  <si>
    <t xml:space="preserve">AVION EAST RAND (PTY) LTD          </t>
  </si>
  <si>
    <t>AVION EAST RAND</t>
  </si>
  <si>
    <t>Roberto</t>
  </si>
  <si>
    <t>POD received from cell 0817257646 M</t>
  </si>
  <si>
    <t xml:space="preserve">POLYOAK PACKAGING (PTY) LTD DI     </t>
  </si>
  <si>
    <t>POLYOAK PACKAGING  PTY  LTD DI</t>
  </si>
  <si>
    <t>Tamaryn</t>
  </si>
  <si>
    <t>jade</t>
  </si>
  <si>
    <t xml:space="preserve">FREDDY HIRSCH   CO                 </t>
  </si>
  <si>
    <t>FREDDY HIRSCH   CO</t>
  </si>
  <si>
    <t>MELANIE</t>
  </si>
  <si>
    <t>JLC</t>
  </si>
  <si>
    <t xml:space="preserve">TOTAL MINING CC                    </t>
  </si>
  <si>
    <t>TOTAL MINING CC</t>
  </si>
  <si>
    <t>panson</t>
  </si>
  <si>
    <t>unique</t>
  </si>
  <si>
    <t xml:space="preserve">SAINT-GOBAIN CIONSTRUCTION PRO     </t>
  </si>
  <si>
    <t>SAINT-GOBAIN CIONSTRUCTION PRO</t>
  </si>
  <si>
    <t>SIFISO</t>
  </si>
  <si>
    <t>kurt</t>
  </si>
  <si>
    <t>ISITH</t>
  </si>
  <si>
    <t>ISITHEBE</t>
  </si>
  <si>
    <t xml:space="preserve">KIC SA PTY LTD                     </t>
  </si>
  <si>
    <t>KIC SA PTY LTD</t>
  </si>
  <si>
    <t>Eric</t>
  </si>
  <si>
    <t>POD received from cell 0761615396 M</t>
  </si>
  <si>
    <t>GEORG</t>
  </si>
  <si>
    <t>GEORGE</t>
  </si>
  <si>
    <t xml:space="preserve">SANMIK AGENCIES CC                 </t>
  </si>
  <si>
    <t>SANMIK AGENCIES CC</t>
  </si>
  <si>
    <t>OLIVIA</t>
  </si>
  <si>
    <t>1flyer</t>
  </si>
  <si>
    <t>Aplpheus</t>
  </si>
  <si>
    <t>HND / FUE / DOC</t>
  </si>
  <si>
    <t>POD received from cell 0827336813 M</t>
  </si>
  <si>
    <t>PATEN</t>
  </si>
  <si>
    <t>PATENSIE</t>
  </si>
  <si>
    <t xml:space="preserve">GN PUMPS AND MOTORS (PTY) LTD      </t>
  </si>
  <si>
    <t>GN PUMPS AND MOTORS  PTY  LTD</t>
  </si>
  <si>
    <t>ilzaan</t>
  </si>
  <si>
    <t xml:space="preserve">SAR ELECTRONIC SA (PTY) LTD        </t>
  </si>
  <si>
    <t>SAR ELECTRONIC SA  PTY  LTD</t>
  </si>
  <si>
    <t>kevin</t>
  </si>
  <si>
    <t>POD received from cell 0823615061 M</t>
  </si>
  <si>
    <t>imayat  patel</t>
  </si>
  <si>
    <t xml:space="preserve">NATIONAL BRANDS LTD- BECKETTS      </t>
  </si>
  <si>
    <t>NATIONAL BRANDS LTD- BECKETTS</t>
  </si>
  <si>
    <t xml:space="preserve">SIZWE                         </t>
  </si>
  <si>
    <t>1FLYER</t>
  </si>
  <si>
    <t>Nolusindiso</t>
  </si>
  <si>
    <t>hanne</t>
  </si>
  <si>
    <t xml:space="preserve">ENAEX AFRICA (PTY) LTD             </t>
  </si>
  <si>
    <t>ENAEX AFRICA  PTY  LTD</t>
  </si>
  <si>
    <t>steven</t>
  </si>
  <si>
    <t xml:space="preserve">1FLTER                        </t>
  </si>
  <si>
    <t>busiswa</t>
  </si>
  <si>
    <t xml:space="preserve">POLAR ICE CREAM CO PTY LTD         </t>
  </si>
  <si>
    <t>POLAR ICE CREAM CO PTY LTD</t>
  </si>
  <si>
    <t>POLAR ICE CREAM CO PTY LTd</t>
  </si>
  <si>
    <t>POD received from cell 0665018492 M</t>
  </si>
  <si>
    <t xml:space="preserve">HIGH FORCE HYDRAULIC PNEUMATIC     </t>
  </si>
  <si>
    <t>HIGH FORCE HYDRAULIC PNEUMATIC</t>
  </si>
  <si>
    <t>monet</t>
  </si>
  <si>
    <t>RCL GROUP  DAPHNEY LEBELO 0768</t>
  </si>
  <si>
    <t>Brandon</t>
  </si>
  <si>
    <t>Charlane</t>
  </si>
  <si>
    <t xml:space="preserve">THE SIMBA GROUP LTD MAIN AIRPO     </t>
  </si>
  <si>
    <t>THE SIMBA GROUP LTD MAIN AIRPO</t>
  </si>
  <si>
    <t xml:space="preserve">Jacob                         </t>
  </si>
  <si>
    <t>FLYE</t>
  </si>
  <si>
    <t xml:space="preserve">CATAPULT GROUP (PTY) LTD           </t>
  </si>
  <si>
    <t>CATAPULT GROUP  PTY  LTD</t>
  </si>
  <si>
    <t>Njabulo</t>
  </si>
  <si>
    <t xml:space="preserve">1FL                           </t>
  </si>
  <si>
    <t>anderson</t>
  </si>
  <si>
    <t>1FL</t>
  </si>
  <si>
    <t>FL</t>
  </si>
  <si>
    <t>1FLYERT</t>
  </si>
  <si>
    <t>shusiso</t>
  </si>
  <si>
    <t>FLYERT</t>
  </si>
  <si>
    <t>KELPACK MANUFACTURING (PTY) LT</t>
  </si>
  <si>
    <t>Spha</t>
  </si>
  <si>
    <t xml:space="preserve">CULINARY  A DIVISION OF TIGER      </t>
  </si>
  <si>
    <t>CULINARY  A DIVISION OF TIGER</t>
  </si>
  <si>
    <t>Dakalo</t>
  </si>
  <si>
    <t>Kyle</t>
  </si>
  <si>
    <t>POD received from cell 0814739791 M</t>
  </si>
  <si>
    <t>vincent</t>
  </si>
  <si>
    <t>Peter</t>
  </si>
  <si>
    <t>ntm</t>
  </si>
  <si>
    <t xml:space="preserve">M   C BEARINGS AND TRANSMISSIO     </t>
  </si>
  <si>
    <t>M   C BEARINGS AND TRANSMISSIO</t>
  </si>
  <si>
    <t xml:space="preserve">GENERAL MOTORS SOUTH AFRICA        </t>
  </si>
  <si>
    <t>GENERAL MOTORS SOUTH AFRICA</t>
  </si>
  <si>
    <t>oygane</t>
  </si>
  <si>
    <t>siyalo</t>
  </si>
  <si>
    <t>ILLEG</t>
  </si>
  <si>
    <t>BRONK</t>
  </si>
  <si>
    <t>BRONKHORSTSPRUIT</t>
  </si>
  <si>
    <t xml:space="preserve">SASOL DYNO NOBEL (PTY) LTD         </t>
  </si>
  <si>
    <t>SASOL DYNO NOBEL  PTY  LTD</t>
  </si>
  <si>
    <t>Vuyo</t>
  </si>
  <si>
    <t>POD received from cell 0608652455 M</t>
  </si>
  <si>
    <t>Esther</t>
  </si>
  <si>
    <t>Emily</t>
  </si>
  <si>
    <t>musa</t>
  </si>
  <si>
    <t xml:space="preserve">INDUSTRIAL CONTROL AND AUTOMAT     </t>
  </si>
  <si>
    <t>INDUSTRIAL CONTROL AND AUTOMAT</t>
  </si>
  <si>
    <t>cameron</t>
  </si>
  <si>
    <t>Chaz</t>
  </si>
  <si>
    <t>Welcome</t>
  </si>
  <si>
    <t>Boyboy</t>
  </si>
  <si>
    <t>Medwin</t>
  </si>
  <si>
    <t xml:space="preserve">CROWN CHICKENS (PTY) LTD T A S     </t>
  </si>
  <si>
    <t>CROWN CHICKENS  PTY  LTD T A S</t>
  </si>
  <si>
    <t>monwabisi</t>
  </si>
  <si>
    <t>nthabeleng</t>
  </si>
  <si>
    <t xml:space="preserve">LACTALIS SOUTH AFRICA              </t>
  </si>
  <si>
    <t>LACTALIS SOUTH AFRICA</t>
  </si>
  <si>
    <t>Roberson</t>
  </si>
  <si>
    <t>POD received from cell 0741433512 M</t>
  </si>
  <si>
    <t>calvin</t>
  </si>
  <si>
    <t>sanite</t>
  </si>
  <si>
    <t xml:space="preserve">YANFENG INTERNATIONAL AUTOMOTI     </t>
  </si>
  <si>
    <t>YANFENG INTERNATIONAL AUTOMATI</t>
  </si>
  <si>
    <t>nomthunzi</t>
  </si>
  <si>
    <t xml:space="preserve">MZUKULU TECHNOLOGIES (PTY) LTD     </t>
  </si>
  <si>
    <t>MZUKULU TECHNOLOGIES  PTY  LTD</t>
  </si>
  <si>
    <t>MANDY</t>
  </si>
  <si>
    <t>POD received from cell 0659825059 M</t>
  </si>
  <si>
    <t xml:space="preserve">J Lutzeler                    </t>
  </si>
  <si>
    <t>Mbali</t>
  </si>
  <si>
    <t>ATLAN</t>
  </si>
  <si>
    <t>ATLANTIS</t>
  </si>
  <si>
    <t xml:space="preserve">ZF PASSIVE SAFETY SOUTH AFRICA     </t>
  </si>
  <si>
    <t>ZF PASSIVE SAFETY SOUTH AFRICA</t>
  </si>
  <si>
    <t>jerome</t>
  </si>
  <si>
    <t>POD received from cell 0829486869 M</t>
  </si>
  <si>
    <t>PIET2</t>
  </si>
  <si>
    <t>PIETERSBURG</t>
  </si>
  <si>
    <t>POD received from cell 0795513816 M</t>
  </si>
  <si>
    <t>0700</t>
  </si>
  <si>
    <t xml:space="preserve">BOPX                          </t>
  </si>
  <si>
    <t>TOMAS</t>
  </si>
  <si>
    <t xml:space="preserve">AUTO X PTY LTD                     </t>
  </si>
  <si>
    <t>AUTO X PTY LTD</t>
  </si>
  <si>
    <t>temoso</t>
  </si>
  <si>
    <t>POD received from cell 0795637015 M</t>
  </si>
  <si>
    <t>GRAHA</t>
  </si>
  <si>
    <t>GRAHAMSTOWN</t>
  </si>
  <si>
    <t xml:space="preserve">GRAHAMSTOWN BRICK PTY LTD T A      </t>
  </si>
  <si>
    <t>GRAHAMSTOWN BRICK PTY LTD</t>
  </si>
  <si>
    <t>Khanyiso</t>
  </si>
  <si>
    <t xml:space="preserve">STORM PROCUREMENT LTD              </t>
  </si>
  <si>
    <t>STORM PROCUREMENT LTD</t>
  </si>
  <si>
    <t>caesar</t>
  </si>
  <si>
    <t xml:space="preserve">TSWANE UNIVERSITY OF TECHNOLOG     </t>
  </si>
  <si>
    <t>TSWANE UNIVERSITY OF TECHNOLOG</t>
  </si>
  <si>
    <t>SIVIWE</t>
  </si>
  <si>
    <t xml:space="preserve">ASTRATEK PROJECTS (PTY) LTD MA     </t>
  </si>
  <si>
    <t>ASTRATEK PROJECTS  PTY  LTD MA</t>
  </si>
  <si>
    <t>ATHENKOSI</t>
  </si>
  <si>
    <t>abbas</t>
  </si>
  <si>
    <t>finian</t>
  </si>
  <si>
    <t>Richman</t>
  </si>
  <si>
    <t xml:space="preserve">Millicent                     </t>
  </si>
  <si>
    <t xml:space="preserve">POD received from cell 0837323487 M     </t>
  </si>
  <si>
    <t xml:space="preserve">Gavin                         </t>
  </si>
  <si>
    <t>LERATO</t>
  </si>
  <si>
    <t>letisia</t>
  </si>
  <si>
    <t>POD received from cell 0822301910 M</t>
  </si>
  <si>
    <t>hazel</t>
  </si>
  <si>
    <t>POD received from cell 0787213917 M</t>
  </si>
  <si>
    <t>mogomotsi</t>
  </si>
  <si>
    <t>Bew</t>
  </si>
  <si>
    <t>jared</t>
  </si>
  <si>
    <t xml:space="preserve">DURR AFRICA PTY LTD CORPORATE      </t>
  </si>
  <si>
    <t>DURR AFRICA</t>
  </si>
  <si>
    <t>zanomzi</t>
  </si>
  <si>
    <t>Brenda</t>
  </si>
  <si>
    <t xml:space="preserve">Quinton Afrika                </t>
  </si>
  <si>
    <t>VD nest</t>
  </si>
  <si>
    <t xml:space="preserve">UNILEVER S.A. (PTY) LTD LORDS      </t>
  </si>
  <si>
    <t>UNILEVER S.A.  PTY  LTD LORDS</t>
  </si>
  <si>
    <t xml:space="preserve">Lucia                         </t>
  </si>
  <si>
    <t>PORT4</t>
  </si>
  <si>
    <t>PORT SHEPSTONE</t>
  </si>
  <si>
    <t xml:space="preserve">HYDROMATIC ENTERPRISES PTY LTD     </t>
  </si>
  <si>
    <t>HYDROMATIC ENTERPRISES</t>
  </si>
  <si>
    <t>neville</t>
  </si>
  <si>
    <t xml:space="preserve">KOLOR WORLD CHAMDOR                </t>
  </si>
  <si>
    <t>KOLOR WORLD CHAMDER</t>
  </si>
  <si>
    <t>vishal</t>
  </si>
  <si>
    <t>Sello</t>
  </si>
  <si>
    <t xml:space="preserve">NEW STYLE PORK (PTY) LTD T A L     </t>
  </si>
  <si>
    <t>NEW STYLE PORK  PTY  LTD T A L</t>
  </si>
  <si>
    <t>johan</t>
  </si>
  <si>
    <t xml:space="preserve">PIONEER FOODS (PTY) LTD T A SA     </t>
  </si>
  <si>
    <t>PIONEER FOODS  PTY  LTD T A SA</t>
  </si>
  <si>
    <t>Tshego</t>
  </si>
  <si>
    <t xml:space="preserve">SASOL CHEMICALS A DIVISION OF      </t>
  </si>
  <si>
    <t>SASOL CHEMICALS A DIVISION OF</t>
  </si>
  <si>
    <t>ngwena</t>
  </si>
  <si>
    <t>J WALKER</t>
  </si>
  <si>
    <t>Lordwick</t>
  </si>
  <si>
    <t xml:space="preserve">RCL FOODS CONSUMER (PTY) LTD P     </t>
  </si>
  <si>
    <t>RCL FOODS CONSUMER  PTY  LTD P</t>
  </si>
  <si>
    <t>Qondi</t>
  </si>
  <si>
    <t xml:space="preserve">ESKORT PTY LTD                     </t>
  </si>
  <si>
    <t>ESKORT PTY LTD</t>
  </si>
  <si>
    <t>chume</t>
  </si>
  <si>
    <t xml:space="preserve">DKT   PARTNERS PTY LTD             </t>
  </si>
  <si>
    <t>DKT   PARTNERS PTY LTD</t>
  </si>
  <si>
    <t>priest</t>
  </si>
  <si>
    <t>keith</t>
  </si>
  <si>
    <t xml:space="preserve">Sam                           </t>
  </si>
  <si>
    <t xml:space="preserve">DALE AUTOMATION PTY LTD            </t>
  </si>
  <si>
    <t>DALE AUTOMATION PTY LTD</t>
  </si>
  <si>
    <t>marno</t>
  </si>
  <si>
    <t xml:space="preserve">GRUNDFOS (PTY) LTD GZA             </t>
  </si>
  <si>
    <t>GRUNDFOS  PTY  LTD GZA</t>
  </si>
  <si>
    <t>Koshna</t>
  </si>
  <si>
    <t>bem</t>
  </si>
  <si>
    <t>POD received from cell 0687876733 M</t>
  </si>
  <si>
    <t>Ndondo</t>
  </si>
  <si>
    <t xml:space="preserve">Mr Sam                        </t>
  </si>
  <si>
    <t>Shevlien</t>
  </si>
  <si>
    <t xml:space="preserve">STEELCRAFT BRACKENFELL             </t>
  </si>
  <si>
    <t>STEELCRAFT BRACKENFELL</t>
  </si>
  <si>
    <t>M deist</t>
  </si>
  <si>
    <t xml:space="preserve">PAARL PNEUMATICS CC                </t>
  </si>
  <si>
    <t>PAARL PNEUMATICS CC</t>
  </si>
  <si>
    <t>Clinton</t>
  </si>
  <si>
    <t xml:space="preserve">FEDERAL MOGUL ENGINE BEARINGS      </t>
  </si>
  <si>
    <t>FEDERAL MOGUL ENGINE BEARINGS</t>
  </si>
  <si>
    <t>soreya</t>
  </si>
  <si>
    <t>suraya</t>
  </si>
  <si>
    <t xml:space="preserve">ENTYCE BEVERAGES  DIVISION OF      </t>
  </si>
  <si>
    <t>ENTYCE BEVERAGES  DIVISION OF</t>
  </si>
  <si>
    <t>FIONA</t>
  </si>
  <si>
    <t>POD received from cell 0682690407 M</t>
  </si>
  <si>
    <t xml:space="preserve">Oupa                          </t>
  </si>
  <si>
    <t xml:space="preserve">S4 INTEGRATION PTYLTD              </t>
  </si>
  <si>
    <t>S4 INTEGRATION PTYLTD</t>
  </si>
  <si>
    <t>Annah</t>
  </si>
  <si>
    <t>POD received from cell 0751320604 M</t>
  </si>
  <si>
    <t xml:space="preserve">ELECTRO FIELD SERVICES             </t>
  </si>
  <si>
    <t>ELECTRO FIELD SERVICES</t>
  </si>
  <si>
    <t>michelle</t>
  </si>
  <si>
    <t>POD received from cell 0629697187 M</t>
  </si>
  <si>
    <t>Desnay</t>
  </si>
  <si>
    <t xml:space="preserve">ANDRIES                            </t>
  </si>
  <si>
    <t>0824502726</t>
  </si>
  <si>
    <t>Returned to sender on waybill number RR0</t>
  </si>
  <si>
    <t>rykie</t>
  </si>
  <si>
    <t>VERNON</t>
  </si>
  <si>
    <t>marcka</t>
  </si>
  <si>
    <t>Silas</t>
  </si>
  <si>
    <t>lbr</t>
  </si>
  <si>
    <t>POD received from cell 0823636526 M</t>
  </si>
  <si>
    <t xml:space="preserve">FAURECIA INTERIOR SYSTEMS SA P     </t>
  </si>
  <si>
    <t>FAURECIA INTERIOR SYSTEMS SA P</t>
  </si>
  <si>
    <t>liyema</t>
  </si>
  <si>
    <t>Lucky</t>
  </si>
  <si>
    <t xml:space="preserve">EIGER ENGINEERING (PTY) LTD        </t>
  </si>
  <si>
    <t>EIGER ENGINEERING  PTY  LTD</t>
  </si>
  <si>
    <t>Dayne</t>
  </si>
  <si>
    <t xml:space="preserve">MARTIN   MARTIN PTY LTD            </t>
  </si>
  <si>
    <t>MARTIN   MARTIN</t>
  </si>
  <si>
    <t>POD received from cell 0720194745 M</t>
  </si>
  <si>
    <t xml:space="preserve">MITAS CORPORATION (PTY) LTD        </t>
  </si>
  <si>
    <t>MITAS CORPORATION  PTY  LTD</t>
  </si>
  <si>
    <t>Nthabiseng</t>
  </si>
  <si>
    <t>fanie</t>
  </si>
  <si>
    <t xml:space="preserve">KROMBERG   SCHUBERT EASTERN CA     </t>
  </si>
  <si>
    <t>KROMBERG   SCHUBERT EASTERN CA</t>
  </si>
  <si>
    <t xml:space="preserve">PAILPAC (PTY) LTD                  </t>
  </si>
  <si>
    <t>PAILPAC  PTY  LTD</t>
  </si>
  <si>
    <t>lamie</t>
  </si>
  <si>
    <t>nelly</t>
  </si>
  <si>
    <t>c mokalepa</t>
  </si>
  <si>
    <t xml:space="preserve">BRANDLINE PACKAGING (PTY) LTD      </t>
  </si>
  <si>
    <t>BRANDLINE PACKAGING  PTY  LTD</t>
  </si>
  <si>
    <t>charity</t>
  </si>
  <si>
    <t xml:space="preserve">COIN DE MIRE EXPORTS CC            </t>
  </si>
  <si>
    <t>COIN DE MIRE EXPORTS CC</t>
  </si>
  <si>
    <t>sbu</t>
  </si>
  <si>
    <t xml:space="preserve">UNILAM PRESSINGS PTY LTD           </t>
  </si>
  <si>
    <t>UNILAM PRESSINGS PTY LTD</t>
  </si>
  <si>
    <t>Armand</t>
  </si>
  <si>
    <t>RAPID INDUSTRIAL</t>
  </si>
  <si>
    <t>thabo</t>
  </si>
  <si>
    <t xml:space="preserve">TF DESIGN PTY LTD                  </t>
  </si>
  <si>
    <t>TF DESIGN</t>
  </si>
  <si>
    <t>divaan</t>
  </si>
  <si>
    <t>POD received from cell 0678518887 M</t>
  </si>
  <si>
    <t xml:space="preserve">SPRING MEADOW DAIRY FARM (PTY)     </t>
  </si>
  <si>
    <t>SPRING MEADOW DAIRY FARM  PTY</t>
  </si>
  <si>
    <t>T E msame</t>
  </si>
  <si>
    <t>Mdu</t>
  </si>
  <si>
    <t xml:space="preserve">CTP PRINTERS JOHANNESBURG          </t>
  </si>
  <si>
    <t>CTP PRINTERS JOHANNESBURG</t>
  </si>
  <si>
    <t>Rorisang</t>
  </si>
  <si>
    <t xml:space="preserve">ABF SUGAR (PTY) LTD- NCHALO ME     </t>
  </si>
  <si>
    <t>ABF SUGAR  PTY  LTD- NCHALO ME</t>
  </si>
  <si>
    <t xml:space="preserve">ISANDO FOODS (PTY) LTD             </t>
  </si>
  <si>
    <t>ISANDO FOODS  PTY  LTD</t>
  </si>
  <si>
    <t xml:space="preserve">MAXION WHEELS SOUTH AFRICA PTY     </t>
  </si>
  <si>
    <t>MAXION WHEELS SOUTH AFRICA PTY</t>
  </si>
  <si>
    <t>NTOKOZO</t>
  </si>
  <si>
    <t xml:space="preserve">TIGER CONSUMER BRANDS              </t>
  </si>
  <si>
    <t>TIGER CONSUMER BRANDS</t>
  </si>
  <si>
    <t>merle</t>
  </si>
  <si>
    <t>Simphiwe</t>
  </si>
  <si>
    <t xml:space="preserve">DIYA VALVES INTERNATIONAL CC C     </t>
  </si>
  <si>
    <t>DIYA VALVES INTERNATIONAL CC C</t>
  </si>
  <si>
    <t xml:space="preserve">nathi                         </t>
  </si>
  <si>
    <t xml:space="preserve">POD received from cell 0698085401 M     </t>
  </si>
  <si>
    <t>LUCKY</t>
  </si>
  <si>
    <t xml:space="preserve">MINI PAL                      </t>
  </si>
  <si>
    <t>Meagen</t>
  </si>
  <si>
    <t>molatelo</t>
  </si>
  <si>
    <t xml:space="preserve">HIGH-TECH CONTROLS (PTY) LTD       </t>
  </si>
  <si>
    <t>HIGH-TECH CONTROLS  PTY  LTD</t>
  </si>
  <si>
    <t>graffiti</t>
  </si>
  <si>
    <t xml:space="preserve">MAGOTTEAUX GRINDING MEDIA SA (     </t>
  </si>
  <si>
    <t>MAGOTTEAUX GRINDING MEDIA SA</t>
  </si>
  <si>
    <t>Signed</t>
  </si>
  <si>
    <t xml:space="preserve">NEOPAK                             </t>
  </si>
  <si>
    <t>NEOPAK</t>
  </si>
  <si>
    <t>mike</t>
  </si>
  <si>
    <t>kamershni</t>
  </si>
  <si>
    <t xml:space="preserve">PE HYDRAULICS   PNEUMATICS         </t>
  </si>
  <si>
    <t>PE HYDRAULICS   PNEUMATICS</t>
  </si>
  <si>
    <t>Prajah</t>
  </si>
  <si>
    <t>lamic</t>
  </si>
  <si>
    <t xml:space="preserve">PROXA PTY LTD                      </t>
  </si>
  <si>
    <t>PROXA PTY LTD</t>
  </si>
  <si>
    <t>a van reenen</t>
  </si>
  <si>
    <t>POD received from cell 0844433687 M</t>
  </si>
  <si>
    <t xml:space="preserve">FOODSERV SOLUTIONS (PTY) LTD       </t>
  </si>
  <si>
    <t>FOODSERV SOLUTIONS  PTY  LTD</t>
  </si>
  <si>
    <t xml:space="preserve">INGRAIN SA (PTY) LTD RANDVAAL      </t>
  </si>
  <si>
    <t>INGRAIN SA  PTY  LTD RANDVAAL</t>
  </si>
  <si>
    <t>samson</t>
  </si>
  <si>
    <t>AMANZ</t>
  </si>
  <si>
    <t>AMANZIMTOTI</t>
  </si>
  <si>
    <t>Logan</t>
  </si>
  <si>
    <t>KEVIN</t>
  </si>
  <si>
    <t>M Pamla</t>
  </si>
  <si>
    <t>ilitha</t>
  </si>
  <si>
    <t xml:space="preserve">WILLOWTON OIL   CAKE MILLS         </t>
  </si>
  <si>
    <t>WILLOWTON OIL   CAKE MILLS</t>
  </si>
  <si>
    <t>anver</t>
  </si>
  <si>
    <t xml:space="preserve">LÓREAL MANUFACTURING PTY LTD       </t>
  </si>
  <si>
    <t>LÓREAL MANUFACTURING</t>
  </si>
  <si>
    <t>POD received from cell 0658308170 M</t>
  </si>
  <si>
    <t xml:space="preserve">PROGETTO INTERNATIONAL             </t>
  </si>
  <si>
    <t>PROGETTO INTERNATIONAL</t>
  </si>
  <si>
    <t xml:space="preserve">PICALO FOODS BRITS                 </t>
  </si>
  <si>
    <t>PICALO FOODS BRITS</t>
  </si>
  <si>
    <t>Marcia</t>
  </si>
  <si>
    <t>rehmi</t>
  </si>
  <si>
    <t xml:space="preserve">POLYOAK PACKAGING (PTY) LTD NO     </t>
  </si>
  <si>
    <t>POLYOAK PACKAGING  PTY  LTD NO</t>
  </si>
  <si>
    <t>joelene</t>
  </si>
  <si>
    <t>POD received from cell 0607577468 M</t>
  </si>
  <si>
    <t xml:space="preserve">Jendamark                          </t>
  </si>
  <si>
    <t>Luzelle Moller</t>
  </si>
  <si>
    <t>FAUR1</t>
  </si>
  <si>
    <t>FAURE</t>
  </si>
  <si>
    <t xml:space="preserve">INDECON CC FIRGROVE                </t>
  </si>
  <si>
    <t>INDECON CC FIRGROVE</t>
  </si>
  <si>
    <t>a  nel</t>
  </si>
  <si>
    <t xml:space="preserve">B E CONFERENCE CENTRE NEWTON P     </t>
  </si>
  <si>
    <t>B E CONFERENCE CENTRE NEWTON P</t>
  </si>
  <si>
    <t>Megan</t>
  </si>
  <si>
    <t>POD received from cell 0699631211 M</t>
  </si>
  <si>
    <t xml:space="preserve">EVEREADY (PTY) LTD                 </t>
  </si>
  <si>
    <t>EVEREADY  PTY  LTD</t>
  </si>
  <si>
    <t>shawn</t>
  </si>
  <si>
    <t>FES CUST 20250807 53 - BACK TO CUSTOMER</t>
  </si>
  <si>
    <t xml:space="preserve">TOYOTA SA MOTORS (PTY) LTD PRO     </t>
  </si>
  <si>
    <t xml:space="preserve">TOYOTA SA MOTORS  PTY  LTD PRO     </t>
  </si>
  <si>
    <t>SEKKIE</t>
  </si>
  <si>
    <t>TOYOTA SA MOTORS  PTY  LTD PRO</t>
  </si>
  <si>
    <t>UPTON</t>
  </si>
  <si>
    <t>Fanie</t>
  </si>
  <si>
    <t>LOUIS</t>
  </si>
  <si>
    <t>Paris</t>
  </si>
  <si>
    <t>shirley</t>
  </si>
  <si>
    <t>Cecilia</t>
  </si>
  <si>
    <t>phike</t>
  </si>
  <si>
    <t xml:space="preserve">SMITHS MANUFACTURING               </t>
  </si>
  <si>
    <t>SMITHS MANUFACTURING</t>
  </si>
  <si>
    <t>tony</t>
  </si>
  <si>
    <t>HEID2</t>
  </si>
  <si>
    <t>HEIDELBERG (TVL)</t>
  </si>
  <si>
    <t xml:space="preserve">BRITISH AMERICAN TOBACCO SA        </t>
  </si>
  <si>
    <t>BRITISH AMERICAN TOBACCO SA</t>
  </si>
  <si>
    <t>vanessa</t>
  </si>
  <si>
    <t>Remile</t>
  </si>
  <si>
    <t xml:space="preserve">INNOVATIVE WATER CARE SA HOLDI     </t>
  </si>
  <si>
    <t>INNOVATIVE WATER CARE SA HOLDI</t>
  </si>
  <si>
    <t>Sizwe</t>
  </si>
  <si>
    <t>Letsia</t>
  </si>
  <si>
    <t>RUAN</t>
  </si>
  <si>
    <t>zweli</t>
  </si>
  <si>
    <t>Emanuel</t>
  </si>
  <si>
    <t xml:space="preserve">UNIVERSAL AUTOMATED SYSTEMS (P     </t>
  </si>
  <si>
    <t>UNIVERSAL AUTOMATED SYSTEMS  P</t>
  </si>
  <si>
    <t>kobun</t>
  </si>
  <si>
    <t>POD received from cell 0785995125 M</t>
  </si>
  <si>
    <t>dorreen</t>
  </si>
  <si>
    <t xml:space="preserve">HYDRAULIC AND PNEUMATIC HUB        </t>
  </si>
  <si>
    <t>HYDRAULIC AND PNEUMATIC HUB</t>
  </si>
  <si>
    <t>bernice</t>
  </si>
  <si>
    <t>SIGNED</t>
  </si>
  <si>
    <t>nandipha</t>
  </si>
  <si>
    <t xml:space="preserve">FAIR CAPE DAIRIES (PTY) LTD        </t>
  </si>
  <si>
    <t>FAIR CAPE DAIRIES  PTY  LTD</t>
  </si>
  <si>
    <t xml:space="preserve">CONSUMER  A DIV OF TIGER CONSU     </t>
  </si>
  <si>
    <t>CONSUMER  A DIV OF TIGER CONSU</t>
  </si>
  <si>
    <t>Sthembile</t>
  </si>
  <si>
    <t>nand</t>
  </si>
  <si>
    <t>POD received from cell 0612705026 M</t>
  </si>
  <si>
    <t xml:space="preserve">PG BISON (PTY) LTD  ORDER NUMB     </t>
  </si>
  <si>
    <t>PG BISON  PTY  LTD  ORDER NUMB</t>
  </si>
  <si>
    <t>Thapello</t>
  </si>
  <si>
    <t xml:space="preserve">DES GROUP PTY LTD UMBOGINTWINI     </t>
  </si>
  <si>
    <t>DES GROUP PTY LTD UMBOGINTWINI</t>
  </si>
  <si>
    <t>Michael</t>
  </si>
  <si>
    <t xml:space="preserve">AEROSUD AVIATION (PTY) LTD PIE     </t>
  </si>
  <si>
    <t>AEROSUD AVIATION  PTY  LTD PIE</t>
  </si>
  <si>
    <t>them</t>
  </si>
  <si>
    <t>0045</t>
  </si>
  <si>
    <t>Diya</t>
  </si>
  <si>
    <t>Vanessa</t>
  </si>
  <si>
    <t>Craig</t>
  </si>
  <si>
    <t xml:space="preserve">SOUTHERN PULP MACHINERY PTY LT     </t>
  </si>
  <si>
    <t>SOUTHERN PULP MACHINERY</t>
  </si>
  <si>
    <t>orfie</t>
  </si>
  <si>
    <t>ricardo</t>
  </si>
  <si>
    <t>t  obray</t>
  </si>
  <si>
    <t xml:space="preserve">jonas                         </t>
  </si>
  <si>
    <t xml:space="preserve">POD received from cell 0795637015 M     </t>
  </si>
  <si>
    <t xml:space="preserve">PINCLIP INDUSTRIES (PTY) LTD       </t>
  </si>
  <si>
    <t>PINCLIP INDUSTRIES  PTY  LTD</t>
  </si>
  <si>
    <t>Charmaine</t>
  </si>
  <si>
    <t xml:space="preserve">PRAGA TECHNICAL PTY LTD PLZ        </t>
  </si>
  <si>
    <t>PRAGA TECHNICAL PTY LTD PLZ</t>
  </si>
  <si>
    <t xml:space="preserve">Productive Systems                 </t>
  </si>
  <si>
    <t>Andre</t>
  </si>
  <si>
    <t xml:space="preserve">Foodcorp                           </t>
  </si>
  <si>
    <t>Evon Totolo</t>
  </si>
  <si>
    <t>POD received from cell 0738022932 M</t>
  </si>
  <si>
    <t xml:space="preserve">UV+IR ENGINEERING (PTY) LTD        </t>
  </si>
  <si>
    <t>UVIR ENGINEERING  PTY  LTD</t>
  </si>
  <si>
    <t>Joyce</t>
  </si>
  <si>
    <t>GAVIN</t>
  </si>
  <si>
    <t xml:space="preserve">MARLEY PIPE SYSTEMS SA (PTY) L     </t>
  </si>
  <si>
    <t>MARLEY PIPE SYSTEMS SA  PTY  L</t>
  </si>
  <si>
    <t>kholina</t>
  </si>
  <si>
    <t>GREYT</t>
  </si>
  <si>
    <t>GREYTOWN</t>
  </si>
  <si>
    <t xml:space="preserve">UCL COMPANY (PTY) LTD ATTN: MR     </t>
  </si>
  <si>
    <t>UCL COMPANY  PTY  LTD ATTN  MR</t>
  </si>
  <si>
    <t>dashen</t>
  </si>
  <si>
    <t xml:space="preserve">Jorge                         </t>
  </si>
  <si>
    <t xml:space="preserve">POD received from cell 0817257646 M     </t>
  </si>
  <si>
    <t xml:space="preserve">EPIROC DRILLING TOOLS NUFFIELD     </t>
  </si>
  <si>
    <t>EPIROC DRILLING TOOLS NUFFIELD</t>
  </si>
  <si>
    <t xml:space="preserve">CAVALETTO 98 (PTY) LTD T A PRO     </t>
  </si>
  <si>
    <t>CAVALETTO 98  PTY  LTD T A PRO</t>
  </si>
  <si>
    <t>allan</t>
  </si>
  <si>
    <t>Abram</t>
  </si>
  <si>
    <t>vick</t>
  </si>
  <si>
    <t xml:space="preserve">VOITH TURBO (PTY) LTD WITFIELD     </t>
  </si>
  <si>
    <t>VOITH TURBO  PTY  LTD WITFIELD</t>
  </si>
  <si>
    <t>pride</t>
  </si>
  <si>
    <t>lundi</t>
  </si>
  <si>
    <t xml:space="preserve">FILMATIC PACKAGING SYSTEMS (PT     </t>
  </si>
  <si>
    <t>FILMATIC PACKAGING SYSTEMS  PT</t>
  </si>
  <si>
    <t>W Lourens</t>
  </si>
  <si>
    <t>Chris</t>
  </si>
  <si>
    <t>Asanda</t>
  </si>
  <si>
    <t>POD received from cell 0605335750 M</t>
  </si>
  <si>
    <t>ashoa</t>
  </si>
  <si>
    <t>Lamla</t>
  </si>
  <si>
    <t xml:space="preserve">SPIRAX SARCO SA PTY LTD            </t>
  </si>
  <si>
    <t>SPIRAX SARCO</t>
  </si>
  <si>
    <t>Sylvester</t>
  </si>
  <si>
    <t>lindy</t>
  </si>
  <si>
    <t xml:space="preserve">cassim                        </t>
  </si>
  <si>
    <t xml:space="preserve">POD received from cell 0827869932 M     </t>
  </si>
  <si>
    <t>STRAN</t>
  </si>
  <si>
    <t>STRAND</t>
  </si>
  <si>
    <t xml:space="preserve">QUALITY FILTRATION SYSTEMS CC      </t>
  </si>
  <si>
    <t>QUALITY FILTRATION SYSTEMS CC</t>
  </si>
  <si>
    <t>Phumeza</t>
  </si>
  <si>
    <t xml:space="preserve">YANFENG PLASTIC OMNIUM SA AUTO     </t>
  </si>
  <si>
    <t>YANFENG PLASTIC OMNIUM SA AUTO</t>
  </si>
  <si>
    <t>bathobile</t>
  </si>
  <si>
    <t>POD received from cell 0674000125 M</t>
  </si>
  <si>
    <t>doreen</t>
  </si>
  <si>
    <t>reins</t>
  </si>
  <si>
    <t xml:space="preserve">SUBTECH PTY LTD                    </t>
  </si>
  <si>
    <t>SUBTECH PTY LTD</t>
  </si>
  <si>
    <t>puleng</t>
  </si>
  <si>
    <t xml:space="preserve">IRVIN   JOHNSON LTD                </t>
  </si>
  <si>
    <t>IRVIN   JOHNSON LTD</t>
  </si>
  <si>
    <t>Nomsa</t>
  </si>
  <si>
    <t>POD received from cell 0695512336 M</t>
  </si>
  <si>
    <t>mico</t>
  </si>
  <si>
    <t xml:space="preserve">POLYOAK PACKAGING PTY LTD          </t>
  </si>
  <si>
    <t>POLYOAK PACKAGING PTY LTD</t>
  </si>
  <si>
    <t>Bytel</t>
  </si>
  <si>
    <t>nico</t>
  </si>
  <si>
    <t>POD received from cell 0693852220 M</t>
  </si>
  <si>
    <t>HENNE</t>
  </si>
  <si>
    <t>HENNENMAN</t>
  </si>
  <si>
    <t xml:space="preserve">TIGER MILLING                      </t>
  </si>
  <si>
    <t>TIGER MILLING  INNOCENTIA 0711</t>
  </si>
  <si>
    <t>lindiwe</t>
  </si>
  <si>
    <t>POD received from cell 0835504817 M</t>
  </si>
  <si>
    <t>lee</t>
  </si>
  <si>
    <t xml:space="preserve">INTELLIGENT INSPECTION SERVICE     </t>
  </si>
  <si>
    <t>INTELLIGENT INSPECTION SERVICE</t>
  </si>
  <si>
    <t>chris</t>
  </si>
  <si>
    <t xml:space="preserve">CARNILINX PTY LTD                  </t>
  </si>
  <si>
    <t>CARNILINX PTY LTD</t>
  </si>
  <si>
    <t>Mimi</t>
  </si>
  <si>
    <t>POD received from cell 0723831473 M</t>
  </si>
  <si>
    <t>NANDIPHA</t>
  </si>
  <si>
    <t xml:space="preserve">LAMBDA AUTOMATION (PTY) LTD        </t>
  </si>
  <si>
    <t>LAMBDA AUTOMATION  PTY  LTD</t>
  </si>
  <si>
    <t>Sammy</t>
  </si>
  <si>
    <t>Elaine</t>
  </si>
  <si>
    <t xml:space="preserve">GREIF SOUTH AFRICA PLASTICS PT     </t>
  </si>
  <si>
    <t>GREIF SOUTH AFRICA PLASTICS PT</t>
  </si>
  <si>
    <t>Tsholofelo</t>
  </si>
  <si>
    <t xml:space="preserve">MARCOM PLASTICS PTY LTD            </t>
  </si>
  <si>
    <t>MARCOM PLASTICS</t>
  </si>
  <si>
    <t>respect</t>
  </si>
  <si>
    <t>alvin</t>
  </si>
  <si>
    <t xml:space="preserve">FESTO CAPE TOWN                    </t>
  </si>
  <si>
    <t>ANDREW HALL</t>
  </si>
  <si>
    <t>.</t>
  </si>
  <si>
    <t xml:space="preserve">?                             </t>
  </si>
  <si>
    <t>tumi</t>
  </si>
  <si>
    <t xml:space="preserve">G.U.D HOLDINGS (PTY) LTD PROSP     </t>
  </si>
  <si>
    <t>G.U.D HOLDINGS  PTY  LTD PROSP</t>
  </si>
  <si>
    <t>midlani</t>
  </si>
  <si>
    <t xml:space="preserve">TFE SOUTH AFRICA                   </t>
  </si>
  <si>
    <t>TFE SOUTH AFRICA</t>
  </si>
  <si>
    <t>Katlego</t>
  </si>
  <si>
    <t>0yame</t>
  </si>
  <si>
    <t>Dick</t>
  </si>
  <si>
    <t xml:space="preserve">Reagan                        </t>
  </si>
  <si>
    <t xml:space="preserve">POD received from cell 0788915943 M     </t>
  </si>
  <si>
    <t>LUCY</t>
  </si>
  <si>
    <t>ATH</t>
  </si>
  <si>
    <t xml:space="preserve">ANALOG   DIGITAL POWER ELECTRO     </t>
  </si>
  <si>
    <t>ANALOG   DIGITAL POWER ELECTRO</t>
  </si>
  <si>
    <t>shane</t>
  </si>
  <si>
    <t>emi g</t>
  </si>
  <si>
    <t>Bad address</t>
  </si>
  <si>
    <t>PHINDIWE</t>
  </si>
  <si>
    <t xml:space="preserve">POLAR ICE CREAM EPPING INDUSTR     </t>
  </si>
  <si>
    <t>POLAR ICE CREAM EPPING INDUSTR</t>
  </si>
  <si>
    <t>ilse</t>
  </si>
  <si>
    <t>tsikelelo</t>
  </si>
  <si>
    <t>Appointment required</t>
  </si>
  <si>
    <t>Jerome</t>
  </si>
  <si>
    <t xml:space="preserve">1BOX                          </t>
  </si>
  <si>
    <t>UMKOM</t>
  </si>
  <si>
    <t>UMKOMAAS</t>
  </si>
  <si>
    <t xml:space="preserve">SAPPI GLOBAL BUSINESS SERVICES     </t>
  </si>
  <si>
    <t>SAPPI GLOBAL BUSINESS SERVICES</t>
  </si>
  <si>
    <t>zenzele</t>
  </si>
  <si>
    <t xml:space="preserve">stacie                        </t>
  </si>
  <si>
    <t>Martin</t>
  </si>
  <si>
    <t>Yvonne</t>
  </si>
  <si>
    <t>POD received from cell 0724643952 M</t>
  </si>
  <si>
    <t xml:space="preserve">COLLABORATIVE PACKING SOLUTION     </t>
  </si>
  <si>
    <t>COLLABORATIVE PACKING SOLUTION</t>
  </si>
  <si>
    <t>Manuel</t>
  </si>
  <si>
    <t xml:space="preserve">Thobile                       </t>
  </si>
  <si>
    <t xml:space="preserve">POD received from cell 0638379238 M     </t>
  </si>
  <si>
    <t xml:space="preserve">peter                         </t>
  </si>
  <si>
    <t xml:space="preserve">POD received from cell 0728258300 M     </t>
  </si>
  <si>
    <t>lethu</t>
  </si>
  <si>
    <t>oral</t>
  </si>
  <si>
    <t>Johannes</t>
  </si>
  <si>
    <t>janine</t>
  </si>
  <si>
    <t>Nadine</t>
  </si>
  <si>
    <t>CHAMDOR</t>
  </si>
  <si>
    <t>bsn</t>
  </si>
  <si>
    <t>DE BEERS CONSOLIDATED MINES</t>
  </si>
  <si>
    <t>lovers</t>
  </si>
  <si>
    <t>xola</t>
  </si>
  <si>
    <t>strydom</t>
  </si>
  <si>
    <t>AMOGELANG</t>
  </si>
  <si>
    <t xml:space="preserve">PETER                         </t>
  </si>
  <si>
    <t>Roberts</t>
  </si>
  <si>
    <t>aydrye</t>
  </si>
  <si>
    <t>Adriasn</t>
  </si>
  <si>
    <t>elen</t>
  </si>
  <si>
    <t xml:space="preserve">LEONARD DINGLER ( PTY) LTD PRO     </t>
  </si>
  <si>
    <t>LEONARD DINGLER   PTY  LTD PRO</t>
  </si>
  <si>
    <t>Minah</t>
  </si>
  <si>
    <t>Mabina</t>
  </si>
  <si>
    <t>MAHLE BEHR SOUTH AFRICA PTY LT</t>
  </si>
  <si>
    <t>brian</t>
  </si>
  <si>
    <t>Marcu</t>
  </si>
  <si>
    <t xml:space="preserve">MARLEY SA PTY LTD                  </t>
  </si>
  <si>
    <t>MARLEY SA PTY LTD</t>
  </si>
  <si>
    <t xml:space="preserve">Simon                         </t>
  </si>
  <si>
    <t xml:space="preserve">POD received from cell 0635405678 M     </t>
  </si>
  <si>
    <t>Danie</t>
  </si>
  <si>
    <t>POD received from cell 0727824353 M</t>
  </si>
  <si>
    <t>jeay</t>
  </si>
  <si>
    <t>pim</t>
  </si>
  <si>
    <t xml:space="preserve">PARCELS                       </t>
  </si>
  <si>
    <t>thabiso</t>
  </si>
  <si>
    <t>gilto</t>
  </si>
  <si>
    <t xml:space="preserve">I M E SA                           </t>
  </si>
  <si>
    <t>I M E SA</t>
  </si>
  <si>
    <t>thosani</t>
  </si>
  <si>
    <t xml:space="preserve">WATCH TOWER SOCIETY                </t>
  </si>
  <si>
    <t>WATCH TOWER SOCIETY</t>
  </si>
  <si>
    <t>JARED</t>
  </si>
  <si>
    <t xml:space="preserve">Alfred                        </t>
  </si>
  <si>
    <t xml:space="preserve">POD received from cell 0698970078 M     </t>
  </si>
  <si>
    <t xml:space="preserve">ALFRED                        </t>
  </si>
  <si>
    <t xml:space="preserve">NAMPAK LIQUID PACKAGING            </t>
  </si>
  <si>
    <t>NAMPAK LIQUID PACKAGING</t>
  </si>
  <si>
    <t>goodman</t>
  </si>
  <si>
    <t xml:space="preserve">HOLLER TRADE CC MIDRAND            </t>
  </si>
  <si>
    <t>HOLLER TRADE CC MIDRAND</t>
  </si>
  <si>
    <t>SIMON</t>
  </si>
  <si>
    <t>jojo</t>
  </si>
  <si>
    <t xml:space="preserve">Granforth                          </t>
  </si>
  <si>
    <t>Christian</t>
  </si>
  <si>
    <t xml:space="preserve">Robotic                            </t>
  </si>
  <si>
    <t>Darren Ward</t>
  </si>
  <si>
    <t xml:space="preserve">Festo                              </t>
  </si>
  <si>
    <t>Patrick Prent</t>
  </si>
  <si>
    <t xml:space="preserve">HULAMIN OPERATIONS (PTY) LTD B     </t>
  </si>
  <si>
    <t>HULAMIN OPERATIONS  PTY  LTD B</t>
  </si>
  <si>
    <t>vernon</t>
  </si>
  <si>
    <t>VERUL</t>
  </si>
  <si>
    <t>VERULAM</t>
  </si>
  <si>
    <t xml:space="preserve">HUHTAMAKI FLEXIBLE PACKAGING S     </t>
  </si>
  <si>
    <t>HUHTAMAKI FLEXIBLE PACKAGING S</t>
  </si>
  <si>
    <t>xoli</t>
  </si>
  <si>
    <t xml:space="preserve">BASF SOUTH AFRICA PTY LTD          </t>
  </si>
  <si>
    <t>BASF SOUTH AFRICA</t>
  </si>
  <si>
    <t>lungelwa</t>
  </si>
  <si>
    <t xml:space="preserve">acfred                        </t>
  </si>
  <si>
    <t>mpai</t>
  </si>
  <si>
    <t xml:space="preserve">S.A LITHO PRINTING   PACK          </t>
  </si>
  <si>
    <t>S.A LITHO PRINTING   PACK</t>
  </si>
  <si>
    <t>L Elliot</t>
  </si>
  <si>
    <t>Client refused delivery</t>
  </si>
  <si>
    <t>ayshen</t>
  </si>
  <si>
    <t>Taznyn Japhta</t>
  </si>
  <si>
    <t xml:space="preserve">BLACK SHEEP INDUSTRIES PTY LTD     </t>
  </si>
  <si>
    <t>BLACK SHEEP INDUSTRIES</t>
  </si>
  <si>
    <t>Will</t>
  </si>
  <si>
    <t>POD received from cell 0728834171 M</t>
  </si>
  <si>
    <t>L Le Roux</t>
  </si>
  <si>
    <t xml:space="preserve">UNILEVER SOUTH AFRICA (PTY) LT     </t>
  </si>
  <si>
    <t>UNILEVER SOUTH AFRICA  PTY  LT</t>
  </si>
  <si>
    <t>Andreas</t>
  </si>
  <si>
    <t xml:space="preserve">FRONERI SOUTH AFRICA (PTY) LTD     </t>
  </si>
  <si>
    <t>FRONERI SOUTH AFRICA  PTY  LTD</t>
  </si>
  <si>
    <t>George</t>
  </si>
  <si>
    <t>Lutzeler</t>
  </si>
  <si>
    <t xml:space="preserve">TIGER BRANDS SNACKS  TREAT   B     </t>
  </si>
  <si>
    <t>TIGER BRANDS SNACKS  TREAT   B</t>
  </si>
  <si>
    <t>thabile</t>
  </si>
  <si>
    <t>jonas</t>
  </si>
  <si>
    <t>XOLELWA</t>
  </si>
  <si>
    <t xml:space="preserve">remile                        </t>
  </si>
  <si>
    <t xml:space="preserve">4 BYTES AUTOMATION CC HENNOPSP     </t>
  </si>
  <si>
    <t>4 BYTES AUTOMATION CC HENNOPSP</t>
  </si>
  <si>
    <t xml:space="preserve">patricia                      </t>
  </si>
  <si>
    <t xml:space="preserve">POD received from cell 0673302997 M     </t>
  </si>
  <si>
    <t xml:space="preserve">wayne                         </t>
  </si>
  <si>
    <t>shahid</t>
  </si>
  <si>
    <t>RV nzama</t>
  </si>
  <si>
    <t xml:space="preserve">PFG BUILDING GLASS                 </t>
  </si>
  <si>
    <t>PFG BUILDING GLASS</t>
  </si>
  <si>
    <t>THABO</t>
  </si>
  <si>
    <t xml:space="preserve">SEECOR BLOW MOULDERS               </t>
  </si>
  <si>
    <t>SEECOR BLOW MOULDERS</t>
  </si>
  <si>
    <t>Puleng</t>
  </si>
  <si>
    <t>slindile</t>
  </si>
  <si>
    <t>Lorraine</t>
  </si>
  <si>
    <t xml:space="preserve">Paris                         </t>
  </si>
  <si>
    <t>CECILIA</t>
  </si>
  <si>
    <t>dumi</t>
  </si>
  <si>
    <t>Frank</t>
  </si>
  <si>
    <t>thomas</t>
  </si>
  <si>
    <t>POD received from cell 0733113285 M</t>
  </si>
  <si>
    <t xml:space="preserve">INHLE NEW OPCO PROPRIETARY LIM     </t>
  </si>
  <si>
    <t>INHLE NEW OPCO PROPRIETARY LIM</t>
  </si>
  <si>
    <t>LODEWYK</t>
  </si>
  <si>
    <t>ERNEST</t>
  </si>
  <si>
    <t xml:space="preserve">S.A. MINT (PTY) LTD                </t>
  </si>
  <si>
    <t>S.A. MINT  PTY  LTD</t>
  </si>
  <si>
    <t>paul</t>
  </si>
  <si>
    <t>POD received from cell 0790678352 M</t>
  </si>
  <si>
    <t xml:space="preserve">DELLTRA SOLUTIONS (PTY) LTD        </t>
  </si>
  <si>
    <t>DELLTRA SOLUTIONS  PTY  LTD</t>
  </si>
  <si>
    <t>kuber</t>
  </si>
  <si>
    <t>POD received from cell 0720364384 M</t>
  </si>
  <si>
    <t xml:space="preserve">PRESSURE DIE CASTINGS (PTY) LT     </t>
  </si>
  <si>
    <t>PRESSURE DIE CASTINGS  PTY  LT</t>
  </si>
  <si>
    <t>kaylen</t>
  </si>
  <si>
    <t xml:space="preserve">Snapper Display                    </t>
  </si>
  <si>
    <t>Tristan Rees</t>
  </si>
  <si>
    <t>Aiden</t>
  </si>
  <si>
    <t>KINGW</t>
  </si>
  <si>
    <t>KINGWILLIAMSTOWN</t>
  </si>
  <si>
    <t xml:space="preserve">MA AUTOMOTIVE BERLIN (PTY) LTD     </t>
  </si>
  <si>
    <t>MA AUTOMOTIVE BERLIN  PTY  LTD</t>
  </si>
  <si>
    <t>Zandi</t>
  </si>
  <si>
    <t>Myron</t>
  </si>
  <si>
    <t>HOTAZ</t>
  </si>
  <si>
    <t>HOTAZEL</t>
  </si>
  <si>
    <t xml:space="preserve">SISHEN IRON ORE COMPANY (PTY)      </t>
  </si>
  <si>
    <t>SISHEN IRON ORE COMPANY  PTY</t>
  </si>
  <si>
    <t>AG M</t>
  </si>
  <si>
    <t>btm</t>
  </si>
  <si>
    <t>POD received from cell 0730443352 M</t>
  </si>
  <si>
    <t xml:space="preserve">FESTO (MOVE ANALYTICS)             </t>
  </si>
  <si>
    <t>SISHEN IRON ORE COMPANY</t>
  </si>
  <si>
    <t>GIFT MASINGA</t>
  </si>
  <si>
    <t>BOXES</t>
  </si>
  <si>
    <t>BTM</t>
  </si>
  <si>
    <t xml:space="preserve">TONGAAT HULLETTS GROUP T A REF     </t>
  </si>
  <si>
    <t>TONGAAT HULLETTS GROUP T A REF</t>
  </si>
  <si>
    <t>mlu</t>
  </si>
  <si>
    <t>POD received from cell 0672223699 M</t>
  </si>
  <si>
    <t>yolanda</t>
  </si>
  <si>
    <t>Lawrence</t>
  </si>
  <si>
    <t xml:space="preserve">PREMIER FMCG (PTY) LTD ELANDSF     </t>
  </si>
  <si>
    <t>PREMIER FMCG  PTY  LTD ELANDSF</t>
  </si>
  <si>
    <t>RENE</t>
  </si>
  <si>
    <t>Marvin</t>
  </si>
  <si>
    <t>nelson-stamped</t>
  </si>
  <si>
    <t xml:space="preserve">ZF LEMFORDER SA LTD                </t>
  </si>
  <si>
    <t>ZF LEMFORDER SA LTD</t>
  </si>
  <si>
    <t>Aviwe</t>
  </si>
  <si>
    <t>v ncent</t>
  </si>
  <si>
    <t xml:space="preserve">TIGER BRANDS SNACKS  TREATS PH     </t>
  </si>
  <si>
    <t>TIGER BRANDS SNACKS  TREATS PH</t>
  </si>
  <si>
    <t>mouu</t>
  </si>
  <si>
    <t>A Steffens</t>
  </si>
  <si>
    <t>Benjamin</t>
  </si>
  <si>
    <t xml:space="preserve">CHAMDOR                       </t>
  </si>
  <si>
    <t>ntombi</t>
  </si>
  <si>
    <t xml:space="preserve">FELTEX TRIM P.E                    </t>
  </si>
  <si>
    <t>FELTEX TRIM P.E</t>
  </si>
  <si>
    <t xml:space="preserve">S B Coombs                    </t>
  </si>
  <si>
    <t xml:space="preserve">POD received from cell 0814739791 M     </t>
  </si>
  <si>
    <t>Jueyren</t>
  </si>
  <si>
    <t xml:space="preserve">NATIONAL BRANDS LIMITED  ROSSL     </t>
  </si>
  <si>
    <t>NATIONAL BRANDS LIMITED ROSSLY</t>
  </si>
  <si>
    <t>Ben</t>
  </si>
  <si>
    <t>Tyla</t>
  </si>
  <si>
    <t xml:space="preserve">MARY                          </t>
  </si>
  <si>
    <t>shida</t>
  </si>
  <si>
    <t>TAJ</t>
  </si>
  <si>
    <t>POD received from cell 0842084217 M</t>
  </si>
  <si>
    <t>jwsr10194063</t>
  </si>
  <si>
    <t>yolisa</t>
  </si>
  <si>
    <t>renny</t>
  </si>
  <si>
    <t xml:space="preserve">POWER BREEZE                       </t>
  </si>
  <si>
    <t>POWER BREEZE</t>
  </si>
  <si>
    <t>luise</t>
  </si>
  <si>
    <t xml:space="preserve">TIGER BRANDS ( CHOCOLATE UNIT      </t>
  </si>
  <si>
    <t>TIGER BRANDS   CHOCOLATE UNIT</t>
  </si>
  <si>
    <t xml:space="preserve">SOLID WEDGE SERVICES CC            </t>
  </si>
  <si>
    <t>SOLID WEDGE SERVICES CC</t>
  </si>
  <si>
    <t>nombulelo</t>
  </si>
  <si>
    <t>ndumiso</t>
  </si>
  <si>
    <t xml:space="preserve">FLYTER                        </t>
  </si>
  <si>
    <t xml:space="preserve">INGRAIN SA (PTY) LTD BELLVILLE     </t>
  </si>
  <si>
    <t>INGRAIN SA  PTY  LTD BELLVILLE</t>
  </si>
  <si>
    <t>sophazi</t>
  </si>
  <si>
    <t>Company Closed</t>
  </si>
  <si>
    <t xml:space="preserve">ARDAGH GLASS PACKAGING  SA PTY     </t>
  </si>
  <si>
    <t>ARDAGH GLASS PACKAGING  SA PTY</t>
  </si>
  <si>
    <t>motlatsi</t>
  </si>
  <si>
    <t>Makayla</t>
  </si>
  <si>
    <t>Lesiba</t>
  </si>
  <si>
    <t>Nadia</t>
  </si>
  <si>
    <t>Nella</t>
  </si>
  <si>
    <t xml:space="preserve">FIRST QUANTUM MINERALS SA (PTY     </t>
  </si>
  <si>
    <t>FIRST QUANTUM MINERALS SA  PTY</t>
  </si>
  <si>
    <t>Florence</t>
  </si>
  <si>
    <t>Clive</t>
  </si>
  <si>
    <t>POD received from cell 0621494136 M</t>
  </si>
  <si>
    <t xml:space="preserve">VAAL -  TECH INSTRUMENTATION       </t>
  </si>
  <si>
    <t>VAAL -  TECH INSTRUMENTATION</t>
  </si>
  <si>
    <t>Monica</t>
  </si>
  <si>
    <t>POD received from cell 0729061309 M</t>
  </si>
  <si>
    <t>POD received from cell 0698085401 M</t>
  </si>
  <si>
    <t xml:space="preserve">ALBANY BAKERIES A DIVISION OF      </t>
  </si>
  <si>
    <t>ALBANY BAKERIES A DIVISION OF</t>
  </si>
  <si>
    <t>hope</t>
  </si>
  <si>
    <t>Chrisna</t>
  </si>
  <si>
    <t>ntsieng</t>
  </si>
  <si>
    <t xml:space="preserve">DOUGLASDALE DAIRY PTY LTD          </t>
  </si>
  <si>
    <t>DOUGLASDALE DAIRY</t>
  </si>
  <si>
    <t>security</t>
  </si>
  <si>
    <t>POD received from cell 0734288184 M</t>
  </si>
  <si>
    <t>yasin</t>
  </si>
  <si>
    <t>vukani</t>
  </si>
  <si>
    <t xml:space="preserve">PNEUMATIC TRAINING   CONSULTAN     </t>
  </si>
  <si>
    <t>PNEUMATIC TRAINING   CONSULTAN</t>
  </si>
  <si>
    <t>K Kok</t>
  </si>
  <si>
    <t>PPM</t>
  </si>
  <si>
    <t>POD received from cell 0723623160 M</t>
  </si>
  <si>
    <t>0153</t>
  </si>
  <si>
    <t xml:space="preserve">LACTALIS SOUTH AFRICA (PTY) LT     </t>
  </si>
  <si>
    <t>LACTALIS SOUTH AFRICA  PTY  LT</t>
  </si>
  <si>
    <t>n ndudane</t>
  </si>
  <si>
    <t>nigel</t>
  </si>
  <si>
    <t>Udo</t>
  </si>
  <si>
    <t>Thabiso</t>
  </si>
  <si>
    <t xml:space="preserve">FIRST NATIONAL BATTERY BENONI      </t>
  </si>
  <si>
    <t>FIRST NATIONAL BATTERY BENONI</t>
  </si>
  <si>
    <t>Moipone</t>
  </si>
  <si>
    <t xml:space="preserve">ALPHA HYDRAULICS AND PNEUMATIC     </t>
  </si>
  <si>
    <t>ALPHA HYDRAULICS AND PNEUMATIC</t>
  </si>
  <si>
    <t>washle</t>
  </si>
  <si>
    <t xml:space="preserve">PREMIER LIL-LETS JACOBS DURBS      </t>
  </si>
  <si>
    <t>PREMIER LIL-LETS JACOBS DURBS</t>
  </si>
  <si>
    <t>qunthia</t>
  </si>
  <si>
    <t>sovell</t>
  </si>
  <si>
    <t xml:space="preserve">SASOL SYNFUELS VAT REG: 438010     </t>
  </si>
  <si>
    <t>SASOL SYNFUELS VAT REG  438010</t>
  </si>
  <si>
    <t>ayanda daniels</t>
  </si>
  <si>
    <t>POD received from cell 0673302997 M</t>
  </si>
  <si>
    <t>struan</t>
  </si>
  <si>
    <t xml:space="preserve">Levino Consulting                  </t>
  </si>
  <si>
    <t>Manyaba Mogashoa</t>
  </si>
  <si>
    <t>jody</t>
  </si>
  <si>
    <t>POD received from cell 0817405963 M</t>
  </si>
  <si>
    <t xml:space="preserve">J.V. HIDROLIES BK                  </t>
  </si>
  <si>
    <t>J.V. HIDROLIES BK</t>
  </si>
  <si>
    <t>POD received from cell 0726120122 M</t>
  </si>
  <si>
    <t>danice</t>
  </si>
  <si>
    <t xml:space="preserve">B   E CENTER                       </t>
  </si>
  <si>
    <t xml:space="preserve">FESTO JNB                          </t>
  </si>
  <si>
    <t>DEL NOTE - 4170053994</t>
  </si>
  <si>
    <t>BONGI</t>
  </si>
  <si>
    <t xml:space="preserve">LINDE AND WIEMANN (PTY) LTD        </t>
  </si>
  <si>
    <t>LINDE AND WIEMANN  PTY  LTD</t>
  </si>
  <si>
    <t>rebecca</t>
  </si>
  <si>
    <t>Lion</t>
  </si>
  <si>
    <t>L Venktess</t>
  </si>
  <si>
    <t>patricia</t>
  </si>
  <si>
    <t xml:space="preserve">DSV COURIER                        </t>
  </si>
  <si>
    <t>PHILLIP MATLOU</t>
  </si>
  <si>
    <t>DSV COURIER</t>
  </si>
  <si>
    <t>Beatrice</t>
  </si>
  <si>
    <t xml:space="preserve">robby                         </t>
  </si>
  <si>
    <t xml:space="preserve">POD received from cell 0648735278 M     </t>
  </si>
  <si>
    <t>NAMPAK PRODUCTS LTD T A BEVCAN</t>
  </si>
  <si>
    <t>sandiso</t>
  </si>
  <si>
    <t>Theo</t>
  </si>
  <si>
    <t xml:space="preserve">sibusio                       </t>
  </si>
  <si>
    <t xml:space="preserve">POD received from cell 0738058187 M     </t>
  </si>
  <si>
    <t>desmond</t>
  </si>
  <si>
    <t>Leroy</t>
  </si>
  <si>
    <t>Brown</t>
  </si>
  <si>
    <t>Charles</t>
  </si>
  <si>
    <t>deez</t>
  </si>
  <si>
    <t>preleen</t>
  </si>
  <si>
    <t xml:space="preserve">VOLKSWAGEN OF SA VC3055            </t>
  </si>
  <si>
    <t>VOLKSWAGEN OF SA VC3055</t>
  </si>
  <si>
    <t>gift masinga</t>
  </si>
  <si>
    <t>jemina</t>
  </si>
  <si>
    <t>khanyisani</t>
  </si>
  <si>
    <t>venessa</t>
  </si>
  <si>
    <t>Pelisa</t>
  </si>
  <si>
    <t>Pamela</t>
  </si>
  <si>
    <t>micheal</t>
  </si>
  <si>
    <t>akeisha</t>
  </si>
  <si>
    <t xml:space="preserve">Leanne                        </t>
  </si>
  <si>
    <t xml:space="preserve">POD received from cell 0767738416 M     </t>
  </si>
  <si>
    <t>ANGELINE</t>
  </si>
  <si>
    <t>Leando</t>
  </si>
  <si>
    <t>daj</t>
  </si>
  <si>
    <t xml:space="preserve">HP HOSE   FITTING SPECIALIST C     </t>
  </si>
  <si>
    <t>HP HOSE   FITTING SPECIALIST C</t>
  </si>
  <si>
    <t>Keshni</t>
  </si>
  <si>
    <t>brain</t>
  </si>
  <si>
    <t xml:space="preserve">Mary                          </t>
  </si>
  <si>
    <t xml:space="preserve">POD received from cell 0650974645 M     </t>
  </si>
  <si>
    <t>Leandro</t>
  </si>
  <si>
    <t>Dylan</t>
  </si>
  <si>
    <t>luis</t>
  </si>
  <si>
    <t>k  a  moloto</t>
  </si>
  <si>
    <t xml:space="preserve">ELPACK ELECTRICAL CONTRACTORS      </t>
  </si>
  <si>
    <t>ELPACK ELECTRICAL CONTRACTORS</t>
  </si>
  <si>
    <t>Smart</t>
  </si>
  <si>
    <t>POD received from cell 0677793530 M</t>
  </si>
  <si>
    <t>Lindy</t>
  </si>
  <si>
    <t>LUNGELWA</t>
  </si>
  <si>
    <t>NADINE</t>
  </si>
  <si>
    <t xml:space="preserve">N Mapipa                      </t>
  </si>
  <si>
    <t xml:space="preserve">POD received from cell 0659386993 M     </t>
  </si>
  <si>
    <t xml:space="preserve">George                        </t>
  </si>
  <si>
    <t xml:space="preserve">POD received from cell 0790678352 M     </t>
  </si>
  <si>
    <t>pfatelo</t>
  </si>
  <si>
    <t>WESTO</t>
  </si>
  <si>
    <t>WESTONARIA</t>
  </si>
  <si>
    <t xml:space="preserve">TECROVEER 9PTY) LTD GLENHARVIE     </t>
  </si>
  <si>
    <t>TECROVEER 9PTY  LTD GLENHARVIE</t>
  </si>
  <si>
    <t xml:space="preserve">Jone                          </t>
  </si>
  <si>
    <t xml:space="preserve">POD received from cell 0822397243 M     </t>
  </si>
  <si>
    <t>Dudu</t>
  </si>
  <si>
    <t xml:space="preserve">Marcu                         </t>
  </si>
  <si>
    <t xml:space="preserve">PRIME PRODUCT MANUFACTURING (P     </t>
  </si>
  <si>
    <t>PRIME PRODUCT MANUFACTURING  P</t>
  </si>
  <si>
    <t xml:space="preserve">ERA STENE (PTY) LTD OLIFANTSFO     </t>
  </si>
  <si>
    <t>ERA STENE  PTY  LTD OLIFANTSFO</t>
  </si>
  <si>
    <t>Marco D silva</t>
  </si>
  <si>
    <t xml:space="preserve">STRATEGY ELECTRICAL                </t>
  </si>
  <si>
    <t>STRATEGY ELECTRICAL</t>
  </si>
  <si>
    <t>Trudoux</t>
  </si>
  <si>
    <t>RENNY</t>
  </si>
  <si>
    <t>STANG</t>
  </si>
  <si>
    <t>STANGER</t>
  </si>
  <si>
    <t xml:space="preserve">SAPPI SOUTHERN AFRICA              </t>
  </si>
  <si>
    <t>SAPPI SOUTHERN AFRICA</t>
  </si>
  <si>
    <t xml:space="preserve">danmamz                       </t>
  </si>
  <si>
    <t xml:space="preserve">POD received from cell 0814411638 M     </t>
  </si>
  <si>
    <t>francina</t>
  </si>
  <si>
    <t>POD received from cell 0798404004 M</t>
  </si>
  <si>
    <t>BALF2</t>
  </si>
  <si>
    <t>BALFOUR (TVL)</t>
  </si>
  <si>
    <t xml:space="preserve">KARAN BEEF PTY LTD ORDER NUMBE     </t>
  </si>
  <si>
    <t>KARAN BEEF PTY LTD ORDER NUMBE</t>
  </si>
  <si>
    <t>Hein</t>
  </si>
  <si>
    <t>POD received from cell 0606968550 M</t>
  </si>
  <si>
    <t xml:space="preserve">MCG INDUSTRIAL PTY LTD             </t>
  </si>
  <si>
    <t>MCG INDUSTRIAL PTY LTD</t>
  </si>
  <si>
    <t>molly</t>
  </si>
  <si>
    <t>POD received from cell 0810203149 M</t>
  </si>
  <si>
    <t>theo</t>
  </si>
  <si>
    <t>lordwick</t>
  </si>
  <si>
    <t xml:space="preserve">HUHTAMAKI DIV FLEXIBLE             </t>
  </si>
  <si>
    <t>HUHTAMAKI DIV FLEXIBLE</t>
  </si>
  <si>
    <t>Thulani</t>
  </si>
  <si>
    <t>ATT:ANDREW HALL-ICM ZA1001405294</t>
  </si>
  <si>
    <t>POD received from cell 0648735278 M</t>
  </si>
  <si>
    <t xml:space="preserve">GMC Automation                     </t>
  </si>
  <si>
    <t>Larochelle</t>
  </si>
  <si>
    <t>Boxes</t>
  </si>
  <si>
    <t>enrico</t>
  </si>
  <si>
    <t xml:space="preserve">UNIVERSAL PAPER   PLASTIC (BOP     </t>
  </si>
  <si>
    <t>UNIVERSAL PAPER   PLASTIC  BOP</t>
  </si>
  <si>
    <t>m tsonope</t>
  </si>
  <si>
    <t>0208</t>
  </si>
  <si>
    <t xml:space="preserve">Lucky                         </t>
  </si>
  <si>
    <t>veron</t>
  </si>
  <si>
    <t>signed</t>
  </si>
  <si>
    <t>m  mojapelo</t>
  </si>
  <si>
    <t>Ryan</t>
  </si>
  <si>
    <t xml:space="preserve">FLYETR                        </t>
  </si>
  <si>
    <t>nch</t>
  </si>
  <si>
    <t>Quinton</t>
  </si>
  <si>
    <t xml:space="preserve">S.C JOHNSON   SON SA PTY LTD       </t>
  </si>
  <si>
    <t>S.C JOHNSON   SON SA PTY LTD</t>
  </si>
  <si>
    <t>kabelo</t>
  </si>
  <si>
    <t>Busi</t>
  </si>
  <si>
    <t>Elize</t>
  </si>
  <si>
    <t xml:space="preserve">GREEN S RADIATOR SERVICE PTY L     </t>
  </si>
  <si>
    <t>GREEN S RADIATOR SERVICE PTY L</t>
  </si>
  <si>
    <t>kyle</t>
  </si>
  <si>
    <t>POD received from cell 0834186909 M</t>
  </si>
  <si>
    <t xml:space="preserve">PEDDLE INDUSTRIES                  </t>
  </si>
  <si>
    <t>PEDDLE INDUSTRIES</t>
  </si>
  <si>
    <t>Rodger</t>
  </si>
  <si>
    <t xml:space="preserve">FLLYER                        </t>
  </si>
  <si>
    <t>mhilsng</t>
  </si>
  <si>
    <t>SBONGISENI</t>
  </si>
  <si>
    <t>kian</t>
  </si>
  <si>
    <t xml:space="preserve">T3 PLASTIC PACKAGING TUNNEY EL     </t>
  </si>
  <si>
    <t>T3 PLASTIC PACKAGING TUNNEY EL</t>
  </si>
  <si>
    <t xml:space="preserve">Tyler                         </t>
  </si>
  <si>
    <t xml:space="preserve">POD received from cell 0794077267 M     </t>
  </si>
  <si>
    <t xml:space="preserve">MA AUTOMOTIVE TOOL   DIE  (PTY     </t>
  </si>
  <si>
    <t>MA AUTOMOTIVE TOOL   DIE   PTY</t>
  </si>
  <si>
    <t>Aron</t>
  </si>
  <si>
    <t xml:space="preserve">HULAMIN OPERATIONS (PTY) LTD       </t>
  </si>
  <si>
    <t>HULAMIN OPERATIONS  PTY  LTD</t>
  </si>
  <si>
    <t>Bronwyn</t>
  </si>
  <si>
    <t>ronald</t>
  </si>
  <si>
    <t>medwin</t>
  </si>
  <si>
    <t>POD received from cell 0813352451 M</t>
  </si>
  <si>
    <t>udo</t>
  </si>
  <si>
    <t xml:space="preserve">TOSAS PTY LTD WADEVILLE            </t>
  </si>
  <si>
    <t>TOSAS PTY LTD WADEVILLE</t>
  </si>
  <si>
    <t>andries</t>
  </si>
  <si>
    <t>nokwanda</t>
  </si>
  <si>
    <t xml:space="preserve">louis                         </t>
  </si>
  <si>
    <t xml:space="preserve">PARCXEL                       </t>
  </si>
  <si>
    <t xml:space="preserve">Matthire                      </t>
  </si>
  <si>
    <t xml:space="preserve">POD received from cell 069914459 M      </t>
  </si>
  <si>
    <t xml:space="preserve">SCOTT BRAD ENGINEERING             </t>
  </si>
  <si>
    <t>SCOTT BRAD ENGINEERING</t>
  </si>
  <si>
    <t>Nikita</t>
  </si>
  <si>
    <t>stanely</t>
  </si>
  <si>
    <t xml:space="preserve">GOODYEAR SOUTH AFRICA              </t>
  </si>
  <si>
    <t>GOODYEAR SOUTH AFRICA</t>
  </si>
  <si>
    <t>KEANEN</t>
  </si>
  <si>
    <t xml:space="preserve">PALABORA COPPER (PTY) TD           </t>
  </si>
  <si>
    <t>PALABORA COPPER  PTY  TD</t>
  </si>
  <si>
    <t xml:space="preserve">loscar                        </t>
  </si>
  <si>
    <t xml:space="preserve">POD received from cell 0714955146 M     </t>
  </si>
  <si>
    <t>mhleng</t>
  </si>
  <si>
    <t xml:space="preserve">Moses                         </t>
  </si>
  <si>
    <t xml:space="preserve">POD received from cell 0671865619 M     </t>
  </si>
  <si>
    <t>SHAAKIR</t>
  </si>
  <si>
    <t xml:space="preserve">ivo                           </t>
  </si>
  <si>
    <t>randall</t>
  </si>
  <si>
    <t>claud</t>
  </si>
  <si>
    <t>Casey Leigh</t>
  </si>
  <si>
    <t>AVELA</t>
  </si>
  <si>
    <t xml:space="preserve">L Venkters                    </t>
  </si>
  <si>
    <t>Amanda</t>
  </si>
  <si>
    <t xml:space="preserve">BEARINGS ON CC                     </t>
  </si>
  <si>
    <t>BEARINGS ON CC</t>
  </si>
  <si>
    <t>bashir</t>
  </si>
  <si>
    <t>s mohamed</t>
  </si>
  <si>
    <t>RICARRO</t>
  </si>
  <si>
    <t xml:space="preserve">Ronica                        </t>
  </si>
  <si>
    <t xml:space="preserve">TECHNIQUES FRANCAISES D EXPORT     </t>
  </si>
  <si>
    <t>TECHNIQUES FRANCAISES D EXPORT</t>
  </si>
  <si>
    <t xml:space="preserve">RFG FOODS (PTY) LTD                </t>
  </si>
  <si>
    <t>RFG FOODS  PTY  LTD</t>
  </si>
  <si>
    <t>Ntsako</t>
  </si>
  <si>
    <t>elin</t>
  </si>
  <si>
    <t>jondi</t>
  </si>
  <si>
    <t>080067221145</t>
  </si>
  <si>
    <t xml:space="preserve">FILTAQUIP (PTY) LTD                </t>
  </si>
  <si>
    <t>FILTAQUIP  PTY  LTD</t>
  </si>
  <si>
    <t xml:space="preserve">LUMOTECH PTY LTD                   </t>
  </si>
  <si>
    <t>LUMOTECH PTY LTD</t>
  </si>
  <si>
    <t>awele</t>
  </si>
  <si>
    <t>Danine</t>
  </si>
  <si>
    <t>Andries</t>
  </si>
  <si>
    <t>Nero</t>
  </si>
  <si>
    <t xml:space="preserve">s hallaway                    </t>
  </si>
  <si>
    <t xml:space="preserve">BOXCONTA                      </t>
  </si>
  <si>
    <t xml:space="preserve">JOHN BEAN TECHNOLOGIES PTY LTD     </t>
  </si>
  <si>
    <t>JOHN BEAN TECHNOLOGIES PTY LTD</t>
  </si>
  <si>
    <t>carl</t>
  </si>
  <si>
    <t>Siphwe</t>
  </si>
  <si>
    <t>POD received from cell 0822397243 M</t>
  </si>
  <si>
    <t>sous</t>
  </si>
  <si>
    <t xml:space="preserve">CONSOLIDATED WIRE INDUSTRIES (     </t>
  </si>
  <si>
    <t>CONSOLIDATED WIRE INDUSTRIES</t>
  </si>
  <si>
    <t>Kgopotso</t>
  </si>
  <si>
    <t xml:space="preserve">benita                        </t>
  </si>
  <si>
    <t xml:space="preserve">POD received from cell 0639000995 M     </t>
  </si>
  <si>
    <t>HAZEL</t>
  </si>
  <si>
    <t>JOHNNY</t>
  </si>
  <si>
    <t xml:space="preserve">CAPE GATE (PTY) LTD                </t>
  </si>
  <si>
    <t>CAPE GATE  PTY  LTD</t>
  </si>
  <si>
    <t>mpholo</t>
  </si>
  <si>
    <t xml:space="preserve">SERITI NEW VAAL COLLIERY (MINE     </t>
  </si>
  <si>
    <t>SERITI NEW VAAL COLLIERY  MINE</t>
  </si>
  <si>
    <t>kwandiwe</t>
  </si>
  <si>
    <t>HND / FUE / doc</t>
  </si>
  <si>
    <t>Mpholo</t>
  </si>
  <si>
    <t xml:space="preserve">PRIME INSTRUMENTATION CC RUSTE     </t>
  </si>
  <si>
    <t>PRIME INSTRUMENTATION CC RUSTE</t>
  </si>
  <si>
    <t>albert</t>
  </si>
  <si>
    <t>0300</t>
  </si>
  <si>
    <t xml:space="preserve">INDUS WATER INDUSTRIES PTY LTD     </t>
  </si>
  <si>
    <t>INDUS WATER INDUSTRIES PTY LTD</t>
  </si>
  <si>
    <t>Jay-Z</t>
  </si>
  <si>
    <t>POD received from cell 0664838219 M</t>
  </si>
  <si>
    <t>TUBBING</t>
  </si>
  <si>
    <t xml:space="preserve">GREIF S.A PTY LTD                  </t>
  </si>
  <si>
    <t>GREIF S.A PTY LTD</t>
  </si>
  <si>
    <t>Leacky</t>
  </si>
  <si>
    <t>PLASTIC</t>
  </si>
  <si>
    <t>Alicia</t>
  </si>
  <si>
    <t>ayabalelo</t>
  </si>
  <si>
    <t>BENITA</t>
  </si>
  <si>
    <t>jackie</t>
  </si>
  <si>
    <t xml:space="preserve">Fair Cape Dairies                  </t>
  </si>
  <si>
    <t>OBIE MARTIN</t>
  </si>
  <si>
    <t>NEIL</t>
  </si>
  <si>
    <t>Niall</t>
  </si>
  <si>
    <t>PIERRE</t>
  </si>
  <si>
    <t>cindi</t>
  </si>
  <si>
    <t>hendricK</t>
  </si>
  <si>
    <t>Shalon</t>
  </si>
  <si>
    <t>POD received from cell 0633442020 M</t>
  </si>
  <si>
    <t>EMMANUEL</t>
  </si>
  <si>
    <t xml:space="preserve">ACTUM INDUSTRIAL (PTY) LTD         </t>
  </si>
  <si>
    <t>ACTUM INDUSTRIAL  PTY  LTD</t>
  </si>
  <si>
    <t>siphelele</t>
  </si>
  <si>
    <t>Venkress</t>
  </si>
  <si>
    <t xml:space="preserve">ANG INDUSTRIAL SOLUTIONS PTY 2     </t>
  </si>
  <si>
    <t>ANG INDUSTRIAL SOLUTIONS PTY 2</t>
  </si>
  <si>
    <t xml:space="preserve">PROCESS VALVE CORPORATION CC       </t>
  </si>
  <si>
    <t>PROCESS VALVE CORPORATION CC</t>
  </si>
  <si>
    <t>phully</t>
  </si>
  <si>
    <t xml:space="preserve">LIPTON TEAS AND INFUSION MANUF     </t>
  </si>
  <si>
    <t>LIPTON TEAS AND INFUSION MANUF</t>
  </si>
  <si>
    <t>madonda</t>
  </si>
  <si>
    <t>tebogo</t>
  </si>
  <si>
    <t>illeg</t>
  </si>
  <si>
    <t>Wiuth</t>
  </si>
  <si>
    <t>Hendricks</t>
  </si>
  <si>
    <t xml:space="preserve">TAURUS PAPER PRODUCTS PTY LTD      </t>
  </si>
  <si>
    <t>TAURUS PAPER PRODUCTS PTY LTD</t>
  </si>
  <si>
    <t>Rose</t>
  </si>
  <si>
    <t xml:space="preserve">Danie                         </t>
  </si>
  <si>
    <t xml:space="preserve">POD received from cell 0727824353 M     </t>
  </si>
  <si>
    <t xml:space="preserve">Maxwell                       </t>
  </si>
  <si>
    <t xml:space="preserve">POD received from cell 0767196058 M     </t>
  </si>
  <si>
    <t>F Roux</t>
  </si>
  <si>
    <t>colin</t>
  </si>
  <si>
    <t>bandile z</t>
  </si>
  <si>
    <t>080067185896</t>
  </si>
  <si>
    <t xml:space="preserve">Filtec Automation                  </t>
  </si>
  <si>
    <t>Pooven</t>
  </si>
  <si>
    <t>kavenesh</t>
  </si>
  <si>
    <t xml:space="preserve">Rosema Era Stene                   </t>
  </si>
  <si>
    <t>DRIVER TO COLLECT FROM RECEPTION</t>
  </si>
  <si>
    <t>Roelf</t>
  </si>
  <si>
    <t>Ncube</t>
  </si>
  <si>
    <t xml:space="preserve">RAPID INDUSTRIAL SUPPLIES          </t>
  </si>
  <si>
    <t>RAPID INDUSTRIAL SUPPLIES</t>
  </si>
  <si>
    <t>judith</t>
  </si>
  <si>
    <t>sihle</t>
  </si>
  <si>
    <t>talita</t>
  </si>
  <si>
    <t>James</t>
  </si>
  <si>
    <t xml:space="preserve">SAINT-GOBAIN CONSTRUCTION PROD     </t>
  </si>
  <si>
    <t>SAINT-GOBAIN CONSTRUCTION PROD</t>
  </si>
  <si>
    <t>mtshali</t>
  </si>
  <si>
    <t>POD received from cell 0712942173 M</t>
  </si>
  <si>
    <t>makayla</t>
  </si>
  <si>
    <t>nono</t>
  </si>
  <si>
    <t>Boikie</t>
  </si>
  <si>
    <t>Jemina</t>
  </si>
  <si>
    <t>Neil</t>
  </si>
  <si>
    <t>kezley</t>
  </si>
  <si>
    <t>hendrick</t>
  </si>
  <si>
    <t xml:space="preserve">PREMIER FMCG (PTY) LTD MILL        </t>
  </si>
  <si>
    <t>PREMIER FMCG  PTY  LTD MILL</t>
  </si>
  <si>
    <t>PHILANI</t>
  </si>
  <si>
    <t>Janelle</t>
  </si>
  <si>
    <t xml:space="preserve">parcel                        </t>
  </si>
  <si>
    <t xml:space="preserve">BUCKLE PACKAGING PTY LTD           </t>
  </si>
  <si>
    <t>BUCKLE PACKAGING</t>
  </si>
  <si>
    <t>foster</t>
  </si>
  <si>
    <t xml:space="preserve">SYNC SYSTEMS                       </t>
  </si>
  <si>
    <t>SYNC SYSTEMS</t>
  </si>
  <si>
    <t>Nomelezi</t>
  </si>
  <si>
    <t>mhlanga</t>
  </si>
  <si>
    <t>germond</t>
  </si>
  <si>
    <t>POD received from cell 0766391926 M</t>
  </si>
  <si>
    <t>k ketso</t>
  </si>
  <si>
    <t>vireny</t>
  </si>
  <si>
    <t xml:space="preserve">ACK SOLUTIONS PTY LTD              </t>
  </si>
  <si>
    <t>ACK SOLUTIONS PTY LTD</t>
  </si>
  <si>
    <t>Franklin</t>
  </si>
  <si>
    <t>Terence</t>
  </si>
  <si>
    <t>LEANNY</t>
  </si>
  <si>
    <t>Furek</t>
  </si>
  <si>
    <t>penco</t>
  </si>
  <si>
    <t xml:space="preserve">SP AUTOMOTIVE PROFILE SCALING      </t>
  </si>
  <si>
    <t>SP AUTOMOTIVE PROFILE SCALING</t>
  </si>
  <si>
    <t xml:space="preserve">ROOKAYA                       </t>
  </si>
  <si>
    <t xml:space="preserve">POD received from cell 0763378994 M     </t>
  </si>
  <si>
    <t>cleopas</t>
  </si>
  <si>
    <t>Rebecca</t>
  </si>
  <si>
    <t>lian</t>
  </si>
  <si>
    <t xml:space="preserve">VAAL FLUID SYSTEMS SA (PTY) LT     </t>
  </si>
  <si>
    <t>VAAL FLUID SYSTEMS SA  PTY  LT</t>
  </si>
  <si>
    <t>POD received from cell 0658000098 M</t>
  </si>
  <si>
    <t>SHERANDY</t>
  </si>
  <si>
    <t xml:space="preserve">QUALIPAK (PTY) LTD                 </t>
  </si>
  <si>
    <t>QUALIPAK  PTY  LTD</t>
  </si>
  <si>
    <t>Jamie</t>
  </si>
  <si>
    <t>Mbona</t>
  </si>
  <si>
    <t>Ronica</t>
  </si>
  <si>
    <t>Zithembiso</t>
  </si>
  <si>
    <t>Spar</t>
  </si>
  <si>
    <t xml:space="preserve">PAC VALVES (PTY) LTD NOORDHEUW     </t>
  </si>
  <si>
    <t>PAC VALVES  PTY  LTD NOORDHEUW</t>
  </si>
  <si>
    <t>werner</t>
  </si>
  <si>
    <t xml:space="preserve">VOLKSWAGEN OF SA (PTY) LTD PLN     </t>
  </si>
  <si>
    <t>VOLKSWAGEN OF SA  PTY  LTD PLN</t>
  </si>
  <si>
    <t>sivario</t>
  </si>
  <si>
    <t>ramesh</t>
  </si>
  <si>
    <t>h du Plessis</t>
  </si>
  <si>
    <t>Angel</t>
  </si>
  <si>
    <t xml:space="preserve">PROMAX SIVEX DISTRUBUTORS CC T     </t>
  </si>
  <si>
    <t>PROMAX SIVEX DISTRUBUTORS CC T</t>
  </si>
  <si>
    <t>K MOLOTO</t>
  </si>
  <si>
    <t>bandile</t>
  </si>
  <si>
    <t>Even</t>
  </si>
  <si>
    <t>Johny</t>
  </si>
  <si>
    <t>Ryno</t>
  </si>
  <si>
    <t>godfrey</t>
  </si>
  <si>
    <t>kenny</t>
  </si>
  <si>
    <t>Vick</t>
  </si>
  <si>
    <t>Louis</t>
  </si>
  <si>
    <t>mandela</t>
  </si>
  <si>
    <t xml:space="preserve">BULK TECHNIK CC                    </t>
  </si>
  <si>
    <t>BULK TECHNIK CC</t>
  </si>
  <si>
    <t>Colleen</t>
  </si>
  <si>
    <t>POD received from cell 0736404152 M</t>
  </si>
  <si>
    <t xml:space="preserve">AE MANUFACTURING DEAL PARTY PO     </t>
  </si>
  <si>
    <t>AE MANUFACTURING DEAL PARTY PO</t>
  </si>
  <si>
    <t>craig</t>
  </si>
  <si>
    <t xml:space="preserve">HAUTES TERRES D AFRIQUE CC T A     </t>
  </si>
  <si>
    <t>HAUTES TERRES D AFRIQUE CC T A</t>
  </si>
  <si>
    <t>Mpho</t>
  </si>
  <si>
    <t>Willem</t>
  </si>
  <si>
    <t>trevor</t>
  </si>
  <si>
    <t xml:space="preserve">PRIMO HOLDINGS                     </t>
  </si>
  <si>
    <t>PRIMO HOLDINGS</t>
  </si>
  <si>
    <t>yugna</t>
  </si>
  <si>
    <t xml:space="preserve">NOVUS PRINT (PTY) LTD MILNERTO     </t>
  </si>
  <si>
    <t>NOVUS PRINT  PTY  LTD MILNERTO</t>
  </si>
  <si>
    <t>Joanna</t>
  </si>
  <si>
    <t>B Sold</t>
  </si>
  <si>
    <t>CHANDRE</t>
  </si>
  <si>
    <t>POD received from cell 0635405678 M</t>
  </si>
  <si>
    <t>isbourne</t>
  </si>
  <si>
    <t xml:space="preserve">FLYR                          </t>
  </si>
  <si>
    <t xml:space="preserve">PAKPAL (PTY) LTD EKANDUSTRIA       </t>
  </si>
  <si>
    <t>PAKPAL  PTY  LTD EKANDUSTRIA</t>
  </si>
  <si>
    <t>FO B ning</t>
  </si>
  <si>
    <t xml:space="preserve">CALIBRE LIFE SCIENCE (PTY) LTD     </t>
  </si>
  <si>
    <t>CALIBRE LIFE SCIENCE  PTY  LTD</t>
  </si>
  <si>
    <t>DELIA</t>
  </si>
  <si>
    <t>shaan</t>
  </si>
  <si>
    <t>ERIC</t>
  </si>
  <si>
    <t>osborne</t>
  </si>
  <si>
    <t xml:space="preserve">FLYERR                        </t>
  </si>
  <si>
    <t xml:space="preserve">FACTORY AUTOMATION AND ENGINEE     </t>
  </si>
  <si>
    <t>FACTORY AUTOMATION AND ENGINEE</t>
  </si>
  <si>
    <t>POD received from cell 0765529777 M</t>
  </si>
  <si>
    <t>0017</t>
  </si>
  <si>
    <t>Veronica</t>
  </si>
  <si>
    <t>doc / DOC / FUE / INS</t>
  </si>
  <si>
    <t>FES CUST 20250811 51 - BACK TO CUSTOMER</t>
  </si>
  <si>
    <t>LAMIE</t>
  </si>
  <si>
    <t>DOC / DOC</t>
  </si>
  <si>
    <t>LOUTA</t>
  </si>
  <si>
    <t>tracy</t>
  </si>
  <si>
    <t>POD received from cell 0719539417 M</t>
  </si>
  <si>
    <t xml:space="preserve">Kathleen                      </t>
  </si>
  <si>
    <t>POD received from cell 0682194514 M</t>
  </si>
  <si>
    <t>LOURE</t>
  </si>
  <si>
    <t>Mahlatse</t>
  </si>
  <si>
    <t>sam</t>
  </si>
  <si>
    <t xml:space="preserve">kurt                          </t>
  </si>
  <si>
    <t xml:space="preserve">POD received from cell 0711146140 M     </t>
  </si>
  <si>
    <t>NCEBO</t>
  </si>
  <si>
    <t>POD received from cell 0765666036 M</t>
  </si>
  <si>
    <t xml:space="preserve">Asanda                        </t>
  </si>
  <si>
    <t>tumiso</t>
  </si>
  <si>
    <t>Garvin</t>
  </si>
  <si>
    <t xml:space="preserve">AUTOMATION WORKS GAUTENG (PTY)     </t>
  </si>
  <si>
    <t>AUTOMATION WORKS GAUTENG  PTY</t>
  </si>
  <si>
    <t>Senzeni</t>
  </si>
  <si>
    <t>POD received from cell 0659348365 M</t>
  </si>
  <si>
    <t>esther</t>
  </si>
  <si>
    <t>Niren</t>
  </si>
  <si>
    <t>LETISIA</t>
  </si>
  <si>
    <t xml:space="preserve">m van Der nest                </t>
  </si>
  <si>
    <t xml:space="preserve">POD received from cell 0644881838 M     </t>
  </si>
  <si>
    <t xml:space="preserve">TOPLINE TOOLING (PTY) LTD          </t>
  </si>
  <si>
    <t>TOPLINE TOOLING  PTY  LTD</t>
  </si>
  <si>
    <t>jerry</t>
  </si>
  <si>
    <t>Abraham</t>
  </si>
  <si>
    <t xml:space="preserve">PSA TECHNOLOGY GROUP PTY LTD E     </t>
  </si>
  <si>
    <t>PSA TECHNOLOGY GROUP PTY LTD E</t>
  </si>
  <si>
    <t>amith</t>
  </si>
  <si>
    <t>WISEMANE</t>
  </si>
  <si>
    <t xml:space="preserve">madlewa                       </t>
  </si>
  <si>
    <t xml:space="preserve">Janelle                       </t>
  </si>
  <si>
    <t xml:space="preserve">KS INDUSTRIAL AUTOMATION PARAD     </t>
  </si>
  <si>
    <t>KS INDUSTRIAL AUTOMATION PARAD</t>
  </si>
  <si>
    <t>Minenhle</t>
  </si>
  <si>
    <t>ntabeleng</t>
  </si>
  <si>
    <t xml:space="preserve">PMD PACKAGING SYSTEMS              </t>
  </si>
  <si>
    <t>PMD PACKAGING SYSTEMS</t>
  </si>
  <si>
    <t>MASH</t>
  </si>
  <si>
    <t>Aliston</t>
  </si>
  <si>
    <t>Lester</t>
  </si>
  <si>
    <t xml:space="preserve">CAXTON WORKS                       </t>
  </si>
  <si>
    <t>CAXTON WORKS</t>
  </si>
  <si>
    <t>Eugene</t>
  </si>
  <si>
    <t xml:space="preserve">nadine                        </t>
  </si>
  <si>
    <t xml:space="preserve">STAND BA                      </t>
  </si>
  <si>
    <t>Reggie</t>
  </si>
  <si>
    <t xml:space="preserve">ACTIVE ENTERPRISES CC              </t>
  </si>
  <si>
    <t>ACTIVE ENTERPRISES CC</t>
  </si>
  <si>
    <t>Cleo</t>
  </si>
  <si>
    <t>W Smith</t>
  </si>
  <si>
    <t xml:space="preserve">CHEMLINK SA (PTY) LTD              </t>
  </si>
  <si>
    <t>CHEMLINK SA  PTY  LTD</t>
  </si>
  <si>
    <t>Thapelo</t>
  </si>
  <si>
    <t xml:space="preserve">HYDRAULIC AND PNEUMATIC HUB GR     </t>
  </si>
  <si>
    <t>HYDRAULIC AND PNEUMATIC HUB GR</t>
  </si>
  <si>
    <t>Bernice</t>
  </si>
  <si>
    <t xml:space="preserve">victor                        </t>
  </si>
  <si>
    <t xml:space="preserve">FOODCORP (PTY) LTD T A SUNBAKE     </t>
  </si>
  <si>
    <t>FOODCORP  PTY  LTD T A SUNBAKE</t>
  </si>
  <si>
    <t xml:space="preserve">Lariette                      </t>
  </si>
  <si>
    <t xml:space="preserve">WINTERTIDE TRADING 69 T A P AN     </t>
  </si>
  <si>
    <t>WINTERTIDE TRADING 69 T A P AN</t>
  </si>
  <si>
    <t>JAMIE</t>
  </si>
  <si>
    <t>m DE wet</t>
  </si>
  <si>
    <t>Kenneth</t>
  </si>
  <si>
    <t xml:space="preserve">DHL SUPPLY CHAIN                   </t>
  </si>
  <si>
    <t>Huzaitoh</t>
  </si>
  <si>
    <t xml:space="preserve">OWL RAGEOUS (PTY LTD ATLASVILL     </t>
  </si>
  <si>
    <t>OWL RAGEOUS  PTY LTD ATLASVILL</t>
  </si>
  <si>
    <t>Naomi</t>
  </si>
  <si>
    <t xml:space="preserve">PTA BEARINGS                       </t>
  </si>
  <si>
    <t>PTA BEARINGS</t>
  </si>
  <si>
    <t>0154</t>
  </si>
  <si>
    <t>QUEEN</t>
  </si>
  <si>
    <t>QUEENSTOWN</t>
  </si>
  <si>
    <t xml:space="preserve">TRUDA FOODS (PTY) LTD QUEENSTO     </t>
  </si>
  <si>
    <t>TRUDA FOODS  PTY  LTD QUEENSTO</t>
  </si>
  <si>
    <t xml:space="preserve">JOHN BEAN TECHNOLOGIES (PTY) L     </t>
  </si>
  <si>
    <t>JOHN BEAN TECHNOLOGIES  PTY  L</t>
  </si>
  <si>
    <t>Hermanus</t>
  </si>
  <si>
    <t xml:space="preserve">priest                        </t>
  </si>
  <si>
    <t>JAPPIE</t>
  </si>
  <si>
    <t xml:space="preserve">PRIDE MILLING CO (PTY) LTD         </t>
  </si>
  <si>
    <t>PRIDE MILLING CO  PTY  LTD</t>
  </si>
  <si>
    <t>marlene</t>
  </si>
  <si>
    <t>NEROSHA</t>
  </si>
  <si>
    <t>Lwandle</t>
  </si>
  <si>
    <t>POD received from cell 0793296651 M</t>
  </si>
  <si>
    <t>renaldo</t>
  </si>
  <si>
    <t>k a moloto</t>
  </si>
  <si>
    <t xml:space="preserve">phayal                        </t>
  </si>
  <si>
    <t xml:space="preserve">POD received from cell 0844020000 M     </t>
  </si>
  <si>
    <t xml:space="preserve">AVON PEAKING POWER ATTN: SIBON     </t>
  </si>
  <si>
    <t>AVON PEAKING POWER ATTN  SIBON</t>
  </si>
  <si>
    <t>Sinless Xulu</t>
  </si>
  <si>
    <t xml:space="preserve">kathleen                      </t>
  </si>
  <si>
    <t>Jaco</t>
  </si>
  <si>
    <t xml:space="preserve">KIMBERLY CLARK S.A                 </t>
  </si>
  <si>
    <t>KIMBERLY CLARK S.A</t>
  </si>
  <si>
    <t xml:space="preserve">Adrian                        </t>
  </si>
  <si>
    <t xml:space="preserve">POD received from cell 0761265903 M     </t>
  </si>
  <si>
    <t>Maui</t>
  </si>
  <si>
    <t>CLINTON NDLOVU</t>
  </si>
  <si>
    <t>neil</t>
  </si>
  <si>
    <t>POD received from cell 0614531552 M</t>
  </si>
  <si>
    <t xml:space="preserve">THUTHUKA PACKAGING (PTY) LTD       </t>
  </si>
  <si>
    <t>THUTHUKA PACKAGING  PTY  LTD</t>
  </si>
  <si>
    <t>simon</t>
  </si>
  <si>
    <t>SOME1</t>
  </si>
  <si>
    <t>SOMERSET EAST</t>
  </si>
  <si>
    <t xml:space="preserve">P.J. ENGINEERING                   </t>
  </si>
  <si>
    <t>P.J. ENGINEERING</t>
  </si>
  <si>
    <t>Ramatsela</t>
  </si>
  <si>
    <t>AVION EAST RAND  PTY  LTD</t>
  </si>
  <si>
    <t>BOTRI</t>
  </si>
  <si>
    <t>BOTRIVIER</t>
  </si>
  <si>
    <t xml:space="preserve">NLO INFORMATION SYSTEMS (PTY)      </t>
  </si>
  <si>
    <t>NLO INFORMATION SYSTEMS  PTY</t>
  </si>
  <si>
    <t xml:space="preserve">A C PNEUMATICS                     </t>
  </si>
  <si>
    <t>A C PNEUMATICS</t>
  </si>
  <si>
    <t>Erick</t>
  </si>
  <si>
    <t>eric</t>
  </si>
  <si>
    <t xml:space="preserve">CEMPACK TREVOC MANAGEMENT SERV     </t>
  </si>
  <si>
    <t>CEMPACK TREVOC MANAGEMENT SERV</t>
  </si>
  <si>
    <t xml:space="preserve">BOX: CON                      </t>
  </si>
  <si>
    <t>cleo</t>
  </si>
  <si>
    <t xml:space="preserve">ANATECH INSTRUMENTS (PTY) LTD      </t>
  </si>
  <si>
    <t>ANATECH INSTRUMENTS  PTY  LTD</t>
  </si>
  <si>
    <t xml:space="preserve">FEDERAL MOGUL VALVES (PTY) LTD     </t>
  </si>
  <si>
    <t>FEDERAL MOGUL VALVES  PTY  LTD</t>
  </si>
  <si>
    <t xml:space="preserve">DUNLOP INDUSTRIAL PRODUCTS T A     </t>
  </si>
  <si>
    <t>DUNLOP INDUSTRIAL PRODUCTS T A</t>
  </si>
  <si>
    <t xml:space="preserve">THE SIMBA GROUP LTD                </t>
  </si>
  <si>
    <t>THE SIMBA GROUP</t>
  </si>
  <si>
    <t>Jaques</t>
  </si>
  <si>
    <t xml:space="preserve">HITACHI CONSTRUCTION MACHINERY     </t>
  </si>
  <si>
    <t>HITACHI CONSTRUCTION MACHINERY</t>
  </si>
  <si>
    <t xml:space="preserve">Hydraquip                          </t>
  </si>
  <si>
    <t>PLEASE COLLECT BEFORE 3PM</t>
  </si>
  <si>
    <t>Leroy le Riche</t>
  </si>
  <si>
    <t xml:space="preserve">Supplyrite                         </t>
  </si>
  <si>
    <t>KC</t>
  </si>
  <si>
    <t xml:space="preserve">Bowler Plastics                    </t>
  </si>
  <si>
    <t xml:space="preserve">Qualitech                          </t>
  </si>
  <si>
    <t>Henrdick</t>
  </si>
  <si>
    <t>Theo Nyathi</t>
  </si>
  <si>
    <t>Flyer</t>
  </si>
  <si>
    <t>Luzelle</t>
  </si>
  <si>
    <t xml:space="preserve">CIM Automation                     </t>
  </si>
  <si>
    <t>Janelle Adams</t>
  </si>
  <si>
    <t>Zandile</t>
  </si>
  <si>
    <t xml:space="preserve">VOESTALPINE AUTOMOTIVE COMPONE     </t>
  </si>
  <si>
    <t>VOESTALPINE AUTOMOTIVE COMPONE</t>
  </si>
  <si>
    <t>FESTO PORT ELIZABETH JANSE VAN</t>
  </si>
  <si>
    <t>PIETER COX</t>
  </si>
  <si>
    <t>BAGTECH INTERNATIONAL PTY LTD</t>
  </si>
  <si>
    <t xml:space="preserve">TFE South Africa (Pty) Ltd         </t>
  </si>
  <si>
    <t>RECEIVING</t>
  </si>
  <si>
    <t>POD received from cell 0680067827 M</t>
  </si>
  <si>
    <t xml:space="preserve">ESKORT MEAT HEIDELBERG             </t>
  </si>
  <si>
    <t>ESKORT MEAT HEIDELBERG</t>
  </si>
  <si>
    <t xml:space="preserve">WOODEN C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</si>
</sst>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774B-2E05-4DD5-B001-42A175DC9598}">
  <dimension ref="A1:CN2575"/>
  <sheetViews>
    <sheetView tabSelected="1" topLeftCell="A2565" workbookViewId="0">
      <selection activeCell="A2576" sqref="A2576:XFD3272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"080067063786"</f>
        <v>080067063786</v>
      </c>
      <c r="F2" s="3">
        <v>45875</v>
      </c>
      <c r="G2">
        <v>202605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"4170053071                    "</f>
        <v xml:space="preserve">4170053071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1.4</v>
      </c>
      <c r="BK2">
        <v>2</v>
      </c>
      <c r="BL2">
        <v>0</v>
      </c>
      <c r="BM2">
        <v>0</v>
      </c>
      <c r="BN2">
        <v>0</v>
      </c>
      <c r="BO2">
        <v>0</v>
      </c>
      <c r="BQ2" t="s">
        <v>83</v>
      </c>
      <c r="BR2" t="s">
        <v>84</v>
      </c>
      <c r="BS2" s="3">
        <v>45875</v>
      </c>
      <c r="BT2" s="4">
        <v>0.71319444444444446</v>
      </c>
      <c r="BU2" t="s">
        <v>85</v>
      </c>
      <c r="BV2" t="s">
        <v>86</v>
      </c>
      <c r="BY2">
        <v>7000</v>
      </c>
      <c r="BZ2" t="s">
        <v>87</v>
      </c>
      <c r="CA2" t="s">
        <v>88</v>
      </c>
      <c r="CC2" t="s">
        <v>80</v>
      </c>
      <c r="CD2">
        <v>1422</v>
      </c>
      <c r="CE2" t="s">
        <v>89</v>
      </c>
      <c r="CF2" s="3">
        <v>45876</v>
      </c>
      <c r="CI2">
        <v>1</v>
      </c>
      <c r="CJ2">
        <v>0</v>
      </c>
      <c r="CK2">
        <v>-1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"080011583666"</f>
        <v>080011583666</v>
      </c>
      <c r="F3" s="3">
        <v>45870</v>
      </c>
      <c r="G3">
        <v>202605</v>
      </c>
      <c r="H3" t="s">
        <v>91</v>
      </c>
      <c r="I3" t="s">
        <v>92</v>
      </c>
      <c r="J3" t="s">
        <v>93</v>
      </c>
      <c r="K3" t="s">
        <v>78</v>
      </c>
      <c r="L3" t="s">
        <v>75</v>
      </c>
      <c r="M3" t="s">
        <v>76</v>
      </c>
      <c r="N3" t="s">
        <v>94</v>
      </c>
      <c r="O3" t="s">
        <v>95</v>
      </c>
      <c r="P3" t="str">
        <f>"ZA1001401019                  "</f>
        <v xml:space="preserve">ZA1001401019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59.94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12</v>
      </c>
      <c r="BJ3">
        <v>24</v>
      </c>
      <c r="BK3">
        <v>24</v>
      </c>
      <c r="BL3">
        <v>194.71</v>
      </c>
      <c r="BM3">
        <v>29.21</v>
      </c>
      <c r="BN3">
        <v>223.92</v>
      </c>
      <c r="BO3">
        <v>223.92</v>
      </c>
      <c r="BP3" t="s">
        <v>96</v>
      </c>
      <c r="BQ3" t="s">
        <v>97</v>
      </c>
      <c r="BR3" t="s">
        <v>98</v>
      </c>
      <c r="BS3" s="3">
        <v>45873</v>
      </c>
      <c r="BT3" s="4">
        <v>0.39027777777777778</v>
      </c>
      <c r="BU3" t="s">
        <v>99</v>
      </c>
      <c r="BV3" t="s">
        <v>86</v>
      </c>
      <c r="BY3">
        <v>120000</v>
      </c>
      <c r="BZ3" t="s">
        <v>100</v>
      </c>
      <c r="CA3" t="s">
        <v>101</v>
      </c>
      <c r="CC3" t="s">
        <v>76</v>
      </c>
      <c r="CD3">
        <v>1619</v>
      </c>
      <c r="CE3" t="s">
        <v>102</v>
      </c>
      <c r="CF3" s="3">
        <v>45873</v>
      </c>
      <c r="CI3">
        <v>1</v>
      </c>
      <c r="CJ3">
        <v>1</v>
      </c>
      <c r="CK3">
        <v>41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"080066943184"</f>
        <v>080066943184</v>
      </c>
      <c r="F4" s="3">
        <v>45870</v>
      </c>
      <c r="G4">
        <v>202605</v>
      </c>
      <c r="H4" t="s">
        <v>75</v>
      </c>
      <c r="I4" t="s">
        <v>76</v>
      </c>
      <c r="J4" t="s">
        <v>77</v>
      </c>
      <c r="K4" t="s">
        <v>78</v>
      </c>
      <c r="L4" t="s">
        <v>103</v>
      </c>
      <c r="M4" t="s">
        <v>104</v>
      </c>
      <c r="N4" t="s">
        <v>105</v>
      </c>
      <c r="O4" t="s">
        <v>82</v>
      </c>
      <c r="P4" t="str">
        <f>"4170052394                    "</f>
        <v xml:space="preserve">4170052394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43.78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137.94</v>
      </c>
      <c r="BM4">
        <v>20.69</v>
      </c>
      <c r="BN4">
        <v>158.63</v>
      </c>
      <c r="BO4">
        <v>158.63</v>
      </c>
      <c r="BQ4" t="s">
        <v>106</v>
      </c>
      <c r="BR4" t="s">
        <v>84</v>
      </c>
      <c r="BS4" s="3">
        <v>45873</v>
      </c>
      <c r="BT4" s="4">
        <v>0.58402777777777781</v>
      </c>
      <c r="BU4" t="s">
        <v>107</v>
      </c>
      <c r="BV4" t="s">
        <v>86</v>
      </c>
      <c r="BY4">
        <v>1200</v>
      </c>
      <c r="CA4" t="s">
        <v>108</v>
      </c>
      <c r="CC4" t="s">
        <v>104</v>
      </c>
      <c r="CD4">
        <v>2380</v>
      </c>
      <c r="CE4" t="s">
        <v>109</v>
      </c>
      <c r="CF4" s="3">
        <v>45874</v>
      </c>
      <c r="CI4">
        <v>1</v>
      </c>
      <c r="CJ4">
        <v>1</v>
      </c>
      <c r="CK4">
        <v>23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"080066943229"</f>
        <v>080066943229</v>
      </c>
      <c r="F5" s="3">
        <v>45870</v>
      </c>
      <c r="G5">
        <v>202605</v>
      </c>
      <c r="H5" t="s">
        <v>75</v>
      </c>
      <c r="I5" t="s">
        <v>76</v>
      </c>
      <c r="J5" t="s">
        <v>77</v>
      </c>
      <c r="K5" t="s">
        <v>78</v>
      </c>
      <c r="L5" t="s">
        <v>110</v>
      </c>
      <c r="M5" t="s">
        <v>111</v>
      </c>
      <c r="N5" t="s">
        <v>112</v>
      </c>
      <c r="O5" t="s">
        <v>113</v>
      </c>
      <c r="P5" t="str">
        <f>"4170052386                    "</f>
        <v xml:space="preserve">4170052386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17.66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</v>
      </c>
      <c r="BJ5">
        <v>5.9</v>
      </c>
      <c r="BK5">
        <v>6</v>
      </c>
      <c r="BL5">
        <v>55.63</v>
      </c>
      <c r="BM5">
        <v>8.34</v>
      </c>
      <c r="BN5">
        <v>63.97</v>
      </c>
      <c r="BO5">
        <v>63.97</v>
      </c>
      <c r="BQ5" t="s">
        <v>114</v>
      </c>
      <c r="BR5" t="s">
        <v>84</v>
      </c>
      <c r="BS5" s="3">
        <v>45873</v>
      </c>
      <c r="BT5" s="4">
        <v>0.39930555555555558</v>
      </c>
      <c r="BU5" t="s">
        <v>115</v>
      </c>
      <c r="BV5" t="s">
        <v>86</v>
      </c>
      <c r="BY5">
        <v>29376</v>
      </c>
      <c r="CA5" t="s">
        <v>116</v>
      </c>
      <c r="CC5" t="s">
        <v>111</v>
      </c>
      <c r="CD5">
        <v>2156</v>
      </c>
      <c r="CE5" t="s">
        <v>117</v>
      </c>
      <c r="CF5" s="3">
        <v>45873</v>
      </c>
      <c r="CI5">
        <v>1</v>
      </c>
      <c r="CJ5">
        <v>1</v>
      </c>
      <c r="CK5">
        <v>32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"080066943235"</f>
        <v>080066943235</v>
      </c>
      <c r="F6" s="3">
        <v>45870</v>
      </c>
      <c r="G6">
        <v>202605</v>
      </c>
      <c r="H6" t="s">
        <v>75</v>
      </c>
      <c r="I6" t="s">
        <v>76</v>
      </c>
      <c r="J6" t="s">
        <v>77</v>
      </c>
      <c r="K6" t="s">
        <v>78</v>
      </c>
      <c r="L6" t="s">
        <v>118</v>
      </c>
      <c r="M6" t="s">
        <v>118</v>
      </c>
      <c r="N6" t="s">
        <v>119</v>
      </c>
      <c r="O6" t="s">
        <v>82</v>
      </c>
      <c r="P6" t="str">
        <f>"4170052408                    "</f>
        <v xml:space="preserve">4170052408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43.78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137.94</v>
      </c>
      <c r="BM6">
        <v>20.69</v>
      </c>
      <c r="BN6">
        <v>158.63</v>
      </c>
      <c r="BO6">
        <v>158.63</v>
      </c>
      <c r="BQ6" t="s">
        <v>120</v>
      </c>
      <c r="BR6" t="s">
        <v>84</v>
      </c>
      <c r="BS6" s="3">
        <v>45873</v>
      </c>
      <c r="BT6" s="4">
        <v>0.50486111111111109</v>
      </c>
      <c r="BU6" t="s">
        <v>121</v>
      </c>
      <c r="BV6" t="s">
        <v>86</v>
      </c>
      <c r="BY6">
        <v>1200</v>
      </c>
      <c r="CA6" t="s">
        <v>122</v>
      </c>
      <c r="CC6" t="s">
        <v>118</v>
      </c>
      <c r="CD6">
        <v>7646</v>
      </c>
      <c r="CE6" t="s">
        <v>109</v>
      </c>
      <c r="CF6" s="3">
        <v>45874</v>
      </c>
      <c r="CI6">
        <v>1</v>
      </c>
      <c r="CJ6">
        <v>1</v>
      </c>
      <c r="CK6">
        <v>23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"080066943284"</f>
        <v>080066943284</v>
      </c>
      <c r="F7" s="3">
        <v>45870</v>
      </c>
      <c r="G7">
        <v>202605</v>
      </c>
      <c r="H7" t="s">
        <v>75</v>
      </c>
      <c r="I7" t="s">
        <v>76</v>
      </c>
      <c r="J7" t="s">
        <v>77</v>
      </c>
      <c r="K7" t="s">
        <v>78</v>
      </c>
      <c r="L7" t="s">
        <v>123</v>
      </c>
      <c r="M7" t="s">
        <v>124</v>
      </c>
      <c r="N7" t="s">
        <v>125</v>
      </c>
      <c r="O7" t="s">
        <v>82</v>
      </c>
      <c r="P7" t="str">
        <f>"4170052389                    "</f>
        <v xml:space="preserve">4170052389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22.6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71.2</v>
      </c>
      <c r="BM7">
        <v>10.68</v>
      </c>
      <c r="BN7">
        <v>81.88</v>
      </c>
      <c r="BO7">
        <v>81.88</v>
      </c>
      <c r="BQ7" t="s">
        <v>126</v>
      </c>
      <c r="BR7" t="s">
        <v>84</v>
      </c>
      <c r="BS7" s="3">
        <v>45873</v>
      </c>
      <c r="BT7" s="4">
        <v>0.33888888888888891</v>
      </c>
      <c r="BU7" t="s">
        <v>127</v>
      </c>
      <c r="BV7" t="s">
        <v>86</v>
      </c>
      <c r="BY7">
        <v>1200</v>
      </c>
      <c r="CA7" t="s">
        <v>128</v>
      </c>
      <c r="CC7" t="s">
        <v>124</v>
      </c>
      <c r="CD7">
        <v>7530</v>
      </c>
      <c r="CE7" t="s">
        <v>109</v>
      </c>
      <c r="CF7" s="3">
        <v>45874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"080066944129"</f>
        <v>080066944129</v>
      </c>
      <c r="F8" s="3">
        <v>45870</v>
      </c>
      <c r="G8">
        <v>202605</v>
      </c>
      <c r="H8" t="s">
        <v>75</v>
      </c>
      <c r="I8" t="s">
        <v>76</v>
      </c>
      <c r="J8" t="s">
        <v>77</v>
      </c>
      <c r="K8" t="s">
        <v>78</v>
      </c>
      <c r="L8" t="s">
        <v>129</v>
      </c>
      <c r="M8" t="s">
        <v>130</v>
      </c>
      <c r="N8" t="s">
        <v>131</v>
      </c>
      <c r="O8" t="s">
        <v>82</v>
      </c>
      <c r="P8" t="str">
        <f>"4170052388                    "</f>
        <v xml:space="preserve">4170052388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71.2</v>
      </c>
      <c r="BM8">
        <v>10.68</v>
      </c>
      <c r="BN8">
        <v>81.88</v>
      </c>
      <c r="BO8">
        <v>81.88</v>
      </c>
      <c r="BQ8" t="s">
        <v>132</v>
      </c>
      <c r="BR8" t="s">
        <v>84</v>
      </c>
      <c r="BS8" s="3">
        <v>45873</v>
      </c>
      <c r="BT8" s="4">
        <v>0.67777777777777781</v>
      </c>
      <c r="BU8" t="s">
        <v>133</v>
      </c>
      <c r="BV8" t="s">
        <v>90</v>
      </c>
      <c r="BW8" t="s">
        <v>134</v>
      </c>
      <c r="BX8" t="s">
        <v>135</v>
      </c>
      <c r="BY8">
        <v>1200</v>
      </c>
      <c r="CA8" t="s">
        <v>136</v>
      </c>
      <c r="CC8" t="s">
        <v>130</v>
      </c>
      <c r="CD8">
        <v>4133</v>
      </c>
      <c r="CE8" t="s">
        <v>109</v>
      </c>
      <c r="CF8" s="3">
        <v>45873</v>
      </c>
      <c r="CI8">
        <v>1</v>
      </c>
      <c r="CJ8">
        <v>1</v>
      </c>
      <c r="CK8">
        <v>21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"080066944158"</f>
        <v>080066944158</v>
      </c>
      <c r="F9" s="3">
        <v>45870</v>
      </c>
      <c r="G9">
        <v>202605</v>
      </c>
      <c r="H9" t="s">
        <v>75</v>
      </c>
      <c r="I9" t="s">
        <v>76</v>
      </c>
      <c r="J9" t="s">
        <v>77</v>
      </c>
      <c r="K9" t="s">
        <v>78</v>
      </c>
      <c r="L9" t="s">
        <v>137</v>
      </c>
      <c r="M9" t="s">
        <v>138</v>
      </c>
      <c r="N9" t="s">
        <v>139</v>
      </c>
      <c r="O9" t="s">
        <v>82</v>
      </c>
      <c r="P9" t="str">
        <f>"4170052365                    "</f>
        <v xml:space="preserve">4170052365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22.6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71.2</v>
      </c>
      <c r="BM9">
        <v>10.68</v>
      </c>
      <c r="BN9">
        <v>81.88</v>
      </c>
      <c r="BO9">
        <v>81.88</v>
      </c>
      <c r="BQ9" t="s">
        <v>140</v>
      </c>
      <c r="BR9" t="s">
        <v>84</v>
      </c>
      <c r="BS9" s="3">
        <v>45873</v>
      </c>
      <c r="BT9" s="4">
        <v>0.46597222222222223</v>
      </c>
      <c r="BU9" t="s">
        <v>141</v>
      </c>
      <c r="BV9" t="s">
        <v>90</v>
      </c>
      <c r="BW9" t="s">
        <v>134</v>
      </c>
      <c r="BX9" t="s">
        <v>135</v>
      </c>
      <c r="BY9">
        <v>1200</v>
      </c>
      <c r="CA9" t="s">
        <v>142</v>
      </c>
      <c r="CC9" t="s">
        <v>138</v>
      </c>
      <c r="CD9">
        <v>3620</v>
      </c>
      <c r="CE9" t="s">
        <v>109</v>
      </c>
      <c r="CF9" s="3">
        <v>45873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"080066944181"</f>
        <v>080066944181</v>
      </c>
      <c r="F10" s="3">
        <v>45870</v>
      </c>
      <c r="G10">
        <v>202605</v>
      </c>
      <c r="H10" t="s">
        <v>75</v>
      </c>
      <c r="I10" t="s">
        <v>76</v>
      </c>
      <c r="J10" t="s">
        <v>77</v>
      </c>
      <c r="K10" t="s">
        <v>78</v>
      </c>
      <c r="L10" t="s">
        <v>75</v>
      </c>
      <c r="M10" t="s">
        <v>76</v>
      </c>
      <c r="N10" t="s">
        <v>143</v>
      </c>
      <c r="O10" t="s">
        <v>82</v>
      </c>
      <c r="P10" t="str">
        <f>"4170052396                    "</f>
        <v xml:space="preserve">4170052396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17.649999999999999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</v>
      </c>
      <c r="BJ10">
        <v>1.9</v>
      </c>
      <c r="BK10">
        <v>4</v>
      </c>
      <c r="BL10">
        <v>55.61</v>
      </c>
      <c r="BM10">
        <v>8.34</v>
      </c>
      <c r="BN10">
        <v>63.95</v>
      </c>
      <c r="BO10">
        <v>63.95</v>
      </c>
      <c r="BQ10" t="s">
        <v>144</v>
      </c>
      <c r="BR10" t="s">
        <v>84</v>
      </c>
      <c r="BS10" s="3">
        <v>45873</v>
      </c>
      <c r="BT10" s="4">
        <v>0.51875000000000004</v>
      </c>
      <c r="BU10" t="s">
        <v>145</v>
      </c>
      <c r="BV10" t="s">
        <v>90</v>
      </c>
      <c r="BY10">
        <v>9600</v>
      </c>
      <c r="CA10" t="s">
        <v>146</v>
      </c>
      <c r="CC10" t="s">
        <v>76</v>
      </c>
      <c r="CD10">
        <v>1610</v>
      </c>
      <c r="CE10" t="s">
        <v>147</v>
      </c>
      <c r="CF10" s="3">
        <v>45874</v>
      </c>
      <c r="CI10">
        <v>1</v>
      </c>
      <c r="CJ10">
        <v>1</v>
      </c>
      <c r="CK10">
        <v>22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"080066944238"</f>
        <v>080066944238</v>
      </c>
      <c r="F11" s="3">
        <v>45870</v>
      </c>
      <c r="G11">
        <v>202605</v>
      </c>
      <c r="H11" t="s">
        <v>75</v>
      </c>
      <c r="I11" t="s">
        <v>76</v>
      </c>
      <c r="J11" t="s">
        <v>77</v>
      </c>
      <c r="K11" t="s">
        <v>78</v>
      </c>
      <c r="L11" t="s">
        <v>79</v>
      </c>
      <c r="M11" t="s">
        <v>80</v>
      </c>
      <c r="N11" t="s">
        <v>148</v>
      </c>
      <c r="O11" t="s">
        <v>82</v>
      </c>
      <c r="P11" t="str">
        <f>"4170052380                    "</f>
        <v xml:space="preserve">4170052380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17.649999999999999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55.61</v>
      </c>
      <c r="BM11">
        <v>8.34</v>
      </c>
      <c r="BN11">
        <v>63.95</v>
      </c>
      <c r="BO11">
        <v>63.95</v>
      </c>
      <c r="BQ11" t="s">
        <v>149</v>
      </c>
      <c r="BR11" t="s">
        <v>84</v>
      </c>
      <c r="BS11" s="3">
        <v>45873</v>
      </c>
      <c r="BT11" s="4">
        <v>0.37986111111111109</v>
      </c>
      <c r="BU11" t="s">
        <v>150</v>
      </c>
      <c r="BV11" t="s">
        <v>86</v>
      </c>
      <c r="BY11">
        <v>1200</v>
      </c>
      <c r="CA11" t="s">
        <v>151</v>
      </c>
      <c r="CC11" t="s">
        <v>80</v>
      </c>
      <c r="CD11">
        <v>1422</v>
      </c>
      <c r="CE11" t="s">
        <v>109</v>
      </c>
      <c r="CF11" s="3">
        <v>45873</v>
      </c>
      <c r="CI11">
        <v>1</v>
      </c>
      <c r="CJ11">
        <v>1</v>
      </c>
      <c r="CK11">
        <v>22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"080066944248"</f>
        <v>080066944248</v>
      </c>
      <c r="F12" s="3">
        <v>45870</v>
      </c>
      <c r="G12">
        <v>202605</v>
      </c>
      <c r="H12" t="s">
        <v>75</v>
      </c>
      <c r="I12" t="s">
        <v>76</v>
      </c>
      <c r="J12" t="s">
        <v>77</v>
      </c>
      <c r="K12" t="s">
        <v>78</v>
      </c>
      <c r="L12" t="s">
        <v>75</v>
      </c>
      <c r="M12" t="s">
        <v>76</v>
      </c>
      <c r="N12" t="s">
        <v>152</v>
      </c>
      <c r="O12" t="s">
        <v>82</v>
      </c>
      <c r="P12" t="str">
        <f>"4170052385                    "</f>
        <v xml:space="preserve">4170052385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17.649999999999999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1.9</v>
      </c>
      <c r="BK12">
        <v>2</v>
      </c>
      <c r="BL12">
        <v>55.61</v>
      </c>
      <c r="BM12">
        <v>8.34</v>
      </c>
      <c r="BN12">
        <v>63.95</v>
      </c>
      <c r="BO12">
        <v>63.95</v>
      </c>
      <c r="BQ12" t="s">
        <v>153</v>
      </c>
      <c r="BR12" t="s">
        <v>84</v>
      </c>
      <c r="BS12" s="3">
        <v>45873</v>
      </c>
      <c r="BT12" s="4">
        <v>0.35208333333333336</v>
      </c>
      <c r="BU12" t="s">
        <v>154</v>
      </c>
      <c r="BV12" t="s">
        <v>86</v>
      </c>
      <c r="BY12">
        <v>9633</v>
      </c>
      <c r="CA12" t="s">
        <v>155</v>
      </c>
      <c r="CC12" t="s">
        <v>76</v>
      </c>
      <c r="CD12">
        <v>1600</v>
      </c>
      <c r="CE12" t="s">
        <v>117</v>
      </c>
      <c r="CF12" s="3">
        <v>45874</v>
      </c>
      <c r="CI12">
        <v>1</v>
      </c>
      <c r="CJ12">
        <v>1</v>
      </c>
      <c r="CK12">
        <v>22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"080066944271"</f>
        <v>080066944271</v>
      </c>
      <c r="F13" s="3">
        <v>45870</v>
      </c>
      <c r="G13">
        <v>202605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152</v>
      </c>
      <c r="O13" t="s">
        <v>82</v>
      </c>
      <c r="P13" t="str">
        <f>"4170052374                    "</f>
        <v xml:space="preserve">4170052374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17.649999999999999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55.61</v>
      </c>
      <c r="BM13">
        <v>8.34</v>
      </c>
      <c r="BN13">
        <v>63.95</v>
      </c>
      <c r="BO13">
        <v>63.95</v>
      </c>
      <c r="BQ13" t="s">
        <v>153</v>
      </c>
      <c r="BR13" t="s">
        <v>84</v>
      </c>
      <c r="BS13" s="3">
        <v>45873</v>
      </c>
      <c r="BT13" s="4">
        <v>0.3611111111111111</v>
      </c>
      <c r="BU13" t="s">
        <v>154</v>
      </c>
      <c r="BV13" t="s">
        <v>86</v>
      </c>
      <c r="BY13">
        <v>1200</v>
      </c>
      <c r="CA13" t="s">
        <v>155</v>
      </c>
      <c r="CC13" t="s">
        <v>76</v>
      </c>
      <c r="CD13">
        <v>1600</v>
      </c>
      <c r="CE13" t="s">
        <v>109</v>
      </c>
      <c r="CF13" s="3">
        <v>45874</v>
      </c>
      <c r="CI13">
        <v>1</v>
      </c>
      <c r="CJ13">
        <v>1</v>
      </c>
      <c r="CK13">
        <v>22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"080066944296"</f>
        <v>080066944296</v>
      </c>
      <c r="F14" s="3">
        <v>45870</v>
      </c>
      <c r="G14">
        <v>202605</v>
      </c>
      <c r="H14" t="s">
        <v>75</v>
      </c>
      <c r="I14" t="s">
        <v>76</v>
      </c>
      <c r="J14" t="s">
        <v>77</v>
      </c>
      <c r="K14" t="s">
        <v>78</v>
      </c>
      <c r="L14" t="s">
        <v>156</v>
      </c>
      <c r="M14" t="s">
        <v>157</v>
      </c>
      <c r="N14" t="s">
        <v>158</v>
      </c>
      <c r="O14" t="s">
        <v>82</v>
      </c>
      <c r="P14" t="str">
        <f>"4170052367                    "</f>
        <v xml:space="preserve">4170052367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17.649999999999999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1.4</v>
      </c>
      <c r="BK14">
        <v>2</v>
      </c>
      <c r="BL14">
        <v>55.61</v>
      </c>
      <c r="BM14">
        <v>8.34</v>
      </c>
      <c r="BN14">
        <v>63.95</v>
      </c>
      <c r="BO14">
        <v>63.95</v>
      </c>
      <c r="BQ14" t="s">
        <v>159</v>
      </c>
      <c r="BR14" t="s">
        <v>84</v>
      </c>
      <c r="BS14" s="3">
        <v>45873</v>
      </c>
      <c r="BT14" s="4">
        <v>0.35625000000000001</v>
      </c>
      <c r="BU14" t="s">
        <v>160</v>
      </c>
      <c r="BV14" t="s">
        <v>86</v>
      </c>
      <c r="BY14">
        <v>7000</v>
      </c>
      <c r="CA14" t="s">
        <v>161</v>
      </c>
      <c r="CC14" t="s">
        <v>157</v>
      </c>
      <c r="CD14">
        <v>1724</v>
      </c>
      <c r="CE14" t="s">
        <v>147</v>
      </c>
      <c r="CF14" s="3">
        <v>45873</v>
      </c>
      <c r="CI14">
        <v>1</v>
      </c>
      <c r="CJ14">
        <v>1</v>
      </c>
      <c r="CK14">
        <v>22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"080066944305"</f>
        <v>080066944305</v>
      </c>
      <c r="F15" s="3">
        <v>45870</v>
      </c>
      <c r="G15">
        <v>202605</v>
      </c>
      <c r="H15" t="s">
        <v>75</v>
      </c>
      <c r="I15" t="s">
        <v>76</v>
      </c>
      <c r="J15" t="s">
        <v>77</v>
      </c>
      <c r="K15" t="s">
        <v>78</v>
      </c>
      <c r="L15" t="s">
        <v>162</v>
      </c>
      <c r="M15" t="s">
        <v>163</v>
      </c>
      <c r="N15" t="s">
        <v>164</v>
      </c>
      <c r="O15" t="s">
        <v>82</v>
      </c>
      <c r="P15" t="str">
        <f>"4170052361                    "</f>
        <v xml:space="preserve">4170052361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22.6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71.2</v>
      </c>
      <c r="BM15">
        <v>10.68</v>
      </c>
      <c r="BN15">
        <v>81.88</v>
      </c>
      <c r="BO15">
        <v>81.88</v>
      </c>
      <c r="BQ15" t="s">
        <v>165</v>
      </c>
      <c r="BR15" t="s">
        <v>84</v>
      </c>
      <c r="BS15" s="3">
        <v>45873</v>
      </c>
      <c r="BT15" s="4">
        <v>0.41666666666666669</v>
      </c>
      <c r="BU15" t="s">
        <v>166</v>
      </c>
      <c r="BV15" t="s">
        <v>86</v>
      </c>
      <c r="BY15">
        <v>1200</v>
      </c>
      <c r="CA15" t="s">
        <v>167</v>
      </c>
      <c r="CC15" t="s">
        <v>163</v>
      </c>
      <c r="CD15">
        <v>3212</v>
      </c>
      <c r="CE15" t="s">
        <v>109</v>
      </c>
      <c r="CF15" s="3">
        <v>45874</v>
      </c>
      <c r="CI15">
        <v>2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"080066944332"</f>
        <v>080066944332</v>
      </c>
      <c r="F16" s="3">
        <v>45870</v>
      </c>
      <c r="G16">
        <v>202605</v>
      </c>
      <c r="H16" t="s">
        <v>75</v>
      </c>
      <c r="I16" t="s">
        <v>76</v>
      </c>
      <c r="J16" t="s">
        <v>77</v>
      </c>
      <c r="K16" t="s">
        <v>78</v>
      </c>
      <c r="L16" t="s">
        <v>123</v>
      </c>
      <c r="M16" t="s">
        <v>124</v>
      </c>
      <c r="N16" t="s">
        <v>168</v>
      </c>
      <c r="O16" t="s">
        <v>82</v>
      </c>
      <c r="P16" t="str">
        <f>"4170052366                    "</f>
        <v xml:space="preserve">4170052366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22.6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71.2</v>
      </c>
      <c r="BM16">
        <v>10.68</v>
      </c>
      <c r="BN16">
        <v>81.88</v>
      </c>
      <c r="BO16">
        <v>81.88</v>
      </c>
      <c r="BQ16" t="s">
        <v>169</v>
      </c>
      <c r="BR16" t="s">
        <v>84</v>
      </c>
      <c r="BS16" s="3">
        <v>45873</v>
      </c>
      <c r="BT16" s="4">
        <v>0.43541666666666667</v>
      </c>
      <c r="BU16" t="s">
        <v>170</v>
      </c>
      <c r="BV16" t="s">
        <v>86</v>
      </c>
      <c r="BY16">
        <v>1200</v>
      </c>
      <c r="CA16" t="s">
        <v>171</v>
      </c>
      <c r="CC16" t="s">
        <v>124</v>
      </c>
      <c r="CD16">
        <v>7535</v>
      </c>
      <c r="CE16" t="s">
        <v>109</v>
      </c>
      <c r="CF16" s="3">
        <v>45874</v>
      </c>
      <c r="CI16">
        <v>1</v>
      </c>
      <c r="CJ16">
        <v>1</v>
      </c>
      <c r="CK16">
        <v>21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"080066944356"</f>
        <v>080066944356</v>
      </c>
      <c r="F17" s="3">
        <v>45870</v>
      </c>
      <c r="G17">
        <v>202605</v>
      </c>
      <c r="H17" t="s">
        <v>75</v>
      </c>
      <c r="I17" t="s">
        <v>76</v>
      </c>
      <c r="J17" t="s">
        <v>77</v>
      </c>
      <c r="K17" t="s">
        <v>78</v>
      </c>
      <c r="L17" t="s">
        <v>172</v>
      </c>
      <c r="M17" t="s">
        <v>173</v>
      </c>
      <c r="N17" t="s">
        <v>174</v>
      </c>
      <c r="O17" t="s">
        <v>82</v>
      </c>
      <c r="P17" t="str">
        <f>"4170052369                    "</f>
        <v xml:space="preserve">4170052369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22.6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71.2</v>
      </c>
      <c r="BM17">
        <v>10.68</v>
      </c>
      <c r="BN17">
        <v>81.88</v>
      </c>
      <c r="BO17">
        <v>81.88</v>
      </c>
      <c r="BQ17" t="s">
        <v>175</v>
      </c>
      <c r="BR17" t="s">
        <v>84</v>
      </c>
      <c r="BS17" s="3">
        <v>45874</v>
      </c>
      <c r="BT17" s="4">
        <v>0.54027777777777775</v>
      </c>
      <c r="BU17" t="s">
        <v>176</v>
      </c>
      <c r="BV17" t="s">
        <v>90</v>
      </c>
      <c r="BY17">
        <v>1200</v>
      </c>
      <c r="CA17" t="s">
        <v>177</v>
      </c>
      <c r="CC17" t="s">
        <v>173</v>
      </c>
      <c r="CD17">
        <v>7600</v>
      </c>
      <c r="CE17" t="s">
        <v>178</v>
      </c>
      <c r="CI17">
        <v>1</v>
      </c>
      <c r="CJ17">
        <v>2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"080066944419"</f>
        <v>080066944419</v>
      </c>
      <c r="F18" s="3">
        <v>45870</v>
      </c>
      <c r="G18">
        <v>202605</v>
      </c>
      <c r="H18" t="s">
        <v>75</v>
      </c>
      <c r="I18" t="s">
        <v>76</v>
      </c>
      <c r="J18" t="s">
        <v>77</v>
      </c>
      <c r="K18" t="s">
        <v>78</v>
      </c>
      <c r="L18" t="s">
        <v>179</v>
      </c>
      <c r="M18" t="s">
        <v>180</v>
      </c>
      <c r="N18" t="s">
        <v>181</v>
      </c>
      <c r="O18" t="s">
        <v>82</v>
      </c>
      <c r="P18" t="str">
        <f>"4170052392                    "</f>
        <v xml:space="preserve">4170052392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31.78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100.13</v>
      </c>
      <c r="BM18">
        <v>15.02</v>
      </c>
      <c r="BN18">
        <v>115.15</v>
      </c>
      <c r="BO18">
        <v>115.15</v>
      </c>
      <c r="BQ18" t="s">
        <v>182</v>
      </c>
      <c r="BR18" t="s">
        <v>84</v>
      </c>
      <c r="BS18" s="3">
        <v>45873</v>
      </c>
      <c r="BT18" s="4">
        <v>0.39652777777777776</v>
      </c>
      <c r="BU18" t="s">
        <v>183</v>
      </c>
      <c r="BV18" t="s">
        <v>86</v>
      </c>
      <c r="BY18">
        <v>1200</v>
      </c>
      <c r="CA18" t="s">
        <v>184</v>
      </c>
      <c r="CC18" t="s">
        <v>180</v>
      </c>
      <c r="CD18">
        <v>1748</v>
      </c>
      <c r="CE18" t="s">
        <v>109</v>
      </c>
      <c r="CF18" s="3">
        <v>45873</v>
      </c>
      <c r="CI18">
        <v>1</v>
      </c>
      <c r="CJ18">
        <v>1</v>
      </c>
      <c r="CK18">
        <v>24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"080066944444"</f>
        <v>080066944444</v>
      </c>
      <c r="F19" s="3">
        <v>45870</v>
      </c>
      <c r="G19">
        <v>202605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185</v>
      </c>
      <c r="O19" t="s">
        <v>82</v>
      </c>
      <c r="P19" t="str">
        <f>"4170052378                    "</f>
        <v xml:space="preserve">4170052378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17.649999999999999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55.61</v>
      </c>
      <c r="BM19">
        <v>8.34</v>
      </c>
      <c r="BN19">
        <v>63.95</v>
      </c>
      <c r="BO19">
        <v>63.95</v>
      </c>
      <c r="BQ19" t="s">
        <v>186</v>
      </c>
      <c r="BR19" t="s">
        <v>84</v>
      </c>
      <c r="BS19" s="3">
        <v>45873</v>
      </c>
      <c r="BT19" s="4">
        <v>0.39583333333333331</v>
      </c>
      <c r="BU19" t="s">
        <v>187</v>
      </c>
      <c r="BV19" t="s">
        <v>86</v>
      </c>
      <c r="BY19">
        <v>1200</v>
      </c>
      <c r="CA19" t="s">
        <v>188</v>
      </c>
      <c r="CC19" t="s">
        <v>80</v>
      </c>
      <c r="CD19">
        <v>1401</v>
      </c>
      <c r="CE19" t="s">
        <v>109</v>
      </c>
      <c r="CF19" s="3">
        <v>45874</v>
      </c>
      <c r="CI19">
        <v>1</v>
      </c>
      <c r="CJ19">
        <v>1</v>
      </c>
      <c r="CK19">
        <v>22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"080066944547"</f>
        <v>080066944547</v>
      </c>
      <c r="F20" s="3">
        <v>45870</v>
      </c>
      <c r="G20">
        <v>202605</v>
      </c>
      <c r="H20" t="s">
        <v>75</v>
      </c>
      <c r="I20" t="s">
        <v>76</v>
      </c>
      <c r="J20" t="s">
        <v>77</v>
      </c>
      <c r="K20" t="s">
        <v>78</v>
      </c>
      <c r="L20" t="s">
        <v>123</v>
      </c>
      <c r="M20" t="s">
        <v>124</v>
      </c>
      <c r="N20" t="s">
        <v>189</v>
      </c>
      <c r="O20" t="s">
        <v>82</v>
      </c>
      <c r="P20" t="str">
        <f>"4170052377                    "</f>
        <v xml:space="preserve">4170052377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22.6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71.2</v>
      </c>
      <c r="BM20">
        <v>10.68</v>
      </c>
      <c r="BN20">
        <v>81.88</v>
      </c>
      <c r="BO20">
        <v>81.88</v>
      </c>
      <c r="BQ20" t="s">
        <v>190</v>
      </c>
      <c r="BR20" t="s">
        <v>84</v>
      </c>
      <c r="BS20" s="3">
        <v>45873</v>
      </c>
      <c r="BT20" s="4">
        <v>0.41458333333333336</v>
      </c>
      <c r="BU20" t="s">
        <v>191</v>
      </c>
      <c r="BV20" t="s">
        <v>86</v>
      </c>
      <c r="BY20">
        <v>1200</v>
      </c>
      <c r="CA20" t="s">
        <v>192</v>
      </c>
      <c r="CC20" t="s">
        <v>124</v>
      </c>
      <c r="CD20">
        <v>8001</v>
      </c>
      <c r="CE20" t="s">
        <v>109</v>
      </c>
      <c r="CF20" s="3">
        <v>45874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"080066944571"</f>
        <v>080066944571</v>
      </c>
      <c r="F21" s="3">
        <v>45870</v>
      </c>
      <c r="G21">
        <v>202605</v>
      </c>
      <c r="H21" t="s">
        <v>75</v>
      </c>
      <c r="I21" t="s">
        <v>76</v>
      </c>
      <c r="J21" t="s">
        <v>77</v>
      </c>
      <c r="K21" t="s">
        <v>78</v>
      </c>
      <c r="L21" t="s">
        <v>193</v>
      </c>
      <c r="M21" t="s">
        <v>194</v>
      </c>
      <c r="N21" t="s">
        <v>195</v>
      </c>
      <c r="O21" t="s">
        <v>95</v>
      </c>
      <c r="P21" t="str">
        <f>"4170052391                    "</f>
        <v xml:space="preserve">4170052391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61.64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9</v>
      </c>
      <c r="BJ21">
        <v>6.6</v>
      </c>
      <c r="BK21">
        <v>9</v>
      </c>
      <c r="BL21">
        <v>200.06</v>
      </c>
      <c r="BM21">
        <v>30.01</v>
      </c>
      <c r="BN21">
        <v>230.07</v>
      </c>
      <c r="BO21">
        <v>230.07</v>
      </c>
      <c r="BQ21" t="s">
        <v>196</v>
      </c>
      <c r="BR21" t="s">
        <v>84</v>
      </c>
      <c r="BS21" s="3">
        <v>45873</v>
      </c>
      <c r="BT21" s="4">
        <v>0.33124999999999999</v>
      </c>
      <c r="BU21" t="s">
        <v>197</v>
      </c>
      <c r="BV21" t="s">
        <v>86</v>
      </c>
      <c r="BY21">
        <v>32968</v>
      </c>
      <c r="CC21" t="s">
        <v>194</v>
      </c>
      <c r="CD21">
        <v>1034</v>
      </c>
      <c r="CE21" t="s">
        <v>147</v>
      </c>
      <c r="CF21" s="3">
        <v>45873</v>
      </c>
      <c r="CI21">
        <v>1</v>
      </c>
      <c r="CJ21">
        <v>1</v>
      </c>
      <c r="CK21">
        <v>43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"080066944579"</f>
        <v>080066944579</v>
      </c>
      <c r="F22" s="3">
        <v>45870</v>
      </c>
      <c r="G22">
        <v>202605</v>
      </c>
      <c r="H22" t="s">
        <v>75</v>
      </c>
      <c r="I22" t="s">
        <v>76</v>
      </c>
      <c r="J22" t="s">
        <v>77</v>
      </c>
      <c r="K22" t="s">
        <v>78</v>
      </c>
      <c r="L22" t="s">
        <v>198</v>
      </c>
      <c r="M22" t="s">
        <v>199</v>
      </c>
      <c r="N22" t="s">
        <v>200</v>
      </c>
      <c r="O22" t="s">
        <v>82</v>
      </c>
      <c r="P22" t="str">
        <f>"4170052413                    "</f>
        <v xml:space="preserve">4170052413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22.6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71.2</v>
      </c>
      <c r="BM22">
        <v>10.68</v>
      </c>
      <c r="BN22">
        <v>81.88</v>
      </c>
      <c r="BO22">
        <v>81.88</v>
      </c>
      <c r="BQ22" t="s">
        <v>201</v>
      </c>
      <c r="BR22" t="s">
        <v>84</v>
      </c>
      <c r="BS22" s="3">
        <v>45873</v>
      </c>
      <c r="BT22" s="4">
        <v>0.40833333333333333</v>
      </c>
      <c r="BU22" t="s">
        <v>202</v>
      </c>
      <c r="BV22" t="s">
        <v>86</v>
      </c>
      <c r="BY22">
        <v>1200</v>
      </c>
      <c r="CA22" t="s">
        <v>203</v>
      </c>
      <c r="CC22" t="s">
        <v>199</v>
      </c>
      <c r="CD22">
        <v>6001</v>
      </c>
      <c r="CE22" t="s">
        <v>109</v>
      </c>
      <c r="CF22" s="3">
        <v>45873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"080066944601"</f>
        <v>080066944601</v>
      </c>
      <c r="F23" s="3">
        <v>45870</v>
      </c>
      <c r="G23">
        <v>202605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204</v>
      </c>
      <c r="O23" t="s">
        <v>82</v>
      </c>
      <c r="P23" t="str">
        <f>"4170052418                    "</f>
        <v xml:space="preserve">4170052418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17.649999999999999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55.61</v>
      </c>
      <c r="BM23">
        <v>8.34</v>
      </c>
      <c r="BN23">
        <v>63.95</v>
      </c>
      <c r="BO23">
        <v>63.95</v>
      </c>
      <c r="BQ23" t="s">
        <v>205</v>
      </c>
      <c r="BR23" t="s">
        <v>84</v>
      </c>
      <c r="BS23" s="3">
        <v>45873</v>
      </c>
      <c r="BT23" s="4">
        <v>0.36388888888888887</v>
      </c>
      <c r="BU23" t="s">
        <v>206</v>
      </c>
      <c r="BV23" t="s">
        <v>86</v>
      </c>
      <c r="BY23">
        <v>1200</v>
      </c>
      <c r="CA23" t="s">
        <v>151</v>
      </c>
      <c r="CC23" t="s">
        <v>80</v>
      </c>
      <c r="CD23">
        <v>1428</v>
      </c>
      <c r="CE23" t="s">
        <v>109</v>
      </c>
      <c r="CF23" s="3">
        <v>45873</v>
      </c>
      <c r="CI23">
        <v>1</v>
      </c>
      <c r="CJ23">
        <v>1</v>
      </c>
      <c r="CK23">
        <v>22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"080066944602"</f>
        <v>080066944602</v>
      </c>
      <c r="F24" s="3">
        <v>45870</v>
      </c>
      <c r="G24">
        <v>202605</v>
      </c>
      <c r="H24" t="s">
        <v>75</v>
      </c>
      <c r="I24" t="s">
        <v>76</v>
      </c>
      <c r="J24" t="s">
        <v>77</v>
      </c>
      <c r="K24" t="s">
        <v>78</v>
      </c>
      <c r="L24" t="s">
        <v>207</v>
      </c>
      <c r="M24" t="s">
        <v>208</v>
      </c>
      <c r="N24" t="s">
        <v>209</v>
      </c>
      <c r="O24" t="s">
        <v>82</v>
      </c>
      <c r="P24" t="str">
        <f>"4170052390                    "</f>
        <v xml:space="preserve">4170052390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142.63999999999999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7</v>
      </c>
      <c r="BJ24">
        <v>2.6</v>
      </c>
      <c r="BK24">
        <v>7</v>
      </c>
      <c r="BL24">
        <v>449.4</v>
      </c>
      <c r="BM24">
        <v>67.41</v>
      </c>
      <c r="BN24">
        <v>516.80999999999995</v>
      </c>
      <c r="BO24">
        <v>516.80999999999995</v>
      </c>
      <c r="BQ24" t="s">
        <v>210</v>
      </c>
      <c r="BR24" t="s">
        <v>84</v>
      </c>
      <c r="BS24" s="3">
        <v>45873</v>
      </c>
      <c r="BT24" s="4">
        <v>0.58750000000000002</v>
      </c>
      <c r="BU24" t="s">
        <v>211</v>
      </c>
      <c r="BV24" t="s">
        <v>86</v>
      </c>
      <c r="BY24">
        <v>13110</v>
      </c>
      <c r="CA24" t="s">
        <v>212</v>
      </c>
      <c r="CC24" t="s">
        <v>208</v>
      </c>
      <c r="CD24">
        <v>7300</v>
      </c>
      <c r="CE24" t="s">
        <v>147</v>
      </c>
      <c r="CF24" s="3">
        <v>45874</v>
      </c>
      <c r="CI24">
        <v>1</v>
      </c>
      <c r="CJ24">
        <v>1</v>
      </c>
      <c r="CK24">
        <v>23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"080066944626"</f>
        <v>080066944626</v>
      </c>
      <c r="F25" s="3">
        <v>45870</v>
      </c>
      <c r="G25">
        <v>202605</v>
      </c>
      <c r="H25" t="s">
        <v>75</v>
      </c>
      <c r="I25" t="s">
        <v>76</v>
      </c>
      <c r="J25" t="s">
        <v>77</v>
      </c>
      <c r="K25" t="s">
        <v>78</v>
      </c>
      <c r="L25" t="s">
        <v>118</v>
      </c>
      <c r="M25" t="s">
        <v>118</v>
      </c>
      <c r="N25" t="s">
        <v>213</v>
      </c>
      <c r="O25" t="s">
        <v>82</v>
      </c>
      <c r="P25" t="str">
        <f>"4170052397                    "</f>
        <v xml:space="preserve">4170052397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43.78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137.94</v>
      </c>
      <c r="BM25">
        <v>20.69</v>
      </c>
      <c r="BN25">
        <v>158.63</v>
      </c>
      <c r="BO25">
        <v>158.63</v>
      </c>
      <c r="BQ25" t="s">
        <v>214</v>
      </c>
      <c r="BR25" t="s">
        <v>84</v>
      </c>
      <c r="BS25" s="3">
        <v>45873</v>
      </c>
      <c r="BT25" s="4">
        <v>0.52777777777777779</v>
      </c>
      <c r="BU25" t="s">
        <v>215</v>
      </c>
      <c r="BV25" t="s">
        <v>86</v>
      </c>
      <c r="BY25">
        <v>1200</v>
      </c>
      <c r="CA25" t="s">
        <v>216</v>
      </c>
      <c r="CC25" t="s">
        <v>118</v>
      </c>
      <c r="CD25">
        <v>7654</v>
      </c>
      <c r="CE25" t="s">
        <v>109</v>
      </c>
      <c r="CF25" s="3">
        <v>45874</v>
      </c>
      <c r="CI25">
        <v>1</v>
      </c>
      <c r="CJ25">
        <v>1</v>
      </c>
      <c r="CK25">
        <v>23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"080066944692"</f>
        <v>080066944692</v>
      </c>
      <c r="F26" s="3">
        <v>45870</v>
      </c>
      <c r="G26">
        <v>202605</v>
      </c>
      <c r="H26" t="s">
        <v>75</v>
      </c>
      <c r="I26" t="s">
        <v>76</v>
      </c>
      <c r="J26" t="s">
        <v>77</v>
      </c>
      <c r="K26" t="s">
        <v>78</v>
      </c>
      <c r="L26" t="s">
        <v>79</v>
      </c>
      <c r="M26" t="s">
        <v>80</v>
      </c>
      <c r="N26" t="s">
        <v>148</v>
      </c>
      <c r="O26" t="s">
        <v>82</v>
      </c>
      <c r="P26" t="str">
        <f>"4170052379                    "</f>
        <v xml:space="preserve">4170052379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17.649999999999999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55.61</v>
      </c>
      <c r="BM26">
        <v>8.34</v>
      </c>
      <c r="BN26">
        <v>63.95</v>
      </c>
      <c r="BO26">
        <v>63.95</v>
      </c>
      <c r="BQ26" t="s">
        <v>149</v>
      </c>
      <c r="BR26" t="s">
        <v>84</v>
      </c>
      <c r="BS26" s="3">
        <v>45873</v>
      </c>
      <c r="BT26" s="4">
        <v>0.37986111111111109</v>
      </c>
      <c r="BU26" t="s">
        <v>150</v>
      </c>
      <c r="BV26" t="s">
        <v>86</v>
      </c>
      <c r="BY26">
        <v>1200</v>
      </c>
      <c r="CA26" t="s">
        <v>151</v>
      </c>
      <c r="CC26" t="s">
        <v>80</v>
      </c>
      <c r="CD26">
        <v>1428</v>
      </c>
      <c r="CE26" t="s">
        <v>109</v>
      </c>
      <c r="CF26" s="3">
        <v>45873</v>
      </c>
      <c r="CI26">
        <v>1</v>
      </c>
      <c r="CJ26">
        <v>1</v>
      </c>
      <c r="CK26">
        <v>22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"080066944735"</f>
        <v>080066944735</v>
      </c>
      <c r="F27" s="3">
        <v>45870</v>
      </c>
      <c r="G27">
        <v>202605</v>
      </c>
      <c r="H27" t="s">
        <v>75</v>
      </c>
      <c r="I27" t="s">
        <v>76</v>
      </c>
      <c r="J27" t="s">
        <v>77</v>
      </c>
      <c r="K27" t="s">
        <v>78</v>
      </c>
      <c r="L27" t="s">
        <v>217</v>
      </c>
      <c r="M27" t="s">
        <v>218</v>
      </c>
      <c r="N27" t="s">
        <v>219</v>
      </c>
      <c r="O27" t="s">
        <v>82</v>
      </c>
      <c r="P27" t="str">
        <f>"4170052382                    "</f>
        <v xml:space="preserve">4170052382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22.6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71.2</v>
      </c>
      <c r="BM27">
        <v>10.68</v>
      </c>
      <c r="BN27">
        <v>81.88</v>
      </c>
      <c r="BO27">
        <v>81.88</v>
      </c>
      <c r="BQ27" t="s">
        <v>220</v>
      </c>
      <c r="BR27" t="s">
        <v>84</v>
      </c>
      <c r="BS27" s="3">
        <v>45873</v>
      </c>
      <c r="BT27" s="4">
        <v>0.34236111111111112</v>
      </c>
      <c r="BU27" t="s">
        <v>221</v>
      </c>
      <c r="BV27" t="s">
        <v>86</v>
      </c>
      <c r="BY27">
        <v>1200</v>
      </c>
      <c r="CA27" t="s">
        <v>222</v>
      </c>
      <c r="CC27" t="s">
        <v>218</v>
      </c>
      <c r="CD27">
        <v>4000</v>
      </c>
      <c r="CE27" t="s">
        <v>109</v>
      </c>
      <c r="CF27" s="3">
        <v>45873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"080066944916"</f>
        <v>080066944916</v>
      </c>
      <c r="F28" s="3">
        <v>45870</v>
      </c>
      <c r="G28">
        <v>202605</v>
      </c>
      <c r="H28" t="s">
        <v>75</v>
      </c>
      <c r="I28" t="s">
        <v>76</v>
      </c>
      <c r="J28" t="s">
        <v>77</v>
      </c>
      <c r="K28" t="s">
        <v>78</v>
      </c>
      <c r="L28" t="s">
        <v>223</v>
      </c>
      <c r="M28" t="s">
        <v>224</v>
      </c>
      <c r="N28" t="s">
        <v>225</v>
      </c>
      <c r="O28" t="s">
        <v>82</v>
      </c>
      <c r="P28" t="str">
        <f>"4170052373                    "</f>
        <v xml:space="preserve">4170052373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22.6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71.2</v>
      </c>
      <c r="BM28">
        <v>10.68</v>
      </c>
      <c r="BN28">
        <v>81.88</v>
      </c>
      <c r="BO28">
        <v>81.88</v>
      </c>
      <c r="BQ28" t="s">
        <v>226</v>
      </c>
      <c r="BR28" t="s">
        <v>84</v>
      </c>
      <c r="BS28" s="3">
        <v>45873</v>
      </c>
      <c r="BT28" s="4">
        <v>0.30555555555555558</v>
      </c>
      <c r="BU28" t="s">
        <v>227</v>
      </c>
      <c r="BV28" t="s">
        <v>86</v>
      </c>
      <c r="BY28">
        <v>1200</v>
      </c>
      <c r="CA28" t="s">
        <v>228</v>
      </c>
      <c r="CC28" t="s">
        <v>224</v>
      </c>
      <c r="CD28">
        <v>5200</v>
      </c>
      <c r="CE28" t="s">
        <v>178</v>
      </c>
      <c r="CF28" s="3">
        <v>45874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"080066944974"</f>
        <v>080066944974</v>
      </c>
      <c r="F29" s="3">
        <v>45870</v>
      </c>
      <c r="G29">
        <v>202605</v>
      </c>
      <c r="H29" t="s">
        <v>75</v>
      </c>
      <c r="I29" t="s">
        <v>76</v>
      </c>
      <c r="J29" t="s">
        <v>77</v>
      </c>
      <c r="K29" t="s">
        <v>78</v>
      </c>
      <c r="L29" t="s">
        <v>229</v>
      </c>
      <c r="M29" t="s">
        <v>230</v>
      </c>
      <c r="N29" t="s">
        <v>231</v>
      </c>
      <c r="O29" t="s">
        <v>82</v>
      </c>
      <c r="P29" t="str">
        <f>"4170052406                    "</f>
        <v xml:space="preserve">4170052406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43.78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137.94</v>
      </c>
      <c r="BM29">
        <v>20.69</v>
      </c>
      <c r="BN29">
        <v>158.63</v>
      </c>
      <c r="BO29">
        <v>158.63</v>
      </c>
      <c r="BQ29" t="s">
        <v>232</v>
      </c>
      <c r="BR29" t="s">
        <v>84</v>
      </c>
      <c r="BS29" s="3">
        <v>45873</v>
      </c>
      <c r="BT29" s="4">
        <v>0.3125</v>
      </c>
      <c r="BU29" t="s">
        <v>233</v>
      </c>
      <c r="BV29" t="s">
        <v>86</v>
      </c>
      <c r="BY29">
        <v>1200</v>
      </c>
      <c r="CC29" t="s">
        <v>230</v>
      </c>
      <c r="CD29">
        <v>2740</v>
      </c>
      <c r="CE29" t="s">
        <v>178</v>
      </c>
      <c r="CF29" s="3">
        <v>45874</v>
      </c>
      <c r="CI29">
        <v>1</v>
      </c>
      <c r="CJ29">
        <v>1</v>
      </c>
      <c r="CK29">
        <v>23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"080066945007"</f>
        <v>080066945007</v>
      </c>
      <c r="F30" s="3">
        <v>45870</v>
      </c>
      <c r="G30">
        <v>202605</v>
      </c>
      <c r="H30" t="s">
        <v>75</v>
      </c>
      <c r="I30" t="s">
        <v>76</v>
      </c>
      <c r="J30" t="s">
        <v>77</v>
      </c>
      <c r="K30" t="s">
        <v>78</v>
      </c>
      <c r="L30" t="s">
        <v>234</v>
      </c>
      <c r="M30" t="s">
        <v>235</v>
      </c>
      <c r="N30" t="s">
        <v>236</v>
      </c>
      <c r="O30" t="s">
        <v>82</v>
      </c>
      <c r="P30" t="str">
        <f>"4170052362                    "</f>
        <v xml:space="preserve">4170052362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22.6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71.2</v>
      </c>
      <c r="BM30">
        <v>10.68</v>
      </c>
      <c r="BN30">
        <v>81.88</v>
      </c>
      <c r="BO30">
        <v>81.88</v>
      </c>
      <c r="BQ30" t="s">
        <v>237</v>
      </c>
      <c r="BR30" t="s">
        <v>84</v>
      </c>
      <c r="BS30" s="3">
        <v>45873</v>
      </c>
      <c r="BT30" s="4">
        <v>0.37638888888888888</v>
      </c>
      <c r="BU30" t="s">
        <v>238</v>
      </c>
      <c r="BV30" t="s">
        <v>86</v>
      </c>
      <c r="BY30">
        <v>1200</v>
      </c>
      <c r="CA30" t="s">
        <v>239</v>
      </c>
      <c r="CC30" t="s">
        <v>235</v>
      </c>
      <c r="CD30" s="5" t="s">
        <v>240</v>
      </c>
      <c r="CE30" t="s">
        <v>178</v>
      </c>
      <c r="CF30" s="3">
        <v>45873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"080066945041"</f>
        <v>080066945041</v>
      </c>
      <c r="F31" s="3">
        <v>45870</v>
      </c>
      <c r="G31">
        <v>202605</v>
      </c>
      <c r="H31" t="s">
        <v>75</v>
      </c>
      <c r="I31" t="s">
        <v>76</v>
      </c>
      <c r="J31" t="s">
        <v>77</v>
      </c>
      <c r="K31" t="s">
        <v>78</v>
      </c>
      <c r="L31" t="s">
        <v>129</v>
      </c>
      <c r="M31" t="s">
        <v>130</v>
      </c>
      <c r="N31" t="s">
        <v>131</v>
      </c>
      <c r="O31" t="s">
        <v>82</v>
      </c>
      <c r="P31" t="str">
        <f>"4170052409                    "</f>
        <v xml:space="preserve">4170052409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22.6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71.2</v>
      </c>
      <c r="BM31">
        <v>10.68</v>
      </c>
      <c r="BN31">
        <v>81.88</v>
      </c>
      <c r="BO31">
        <v>81.88</v>
      </c>
      <c r="BQ31" t="s">
        <v>132</v>
      </c>
      <c r="BR31" t="s">
        <v>84</v>
      </c>
      <c r="BS31" s="3">
        <v>45873</v>
      </c>
      <c r="BT31" s="4">
        <v>0.67708333333333337</v>
      </c>
      <c r="BU31" t="s">
        <v>133</v>
      </c>
      <c r="BV31" t="s">
        <v>90</v>
      </c>
      <c r="BW31" t="s">
        <v>134</v>
      </c>
      <c r="BX31" t="s">
        <v>135</v>
      </c>
      <c r="BY31">
        <v>1200</v>
      </c>
      <c r="CA31" t="s">
        <v>136</v>
      </c>
      <c r="CC31" t="s">
        <v>130</v>
      </c>
      <c r="CD31">
        <v>4133</v>
      </c>
      <c r="CE31" t="s">
        <v>178</v>
      </c>
      <c r="CF31" s="3">
        <v>45873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"080011584533"</f>
        <v>080011584533</v>
      </c>
      <c r="F32" s="3">
        <v>45870</v>
      </c>
      <c r="G32">
        <v>202605</v>
      </c>
      <c r="H32" t="s">
        <v>241</v>
      </c>
      <c r="I32" t="s">
        <v>242</v>
      </c>
      <c r="J32" t="s">
        <v>243</v>
      </c>
      <c r="K32" t="s">
        <v>78</v>
      </c>
      <c r="L32" t="s">
        <v>75</v>
      </c>
      <c r="M32" t="s">
        <v>76</v>
      </c>
      <c r="N32" t="s">
        <v>94</v>
      </c>
      <c r="O32" t="s">
        <v>95</v>
      </c>
      <c r="P32" t="str">
        <f>"ZA1001401684                  "</f>
        <v xml:space="preserve">ZA1001401684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33.72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5</v>
      </c>
      <c r="BJ32">
        <v>7.2</v>
      </c>
      <c r="BK32">
        <v>8</v>
      </c>
      <c r="BL32">
        <v>112.11</v>
      </c>
      <c r="BM32">
        <v>16.82</v>
      </c>
      <c r="BN32">
        <v>128.93</v>
      </c>
      <c r="BO32">
        <v>128.93</v>
      </c>
      <c r="BP32" t="s">
        <v>96</v>
      </c>
      <c r="BQ32" t="s">
        <v>97</v>
      </c>
      <c r="BR32" t="s">
        <v>244</v>
      </c>
      <c r="BS32" s="3">
        <v>45873</v>
      </c>
      <c r="BT32" s="4">
        <v>0.5131944444444444</v>
      </c>
      <c r="BU32" t="s">
        <v>245</v>
      </c>
      <c r="BV32" t="s">
        <v>86</v>
      </c>
      <c r="BY32">
        <v>36000</v>
      </c>
      <c r="BZ32" t="s">
        <v>100</v>
      </c>
      <c r="CA32" t="s">
        <v>101</v>
      </c>
      <c r="CC32" t="s">
        <v>76</v>
      </c>
      <c r="CD32">
        <v>1619</v>
      </c>
      <c r="CE32" t="s">
        <v>102</v>
      </c>
      <c r="CF32" s="3">
        <v>45873</v>
      </c>
      <c r="CI32">
        <v>1</v>
      </c>
      <c r="CJ32">
        <v>1</v>
      </c>
      <c r="CK32">
        <v>42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"080066945056"</f>
        <v>080066945056</v>
      </c>
      <c r="F33" s="3">
        <v>45870</v>
      </c>
      <c r="G33">
        <v>202605</v>
      </c>
      <c r="H33" t="s">
        <v>75</v>
      </c>
      <c r="I33" t="s">
        <v>76</v>
      </c>
      <c r="J33" t="s">
        <v>77</v>
      </c>
      <c r="K33" t="s">
        <v>78</v>
      </c>
      <c r="L33" t="s">
        <v>162</v>
      </c>
      <c r="M33" t="s">
        <v>163</v>
      </c>
      <c r="N33" t="s">
        <v>246</v>
      </c>
      <c r="O33" t="s">
        <v>82</v>
      </c>
      <c r="P33" t="str">
        <f>"4170052412                    "</f>
        <v xml:space="preserve">4170052412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112.92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10</v>
      </c>
      <c r="BJ33">
        <v>8.9</v>
      </c>
      <c r="BK33">
        <v>10</v>
      </c>
      <c r="BL33">
        <v>355.76</v>
      </c>
      <c r="BM33">
        <v>53.36</v>
      </c>
      <c r="BN33">
        <v>409.12</v>
      </c>
      <c r="BO33">
        <v>409.12</v>
      </c>
      <c r="BQ33" t="s">
        <v>247</v>
      </c>
      <c r="BR33" t="s">
        <v>84</v>
      </c>
      <c r="BS33" s="3">
        <v>45873</v>
      </c>
      <c r="BT33" s="4">
        <v>0.41666666666666669</v>
      </c>
      <c r="BU33" t="s">
        <v>248</v>
      </c>
      <c r="BV33" t="s">
        <v>86</v>
      </c>
      <c r="BY33">
        <v>44640</v>
      </c>
      <c r="CC33" t="s">
        <v>163</v>
      </c>
      <c r="CD33">
        <v>3201</v>
      </c>
      <c r="CE33" t="s">
        <v>147</v>
      </c>
      <c r="CF33" s="3">
        <v>45874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"080066945071"</f>
        <v>080066945071</v>
      </c>
      <c r="F34" s="3">
        <v>45870</v>
      </c>
      <c r="G34">
        <v>202605</v>
      </c>
      <c r="H34" t="s">
        <v>75</v>
      </c>
      <c r="I34" t="s">
        <v>76</v>
      </c>
      <c r="J34" t="s">
        <v>77</v>
      </c>
      <c r="K34" t="s">
        <v>78</v>
      </c>
      <c r="L34" t="s">
        <v>217</v>
      </c>
      <c r="M34" t="s">
        <v>218</v>
      </c>
      <c r="N34" t="s">
        <v>219</v>
      </c>
      <c r="O34" t="s">
        <v>82</v>
      </c>
      <c r="P34" t="str">
        <f>"4170052375                    "</f>
        <v xml:space="preserve">4170052375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22.6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71.2</v>
      </c>
      <c r="BM34">
        <v>10.68</v>
      </c>
      <c r="BN34">
        <v>81.88</v>
      </c>
      <c r="BO34">
        <v>81.88</v>
      </c>
      <c r="BQ34" t="s">
        <v>220</v>
      </c>
      <c r="BR34" t="s">
        <v>84</v>
      </c>
      <c r="BS34" s="3">
        <v>45873</v>
      </c>
      <c r="BT34" s="4">
        <v>0.34236111111111112</v>
      </c>
      <c r="BU34" t="s">
        <v>221</v>
      </c>
      <c r="BV34" t="s">
        <v>86</v>
      </c>
      <c r="BY34">
        <v>1200</v>
      </c>
      <c r="CA34" t="s">
        <v>222</v>
      </c>
      <c r="CC34" t="s">
        <v>218</v>
      </c>
      <c r="CD34">
        <v>4000</v>
      </c>
      <c r="CE34" t="s">
        <v>109</v>
      </c>
      <c r="CF34" s="3">
        <v>45873</v>
      </c>
      <c r="CI34">
        <v>1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"080066945097"</f>
        <v>080066945097</v>
      </c>
      <c r="F35" s="3">
        <v>45870</v>
      </c>
      <c r="G35">
        <v>202605</v>
      </c>
      <c r="H35" t="s">
        <v>75</v>
      </c>
      <c r="I35" t="s">
        <v>76</v>
      </c>
      <c r="J35" t="s">
        <v>77</v>
      </c>
      <c r="K35" t="s">
        <v>78</v>
      </c>
      <c r="L35" t="s">
        <v>217</v>
      </c>
      <c r="M35" t="s">
        <v>218</v>
      </c>
      <c r="N35" t="s">
        <v>249</v>
      </c>
      <c r="O35" t="s">
        <v>82</v>
      </c>
      <c r="P35" t="str">
        <f>"4170052383                    "</f>
        <v xml:space="preserve">4170052383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22.6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71.2</v>
      </c>
      <c r="BM35">
        <v>10.68</v>
      </c>
      <c r="BN35">
        <v>81.88</v>
      </c>
      <c r="BO35">
        <v>81.88</v>
      </c>
      <c r="BQ35" t="s">
        <v>250</v>
      </c>
      <c r="BR35" t="s">
        <v>84</v>
      </c>
      <c r="BS35" s="3">
        <v>45873</v>
      </c>
      <c r="BT35" s="4">
        <v>0.68819444444444444</v>
      </c>
      <c r="BU35" t="s">
        <v>251</v>
      </c>
      <c r="BV35" t="s">
        <v>90</v>
      </c>
      <c r="BW35" t="s">
        <v>134</v>
      </c>
      <c r="BX35" t="s">
        <v>135</v>
      </c>
      <c r="BY35">
        <v>1200</v>
      </c>
      <c r="CA35" t="s">
        <v>136</v>
      </c>
      <c r="CC35" t="s">
        <v>218</v>
      </c>
      <c r="CD35">
        <v>4052</v>
      </c>
      <c r="CE35" t="s">
        <v>109</v>
      </c>
      <c r="CF35" s="3">
        <v>45873</v>
      </c>
      <c r="CI35">
        <v>1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"080066945126"</f>
        <v>080066945126</v>
      </c>
      <c r="F36" s="3">
        <v>45870</v>
      </c>
      <c r="G36">
        <v>202605</v>
      </c>
      <c r="H36" t="s">
        <v>75</v>
      </c>
      <c r="I36" t="s">
        <v>76</v>
      </c>
      <c r="J36" t="s">
        <v>77</v>
      </c>
      <c r="K36" t="s">
        <v>78</v>
      </c>
      <c r="L36" t="s">
        <v>217</v>
      </c>
      <c r="M36" t="s">
        <v>218</v>
      </c>
      <c r="N36" t="s">
        <v>252</v>
      </c>
      <c r="O36" t="s">
        <v>82</v>
      </c>
      <c r="P36" t="str">
        <f>"4170052422                    "</f>
        <v xml:space="preserve">4170052422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71.2</v>
      </c>
      <c r="BM36">
        <v>10.68</v>
      </c>
      <c r="BN36">
        <v>81.88</v>
      </c>
      <c r="BO36">
        <v>81.88</v>
      </c>
      <c r="BQ36" t="s">
        <v>253</v>
      </c>
      <c r="BR36" t="s">
        <v>84</v>
      </c>
      <c r="BS36" s="3">
        <v>45873</v>
      </c>
      <c r="BT36" s="4">
        <v>0.36388888888888887</v>
      </c>
      <c r="BU36" t="s">
        <v>254</v>
      </c>
      <c r="BV36" t="s">
        <v>86</v>
      </c>
      <c r="BY36">
        <v>1200</v>
      </c>
      <c r="CA36" t="s">
        <v>136</v>
      </c>
      <c r="CC36" t="s">
        <v>218</v>
      </c>
      <c r="CD36">
        <v>4060</v>
      </c>
      <c r="CE36" t="s">
        <v>109</v>
      </c>
      <c r="CF36" s="3">
        <v>45873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"080066945137"</f>
        <v>080066945137</v>
      </c>
      <c r="F37" s="3">
        <v>45870</v>
      </c>
      <c r="G37">
        <v>202605</v>
      </c>
      <c r="H37" t="s">
        <v>75</v>
      </c>
      <c r="I37" t="s">
        <v>76</v>
      </c>
      <c r="J37" t="s">
        <v>77</v>
      </c>
      <c r="K37" t="s">
        <v>78</v>
      </c>
      <c r="L37" t="s">
        <v>255</v>
      </c>
      <c r="M37" t="s">
        <v>256</v>
      </c>
      <c r="N37" t="s">
        <v>257</v>
      </c>
      <c r="O37" t="s">
        <v>113</v>
      </c>
      <c r="P37" t="str">
        <f>"4170052398                    "</f>
        <v xml:space="preserve">4170052398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17.66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3</v>
      </c>
      <c r="BJ37">
        <v>4.7</v>
      </c>
      <c r="BK37">
        <v>5</v>
      </c>
      <c r="BL37">
        <v>55.63</v>
      </c>
      <c r="BM37">
        <v>8.34</v>
      </c>
      <c r="BN37">
        <v>63.97</v>
      </c>
      <c r="BO37">
        <v>63.97</v>
      </c>
      <c r="BQ37" t="s">
        <v>258</v>
      </c>
      <c r="BR37" t="s">
        <v>84</v>
      </c>
      <c r="BS37" s="3">
        <v>45873</v>
      </c>
      <c r="BT37" s="4">
        <v>0.54236111111111107</v>
      </c>
      <c r="BU37" t="s">
        <v>259</v>
      </c>
      <c r="BV37" t="s">
        <v>86</v>
      </c>
      <c r="BY37">
        <v>23408</v>
      </c>
      <c r="CA37" t="s">
        <v>260</v>
      </c>
      <c r="CC37" t="s">
        <v>256</v>
      </c>
      <c r="CD37">
        <v>1501</v>
      </c>
      <c r="CE37" t="s">
        <v>147</v>
      </c>
      <c r="CF37" s="3">
        <v>45873</v>
      </c>
      <c r="CI37">
        <v>1</v>
      </c>
      <c r="CJ37">
        <v>1</v>
      </c>
      <c r="CK37">
        <v>32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"080066945168"</f>
        <v>080066945168</v>
      </c>
      <c r="F38" s="3">
        <v>45870</v>
      </c>
      <c r="G38">
        <v>202605</v>
      </c>
      <c r="H38" t="s">
        <v>75</v>
      </c>
      <c r="I38" t="s">
        <v>76</v>
      </c>
      <c r="J38" t="s">
        <v>77</v>
      </c>
      <c r="K38" t="s">
        <v>78</v>
      </c>
      <c r="L38" t="s">
        <v>198</v>
      </c>
      <c r="M38" t="s">
        <v>199</v>
      </c>
      <c r="N38" t="s">
        <v>200</v>
      </c>
      <c r="O38" t="s">
        <v>82</v>
      </c>
      <c r="P38" t="str">
        <f>"4170052414                    "</f>
        <v xml:space="preserve">4170052414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71.2</v>
      </c>
      <c r="BM38">
        <v>10.68</v>
      </c>
      <c r="BN38">
        <v>81.88</v>
      </c>
      <c r="BO38">
        <v>81.88</v>
      </c>
      <c r="BQ38" t="s">
        <v>201</v>
      </c>
      <c r="BR38" t="s">
        <v>84</v>
      </c>
      <c r="BS38" s="3">
        <v>45873</v>
      </c>
      <c r="BT38" s="4">
        <v>0.40833333333333333</v>
      </c>
      <c r="BU38" t="s">
        <v>202</v>
      </c>
      <c r="BV38" t="s">
        <v>86</v>
      </c>
      <c r="BY38">
        <v>1200</v>
      </c>
      <c r="CA38" t="s">
        <v>203</v>
      </c>
      <c r="CC38" t="s">
        <v>199</v>
      </c>
      <c r="CD38">
        <v>6001</v>
      </c>
      <c r="CE38" t="s">
        <v>109</v>
      </c>
      <c r="CF38" s="3">
        <v>45873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"080066945188"</f>
        <v>080066945188</v>
      </c>
      <c r="F39" s="3">
        <v>45870</v>
      </c>
      <c r="G39">
        <v>202605</v>
      </c>
      <c r="H39" t="s">
        <v>75</v>
      </c>
      <c r="I39" t="s">
        <v>76</v>
      </c>
      <c r="J39" t="s">
        <v>77</v>
      </c>
      <c r="K39" t="s">
        <v>78</v>
      </c>
      <c r="L39" t="s">
        <v>137</v>
      </c>
      <c r="M39" t="s">
        <v>138</v>
      </c>
      <c r="N39" t="s">
        <v>261</v>
      </c>
      <c r="O39" t="s">
        <v>82</v>
      </c>
      <c r="P39" t="str">
        <f>"4170052407                    "</f>
        <v xml:space="preserve">4170052407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22.6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71.2</v>
      </c>
      <c r="BM39">
        <v>10.68</v>
      </c>
      <c r="BN39">
        <v>81.88</v>
      </c>
      <c r="BO39">
        <v>81.88</v>
      </c>
      <c r="BQ39" t="s">
        <v>262</v>
      </c>
      <c r="BR39" t="s">
        <v>84</v>
      </c>
      <c r="BS39" s="3">
        <v>45873</v>
      </c>
      <c r="BT39" s="4">
        <v>0.40347222222222223</v>
      </c>
      <c r="BU39" t="s">
        <v>263</v>
      </c>
      <c r="BV39" t="s">
        <v>86</v>
      </c>
      <c r="BY39">
        <v>1200</v>
      </c>
      <c r="CA39" t="s">
        <v>264</v>
      </c>
      <c r="CC39" t="s">
        <v>138</v>
      </c>
      <c r="CD39">
        <v>3608</v>
      </c>
      <c r="CE39" t="s">
        <v>109</v>
      </c>
      <c r="CF39" s="3">
        <v>45874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"080066945221"</f>
        <v>080066945221</v>
      </c>
      <c r="F40" s="3">
        <v>45870</v>
      </c>
      <c r="G40">
        <v>202605</v>
      </c>
      <c r="H40" t="s">
        <v>75</v>
      </c>
      <c r="I40" t="s">
        <v>76</v>
      </c>
      <c r="J40" t="s">
        <v>77</v>
      </c>
      <c r="K40" t="s">
        <v>78</v>
      </c>
      <c r="L40" t="s">
        <v>223</v>
      </c>
      <c r="M40" t="s">
        <v>224</v>
      </c>
      <c r="N40" t="s">
        <v>265</v>
      </c>
      <c r="O40" t="s">
        <v>82</v>
      </c>
      <c r="P40" t="str">
        <f>"4170052400                    "</f>
        <v xml:space="preserve">4170052400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22.6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71.2</v>
      </c>
      <c r="BM40">
        <v>10.68</v>
      </c>
      <c r="BN40">
        <v>81.88</v>
      </c>
      <c r="BO40">
        <v>81.88</v>
      </c>
      <c r="BQ40" t="s">
        <v>266</v>
      </c>
      <c r="BR40" t="s">
        <v>84</v>
      </c>
      <c r="BS40" s="3">
        <v>45873</v>
      </c>
      <c r="BT40" s="4">
        <v>0.40972222222222221</v>
      </c>
      <c r="BU40" t="s">
        <v>267</v>
      </c>
      <c r="BV40" t="s">
        <v>86</v>
      </c>
      <c r="BY40">
        <v>1200</v>
      </c>
      <c r="CA40" t="s">
        <v>268</v>
      </c>
      <c r="CC40" t="s">
        <v>224</v>
      </c>
      <c r="CD40">
        <v>5201</v>
      </c>
      <c r="CE40" t="s">
        <v>109</v>
      </c>
      <c r="CF40" s="3">
        <v>45874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"080066946038"</f>
        <v>080066946038</v>
      </c>
      <c r="F41" s="3">
        <v>45870</v>
      </c>
      <c r="G41">
        <v>202605</v>
      </c>
      <c r="H41" t="s">
        <v>75</v>
      </c>
      <c r="I41" t="s">
        <v>76</v>
      </c>
      <c r="J41" t="s">
        <v>77</v>
      </c>
      <c r="K41" t="s">
        <v>78</v>
      </c>
      <c r="L41" t="s">
        <v>156</v>
      </c>
      <c r="M41" t="s">
        <v>157</v>
      </c>
      <c r="N41" t="s">
        <v>269</v>
      </c>
      <c r="O41" t="s">
        <v>82</v>
      </c>
      <c r="P41" t="str">
        <f>"4170052393                    "</f>
        <v xml:space="preserve">4170052393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17.649999999999999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2.9</v>
      </c>
      <c r="BK41">
        <v>3</v>
      </c>
      <c r="BL41">
        <v>55.61</v>
      </c>
      <c r="BM41">
        <v>8.34</v>
      </c>
      <c r="BN41">
        <v>63.95</v>
      </c>
      <c r="BO41">
        <v>63.95</v>
      </c>
      <c r="BQ41" t="s">
        <v>270</v>
      </c>
      <c r="BR41" t="s">
        <v>84</v>
      </c>
      <c r="BS41" s="3">
        <v>45873</v>
      </c>
      <c r="BT41" s="4">
        <v>0.35694444444444445</v>
      </c>
      <c r="BU41" t="s">
        <v>271</v>
      </c>
      <c r="BV41" t="s">
        <v>86</v>
      </c>
      <c r="BY41">
        <v>14688</v>
      </c>
      <c r="CA41" t="s">
        <v>272</v>
      </c>
      <c r="CC41" t="s">
        <v>157</v>
      </c>
      <c r="CD41">
        <v>1709</v>
      </c>
      <c r="CE41" t="s">
        <v>117</v>
      </c>
      <c r="CF41" s="3">
        <v>45874</v>
      </c>
      <c r="CI41">
        <v>1</v>
      </c>
      <c r="CJ41">
        <v>1</v>
      </c>
      <c r="CK41">
        <v>22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"080066946094"</f>
        <v>080066946094</v>
      </c>
      <c r="F42" s="3">
        <v>45870</v>
      </c>
      <c r="G42">
        <v>202605</v>
      </c>
      <c r="H42" t="s">
        <v>75</v>
      </c>
      <c r="I42" t="s">
        <v>76</v>
      </c>
      <c r="J42" t="s">
        <v>77</v>
      </c>
      <c r="K42" t="s">
        <v>78</v>
      </c>
      <c r="L42" t="s">
        <v>79</v>
      </c>
      <c r="M42" t="s">
        <v>80</v>
      </c>
      <c r="N42" t="s">
        <v>273</v>
      </c>
      <c r="O42" t="s">
        <v>82</v>
      </c>
      <c r="P42" t="str">
        <f>"4170052381                    "</f>
        <v xml:space="preserve">4170052381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17.649999999999999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1.1000000000000001</v>
      </c>
      <c r="BK42">
        <v>2</v>
      </c>
      <c r="BL42">
        <v>55.61</v>
      </c>
      <c r="BM42">
        <v>8.34</v>
      </c>
      <c r="BN42">
        <v>63.95</v>
      </c>
      <c r="BO42">
        <v>63.95</v>
      </c>
      <c r="BQ42" t="s">
        <v>274</v>
      </c>
      <c r="BR42" t="s">
        <v>84</v>
      </c>
      <c r="BS42" s="3">
        <v>45873</v>
      </c>
      <c r="BT42" s="4">
        <v>0.37986111111111109</v>
      </c>
      <c r="BU42" t="s">
        <v>150</v>
      </c>
      <c r="BV42" t="s">
        <v>86</v>
      </c>
      <c r="BY42">
        <v>5320</v>
      </c>
      <c r="CA42" t="s">
        <v>151</v>
      </c>
      <c r="CC42" t="s">
        <v>80</v>
      </c>
      <c r="CD42">
        <v>1422</v>
      </c>
      <c r="CE42" t="s">
        <v>147</v>
      </c>
      <c r="CF42" s="3">
        <v>45873</v>
      </c>
      <c r="CI42">
        <v>1</v>
      </c>
      <c r="CJ42">
        <v>1</v>
      </c>
      <c r="CK42">
        <v>22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"080066946126"</f>
        <v>080066946126</v>
      </c>
      <c r="F43" s="3">
        <v>45870</v>
      </c>
      <c r="G43">
        <v>202605</v>
      </c>
      <c r="H43" t="s">
        <v>75</v>
      </c>
      <c r="I43" t="s">
        <v>76</v>
      </c>
      <c r="J43" t="s">
        <v>77</v>
      </c>
      <c r="K43" t="s">
        <v>78</v>
      </c>
      <c r="L43" t="s">
        <v>179</v>
      </c>
      <c r="M43" t="s">
        <v>180</v>
      </c>
      <c r="N43" t="s">
        <v>275</v>
      </c>
      <c r="O43" t="s">
        <v>82</v>
      </c>
      <c r="P43" t="str">
        <f>"4170052359                    "</f>
        <v xml:space="preserve">4170052359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31.78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100.13</v>
      </c>
      <c r="BM43">
        <v>15.02</v>
      </c>
      <c r="BN43">
        <v>115.15</v>
      </c>
      <c r="BO43">
        <v>115.15</v>
      </c>
      <c r="BQ43" t="s">
        <v>276</v>
      </c>
      <c r="BR43" t="s">
        <v>84</v>
      </c>
      <c r="BS43" s="3">
        <v>45873</v>
      </c>
      <c r="BT43" s="4">
        <v>0.38194444444444442</v>
      </c>
      <c r="BU43" t="s">
        <v>277</v>
      </c>
      <c r="BV43" t="s">
        <v>86</v>
      </c>
      <c r="BY43">
        <v>1200</v>
      </c>
      <c r="CA43" t="s">
        <v>184</v>
      </c>
      <c r="CC43" t="s">
        <v>180</v>
      </c>
      <c r="CD43">
        <v>1748</v>
      </c>
      <c r="CE43" t="s">
        <v>109</v>
      </c>
      <c r="CF43" s="3">
        <v>45873</v>
      </c>
      <c r="CI43">
        <v>1</v>
      </c>
      <c r="CJ43">
        <v>1</v>
      </c>
      <c r="CK43">
        <v>24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"080066946162"</f>
        <v>080066946162</v>
      </c>
      <c r="F44" s="3">
        <v>45870</v>
      </c>
      <c r="G44">
        <v>202605</v>
      </c>
      <c r="H44" t="s">
        <v>75</v>
      </c>
      <c r="I44" t="s">
        <v>76</v>
      </c>
      <c r="J44" t="s">
        <v>77</v>
      </c>
      <c r="K44" t="s">
        <v>78</v>
      </c>
      <c r="L44" t="s">
        <v>278</v>
      </c>
      <c r="M44" t="s">
        <v>279</v>
      </c>
      <c r="N44" t="s">
        <v>280</v>
      </c>
      <c r="O44" t="s">
        <v>82</v>
      </c>
      <c r="P44" t="str">
        <f>"4170052432                    "</f>
        <v xml:space="preserve">4170052432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22.6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71.2</v>
      </c>
      <c r="BM44">
        <v>10.68</v>
      </c>
      <c r="BN44">
        <v>81.88</v>
      </c>
      <c r="BO44">
        <v>81.88</v>
      </c>
      <c r="BQ44" t="s">
        <v>281</v>
      </c>
      <c r="BR44" t="s">
        <v>84</v>
      </c>
      <c r="BS44" s="3">
        <v>45873</v>
      </c>
      <c r="BT44" s="4">
        <v>0.64930555555555558</v>
      </c>
      <c r="BU44" t="s">
        <v>282</v>
      </c>
      <c r="BV44" t="s">
        <v>86</v>
      </c>
      <c r="BY44">
        <v>1200</v>
      </c>
      <c r="CA44" t="s">
        <v>283</v>
      </c>
      <c r="CC44" t="s">
        <v>279</v>
      </c>
      <c r="CD44" s="5" t="s">
        <v>284</v>
      </c>
      <c r="CE44" t="s">
        <v>109</v>
      </c>
      <c r="CF44" s="3">
        <v>45873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"080066946184"</f>
        <v>080066946184</v>
      </c>
      <c r="F45" s="3">
        <v>45870</v>
      </c>
      <c r="G45">
        <v>202605</v>
      </c>
      <c r="H45" t="s">
        <v>75</v>
      </c>
      <c r="I45" t="s">
        <v>76</v>
      </c>
      <c r="J45" t="s">
        <v>77</v>
      </c>
      <c r="K45" t="s">
        <v>78</v>
      </c>
      <c r="L45" t="s">
        <v>278</v>
      </c>
      <c r="M45" t="s">
        <v>279</v>
      </c>
      <c r="N45" t="s">
        <v>285</v>
      </c>
      <c r="O45" t="s">
        <v>82</v>
      </c>
      <c r="P45" t="str">
        <f>"4170052427                    "</f>
        <v xml:space="preserve">4170052427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22.6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71.2</v>
      </c>
      <c r="BM45">
        <v>10.68</v>
      </c>
      <c r="BN45">
        <v>81.88</v>
      </c>
      <c r="BO45">
        <v>81.88</v>
      </c>
      <c r="BQ45" t="s">
        <v>286</v>
      </c>
      <c r="BR45" t="s">
        <v>84</v>
      </c>
      <c r="BS45" s="3">
        <v>45873</v>
      </c>
      <c r="BT45" s="4">
        <v>0.39652777777777776</v>
      </c>
      <c r="BU45" t="s">
        <v>287</v>
      </c>
      <c r="BV45" t="s">
        <v>86</v>
      </c>
      <c r="BY45">
        <v>1200</v>
      </c>
      <c r="CA45" t="s">
        <v>288</v>
      </c>
      <c r="CC45" t="s">
        <v>279</v>
      </c>
      <c r="CD45" s="5" t="s">
        <v>289</v>
      </c>
      <c r="CE45" t="s">
        <v>109</v>
      </c>
      <c r="CF45" s="3">
        <v>45873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"080066946217"</f>
        <v>080066946217</v>
      </c>
      <c r="F46" s="3">
        <v>45870</v>
      </c>
      <c r="G46">
        <v>202605</v>
      </c>
      <c r="H46" t="s">
        <v>75</v>
      </c>
      <c r="I46" t="s">
        <v>76</v>
      </c>
      <c r="J46" t="s">
        <v>77</v>
      </c>
      <c r="K46" t="s">
        <v>78</v>
      </c>
      <c r="L46" t="s">
        <v>179</v>
      </c>
      <c r="M46" t="s">
        <v>180</v>
      </c>
      <c r="N46" t="s">
        <v>181</v>
      </c>
      <c r="O46" t="s">
        <v>82</v>
      </c>
      <c r="P46" t="str">
        <f>"4170052387                    "</f>
        <v xml:space="preserve">4170052387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31.78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100.13</v>
      </c>
      <c r="BM46">
        <v>15.02</v>
      </c>
      <c r="BN46">
        <v>115.15</v>
      </c>
      <c r="BO46">
        <v>115.15</v>
      </c>
      <c r="BQ46" t="s">
        <v>182</v>
      </c>
      <c r="BR46" t="s">
        <v>84</v>
      </c>
      <c r="BS46" s="3">
        <v>45873</v>
      </c>
      <c r="BT46" s="4">
        <v>0.39652777777777776</v>
      </c>
      <c r="BU46" t="s">
        <v>183</v>
      </c>
      <c r="BV46" t="s">
        <v>86</v>
      </c>
      <c r="BY46">
        <v>1200</v>
      </c>
      <c r="CA46" t="s">
        <v>184</v>
      </c>
      <c r="CC46" t="s">
        <v>180</v>
      </c>
      <c r="CD46">
        <v>1748</v>
      </c>
      <c r="CE46" t="s">
        <v>290</v>
      </c>
      <c r="CF46" s="3">
        <v>45873</v>
      </c>
      <c r="CI46">
        <v>1</v>
      </c>
      <c r="CJ46">
        <v>1</v>
      </c>
      <c r="CK46">
        <v>24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"080066947226"</f>
        <v>080066947226</v>
      </c>
      <c r="F47" s="3">
        <v>45870</v>
      </c>
      <c r="G47">
        <v>202605</v>
      </c>
      <c r="H47" t="s">
        <v>75</v>
      </c>
      <c r="I47" t="s">
        <v>76</v>
      </c>
      <c r="J47" t="s">
        <v>77</v>
      </c>
      <c r="K47" t="s">
        <v>78</v>
      </c>
      <c r="L47" t="s">
        <v>129</v>
      </c>
      <c r="M47" t="s">
        <v>130</v>
      </c>
      <c r="N47" t="s">
        <v>131</v>
      </c>
      <c r="O47" t="s">
        <v>82</v>
      </c>
      <c r="P47" t="str">
        <f>"4170052435                    "</f>
        <v xml:space="preserve">4170052435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22.6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71.2</v>
      </c>
      <c r="BM47">
        <v>10.68</v>
      </c>
      <c r="BN47">
        <v>81.88</v>
      </c>
      <c r="BO47">
        <v>81.88</v>
      </c>
      <c r="BQ47" t="s">
        <v>132</v>
      </c>
      <c r="BR47" t="s">
        <v>84</v>
      </c>
      <c r="BS47" s="3">
        <v>45873</v>
      </c>
      <c r="BT47" s="4">
        <v>0.67777777777777781</v>
      </c>
      <c r="BU47" t="s">
        <v>133</v>
      </c>
      <c r="BV47" t="s">
        <v>90</v>
      </c>
      <c r="BW47" t="s">
        <v>134</v>
      </c>
      <c r="BX47" t="s">
        <v>135</v>
      </c>
      <c r="BY47">
        <v>1200</v>
      </c>
      <c r="CA47" t="s">
        <v>136</v>
      </c>
      <c r="CC47" t="s">
        <v>130</v>
      </c>
      <c r="CD47">
        <v>4133</v>
      </c>
      <c r="CE47" t="s">
        <v>109</v>
      </c>
      <c r="CF47" s="3">
        <v>45873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"080066947248"</f>
        <v>080066947248</v>
      </c>
      <c r="F48" s="3">
        <v>45870</v>
      </c>
      <c r="G48">
        <v>202605</v>
      </c>
      <c r="H48" t="s">
        <v>75</v>
      </c>
      <c r="I48" t="s">
        <v>76</v>
      </c>
      <c r="J48" t="s">
        <v>77</v>
      </c>
      <c r="K48" t="s">
        <v>78</v>
      </c>
      <c r="L48" t="s">
        <v>217</v>
      </c>
      <c r="M48" t="s">
        <v>218</v>
      </c>
      <c r="N48" t="s">
        <v>219</v>
      </c>
      <c r="O48" t="s">
        <v>82</v>
      </c>
      <c r="P48" t="str">
        <f>"4170052436                    "</f>
        <v xml:space="preserve">4170052436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22.6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71.2</v>
      </c>
      <c r="BM48">
        <v>10.68</v>
      </c>
      <c r="BN48">
        <v>81.88</v>
      </c>
      <c r="BO48">
        <v>81.88</v>
      </c>
      <c r="BQ48" t="s">
        <v>220</v>
      </c>
      <c r="BR48" t="s">
        <v>84</v>
      </c>
      <c r="BS48" s="3">
        <v>45873</v>
      </c>
      <c r="BT48" s="4">
        <v>0.34236111111111112</v>
      </c>
      <c r="BU48" t="s">
        <v>221</v>
      </c>
      <c r="BV48" t="s">
        <v>86</v>
      </c>
      <c r="BY48">
        <v>1200</v>
      </c>
      <c r="CA48" t="s">
        <v>222</v>
      </c>
      <c r="CC48" t="s">
        <v>218</v>
      </c>
      <c r="CD48">
        <v>4000</v>
      </c>
      <c r="CE48" t="s">
        <v>109</v>
      </c>
      <c r="CF48" s="3">
        <v>45873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"080066947279"</f>
        <v>080066947279</v>
      </c>
      <c r="F49" s="3">
        <v>45870</v>
      </c>
      <c r="G49">
        <v>202605</v>
      </c>
      <c r="H49" t="s">
        <v>75</v>
      </c>
      <c r="I49" t="s">
        <v>76</v>
      </c>
      <c r="J49" t="s">
        <v>77</v>
      </c>
      <c r="K49" t="s">
        <v>78</v>
      </c>
      <c r="L49" t="s">
        <v>291</v>
      </c>
      <c r="M49" t="s">
        <v>292</v>
      </c>
      <c r="N49" t="s">
        <v>293</v>
      </c>
      <c r="O49" t="s">
        <v>82</v>
      </c>
      <c r="P49" t="str">
        <f>"4170052425                    "</f>
        <v xml:space="preserve">4170052425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17.649999999999999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55.61</v>
      </c>
      <c r="BM49">
        <v>8.34</v>
      </c>
      <c r="BN49">
        <v>63.95</v>
      </c>
      <c r="BO49">
        <v>63.95</v>
      </c>
      <c r="BQ49" t="s">
        <v>294</v>
      </c>
      <c r="BR49" t="s">
        <v>84</v>
      </c>
      <c r="BS49" s="3">
        <v>45873</v>
      </c>
      <c r="BT49" s="4">
        <v>0.39305555555555555</v>
      </c>
      <c r="BU49" t="s">
        <v>295</v>
      </c>
      <c r="BV49" t="s">
        <v>86</v>
      </c>
      <c r="BY49">
        <v>1200</v>
      </c>
      <c r="CA49" t="s">
        <v>296</v>
      </c>
      <c r="CC49" t="s">
        <v>292</v>
      </c>
      <c r="CD49">
        <v>1451</v>
      </c>
      <c r="CE49" t="s">
        <v>109</v>
      </c>
      <c r="CF49" s="3">
        <v>45873</v>
      </c>
      <c r="CI49">
        <v>1</v>
      </c>
      <c r="CJ49">
        <v>1</v>
      </c>
      <c r="CK49">
        <v>22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"080066947287"</f>
        <v>080066947287</v>
      </c>
      <c r="F50" s="3">
        <v>45870</v>
      </c>
      <c r="G50">
        <v>202605</v>
      </c>
      <c r="H50" t="s">
        <v>75</v>
      </c>
      <c r="I50" t="s">
        <v>76</v>
      </c>
      <c r="J50" t="s">
        <v>77</v>
      </c>
      <c r="K50" t="s">
        <v>78</v>
      </c>
      <c r="L50" t="s">
        <v>297</v>
      </c>
      <c r="M50" t="s">
        <v>298</v>
      </c>
      <c r="N50" t="s">
        <v>299</v>
      </c>
      <c r="O50" t="s">
        <v>82</v>
      </c>
      <c r="P50" t="str">
        <f>"4170052426                    "</f>
        <v xml:space="preserve">4170052426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39.53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3</v>
      </c>
      <c r="BJ50">
        <v>3.4</v>
      </c>
      <c r="BK50">
        <v>3.5</v>
      </c>
      <c r="BL50">
        <v>124.55</v>
      </c>
      <c r="BM50">
        <v>18.68</v>
      </c>
      <c r="BN50">
        <v>143.22999999999999</v>
      </c>
      <c r="BO50">
        <v>143.22999999999999</v>
      </c>
      <c r="BQ50" t="s">
        <v>300</v>
      </c>
      <c r="BR50" t="s">
        <v>84</v>
      </c>
      <c r="BS50" s="3">
        <v>45873</v>
      </c>
      <c r="BT50" s="4">
        <v>0.43611111111111112</v>
      </c>
      <c r="BU50" t="s">
        <v>301</v>
      </c>
      <c r="BV50" t="s">
        <v>86</v>
      </c>
      <c r="BY50">
        <v>16965</v>
      </c>
      <c r="CA50" t="s">
        <v>302</v>
      </c>
      <c r="CC50" t="s">
        <v>298</v>
      </c>
      <c r="CD50">
        <v>4302</v>
      </c>
      <c r="CE50" t="s">
        <v>147</v>
      </c>
      <c r="CF50" s="3">
        <v>45873</v>
      </c>
      <c r="CI50">
        <v>1</v>
      </c>
      <c r="CJ50">
        <v>1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"080066947299"</f>
        <v>080066947299</v>
      </c>
      <c r="F51" s="3">
        <v>45870</v>
      </c>
      <c r="G51">
        <v>202605</v>
      </c>
      <c r="H51" t="s">
        <v>75</v>
      </c>
      <c r="I51" t="s">
        <v>76</v>
      </c>
      <c r="J51" t="s">
        <v>77</v>
      </c>
      <c r="K51" t="s">
        <v>78</v>
      </c>
      <c r="L51" t="s">
        <v>303</v>
      </c>
      <c r="M51" t="s">
        <v>304</v>
      </c>
      <c r="N51" t="s">
        <v>305</v>
      </c>
      <c r="O51" t="s">
        <v>82</v>
      </c>
      <c r="P51" t="str">
        <f>"4170052430                    "</f>
        <v xml:space="preserve">4170052430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43.78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137.94</v>
      </c>
      <c r="BM51">
        <v>20.69</v>
      </c>
      <c r="BN51">
        <v>158.63</v>
      </c>
      <c r="BO51">
        <v>158.63</v>
      </c>
      <c r="BQ51" t="s">
        <v>306</v>
      </c>
      <c r="BR51" t="s">
        <v>84</v>
      </c>
      <c r="BS51" s="3">
        <v>45873</v>
      </c>
      <c r="BT51" s="4">
        <v>0.34236111111111112</v>
      </c>
      <c r="BU51" t="s">
        <v>307</v>
      </c>
      <c r="BV51" t="s">
        <v>86</v>
      </c>
      <c r="BY51">
        <v>1200</v>
      </c>
      <c r="CA51" t="s">
        <v>308</v>
      </c>
      <c r="CC51" t="s">
        <v>304</v>
      </c>
      <c r="CD51">
        <v>7130</v>
      </c>
      <c r="CE51" t="s">
        <v>178</v>
      </c>
      <c r="CF51" s="3">
        <v>45874</v>
      </c>
      <c r="CI51">
        <v>1</v>
      </c>
      <c r="CJ51">
        <v>1</v>
      </c>
      <c r="CK51">
        <v>23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"080066947319"</f>
        <v>080066947319</v>
      </c>
      <c r="F52" s="3">
        <v>45870</v>
      </c>
      <c r="G52">
        <v>202605</v>
      </c>
      <c r="H52" t="s">
        <v>75</v>
      </c>
      <c r="I52" t="s">
        <v>76</v>
      </c>
      <c r="J52" t="s">
        <v>77</v>
      </c>
      <c r="K52" t="s">
        <v>78</v>
      </c>
      <c r="L52" t="s">
        <v>110</v>
      </c>
      <c r="M52" t="s">
        <v>111</v>
      </c>
      <c r="N52" t="s">
        <v>309</v>
      </c>
      <c r="O52" t="s">
        <v>113</v>
      </c>
      <c r="P52" t="str">
        <f>"4170052429                    "</f>
        <v xml:space="preserve">4170052429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17.66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5</v>
      </c>
      <c r="BJ52">
        <v>1.9</v>
      </c>
      <c r="BK52">
        <v>5</v>
      </c>
      <c r="BL52">
        <v>55.63</v>
      </c>
      <c r="BM52">
        <v>8.34</v>
      </c>
      <c r="BN52">
        <v>63.97</v>
      </c>
      <c r="BO52">
        <v>63.97</v>
      </c>
      <c r="BQ52" t="s">
        <v>310</v>
      </c>
      <c r="BR52" t="s">
        <v>84</v>
      </c>
      <c r="BS52" s="3">
        <v>45873</v>
      </c>
      <c r="BT52" s="4">
        <v>0.51249999999999996</v>
      </c>
      <c r="BU52" t="s">
        <v>311</v>
      </c>
      <c r="BV52" t="s">
        <v>86</v>
      </c>
      <c r="BY52">
        <v>9600</v>
      </c>
      <c r="CA52" t="s">
        <v>312</v>
      </c>
      <c r="CC52" t="s">
        <v>111</v>
      </c>
      <c r="CD52">
        <v>2163</v>
      </c>
      <c r="CE52" t="s">
        <v>178</v>
      </c>
      <c r="CF52" s="3">
        <v>45874</v>
      </c>
      <c r="CI52">
        <v>1</v>
      </c>
      <c r="CJ52">
        <v>1</v>
      </c>
      <c r="CK52">
        <v>32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"080066947325"</f>
        <v>080066947325</v>
      </c>
      <c r="F53" s="3">
        <v>45870</v>
      </c>
      <c r="G53">
        <v>202605</v>
      </c>
      <c r="H53" t="s">
        <v>75</v>
      </c>
      <c r="I53" t="s">
        <v>76</v>
      </c>
      <c r="J53" t="s">
        <v>77</v>
      </c>
      <c r="K53" t="s">
        <v>78</v>
      </c>
      <c r="L53" t="s">
        <v>278</v>
      </c>
      <c r="M53" t="s">
        <v>279</v>
      </c>
      <c r="N53" t="s">
        <v>280</v>
      </c>
      <c r="O53" t="s">
        <v>82</v>
      </c>
      <c r="P53" t="str">
        <f>"4170052431                    "</f>
        <v xml:space="preserve">4170052431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22.6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71.2</v>
      </c>
      <c r="BM53">
        <v>10.68</v>
      </c>
      <c r="BN53">
        <v>81.88</v>
      </c>
      <c r="BO53">
        <v>81.88</v>
      </c>
      <c r="BQ53" t="s">
        <v>281</v>
      </c>
      <c r="BR53" t="s">
        <v>84</v>
      </c>
      <c r="BS53" s="3">
        <v>45873</v>
      </c>
      <c r="BT53" s="4">
        <v>0.64930555555555558</v>
      </c>
      <c r="BU53" t="s">
        <v>282</v>
      </c>
      <c r="BV53" t="s">
        <v>86</v>
      </c>
      <c r="BY53">
        <v>1200</v>
      </c>
      <c r="CA53" t="s">
        <v>283</v>
      </c>
      <c r="CC53" t="s">
        <v>279</v>
      </c>
      <c r="CD53" s="5" t="s">
        <v>284</v>
      </c>
      <c r="CE53" t="s">
        <v>178</v>
      </c>
      <c r="CF53" s="3">
        <v>45873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"080066947364"</f>
        <v>080066947364</v>
      </c>
      <c r="F54" s="3">
        <v>45870</v>
      </c>
      <c r="G54">
        <v>202605</v>
      </c>
      <c r="H54" t="s">
        <v>75</v>
      </c>
      <c r="I54" t="s">
        <v>76</v>
      </c>
      <c r="J54" t="s">
        <v>77</v>
      </c>
      <c r="K54" t="s">
        <v>78</v>
      </c>
      <c r="L54" t="s">
        <v>207</v>
      </c>
      <c r="M54" t="s">
        <v>208</v>
      </c>
      <c r="N54" t="s">
        <v>209</v>
      </c>
      <c r="O54" t="s">
        <v>82</v>
      </c>
      <c r="P54" t="str">
        <f>"4170052428                    "</f>
        <v xml:space="preserve">4170052428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43.78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137.94</v>
      </c>
      <c r="BM54">
        <v>20.69</v>
      </c>
      <c r="BN54">
        <v>158.63</v>
      </c>
      <c r="BO54">
        <v>158.63</v>
      </c>
      <c r="BQ54" t="s">
        <v>313</v>
      </c>
      <c r="BR54" t="s">
        <v>84</v>
      </c>
      <c r="BS54" s="3">
        <v>45873</v>
      </c>
      <c r="BT54" s="4">
        <v>0.58819444444444446</v>
      </c>
      <c r="BU54" t="s">
        <v>211</v>
      </c>
      <c r="BV54" t="s">
        <v>86</v>
      </c>
      <c r="BY54">
        <v>1200</v>
      </c>
      <c r="CA54" t="s">
        <v>212</v>
      </c>
      <c r="CC54" t="s">
        <v>208</v>
      </c>
      <c r="CD54">
        <v>7299</v>
      </c>
      <c r="CE54" t="s">
        <v>178</v>
      </c>
      <c r="CF54" s="3">
        <v>45874</v>
      </c>
      <c r="CI54">
        <v>1</v>
      </c>
      <c r="CJ54">
        <v>1</v>
      </c>
      <c r="CK54">
        <v>23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"080066947427"</f>
        <v>080066947427</v>
      </c>
      <c r="F55" s="3">
        <v>45870</v>
      </c>
      <c r="G55">
        <v>202605</v>
      </c>
      <c r="H55" t="s">
        <v>75</v>
      </c>
      <c r="I55" t="s">
        <v>76</v>
      </c>
      <c r="J55" t="s">
        <v>77</v>
      </c>
      <c r="K55" t="s">
        <v>78</v>
      </c>
      <c r="L55" t="s">
        <v>314</v>
      </c>
      <c r="M55" t="s">
        <v>314</v>
      </c>
      <c r="N55" t="s">
        <v>315</v>
      </c>
      <c r="O55" t="s">
        <v>82</v>
      </c>
      <c r="P55" t="str">
        <f>"4170052441                    "</f>
        <v xml:space="preserve">4170052441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31.78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100.13</v>
      </c>
      <c r="BM55">
        <v>15.02</v>
      </c>
      <c r="BN55">
        <v>115.15</v>
      </c>
      <c r="BO55">
        <v>115.15</v>
      </c>
      <c r="BQ55" t="s">
        <v>316</v>
      </c>
      <c r="BR55" t="s">
        <v>84</v>
      </c>
      <c r="BS55" s="3">
        <v>45873</v>
      </c>
      <c r="BT55" s="4">
        <v>0.35138888888888886</v>
      </c>
      <c r="BU55" t="s">
        <v>317</v>
      </c>
      <c r="BV55" t="s">
        <v>86</v>
      </c>
      <c r="BY55">
        <v>1200</v>
      </c>
      <c r="CA55" t="s">
        <v>318</v>
      </c>
      <c r="CC55" t="s">
        <v>314</v>
      </c>
      <c r="CD55">
        <v>1490</v>
      </c>
      <c r="CE55" t="s">
        <v>178</v>
      </c>
      <c r="CF55" s="3">
        <v>45874</v>
      </c>
      <c r="CI55">
        <v>1</v>
      </c>
      <c r="CJ55">
        <v>1</v>
      </c>
      <c r="CK55">
        <v>24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"080066947452"</f>
        <v>080066947452</v>
      </c>
      <c r="F56" s="3">
        <v>45870</v>
      </c>
      <c r="G56">
        <v>202605</v>
      </c>
      <c r="H56" t="s">
        <v>75</v>
      </c>
      <c r="I56" t="s">
        <v>76</v>
      </c>
      <c r="J56" t="s">
        <v>77</v>
      </c>
      <c r="K56" t="s">
        <v>78</v>
      </c>
      <c r="L56" t="s">
        <v>234</v>
      </c>
      <c r="M56" t="s">
        <v>235</v>
      </c>
      <c r="N56" t="s">
        <v>236</v>
      </c>
      <c r="O56" t="s">
        <v>82</v>
      </c>
      <c r="P56" t="str">
        <f>"4170052404                    "</f>
        <v xml:space="preserve">4170052404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28.24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2.4</v>
      </c>
      <c r="BK56">
        <v>2.5</v>
      </c>
      <c r="BL56">
        <v>88.98</v>
      </c>
      <c r="BM56">
        <v>13.35</v>
      </c>
      <c r="BN56">
        <v>102.33</v>
      </c>
      <c r="BO56">
        <v>102.33</v>
      </c>
      <c r="BQ56" t="s">
        <v>237</v>
      </c>
      <c r="BR56" t="s">
        <v>84</v>
      </c>
      <c r="BS56" s="3">
        <v>45873</v>
      </c>
      <c r="BT56" s="4">
        <v>0.37847222222222221</v>
      </c>
      <c r="BU56" t="s">
        <v>238</v>
      </c>
      <c r="BV56" t="s">
        <v>86</v>
      </c>
      <c r="BY56">
        <v>11760</v>
      </c>
      <c r="CA56" t="s">
        <v>239</v>
      </c>
      <c r="CC56" t="s">
        <v>235</v>
      </c>
      <c r="CD56" s="5" t="s">
        <v>240</v>
      </c>
      <c r="CE56" t="s">
        <v>178</v>
      </c>
      <c r="CF56" s="3">
        <v>45873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"080066947495"</f>
        <v>080066947495</v>
      </c>
      <c r="F57" s="3">
        <v>45870</v>
      </c>
      <c r="G57">
        <v>202605</v>
      </c>
      <c r="H57" t="s">
        <v>75</v>
      </c>
      <c r="I57" t="s">
        <v>76</v>
      </c>
      <c r="J57" t="s">
        <v>77</v>
      </c>
      <c r="K57" t="s">
        <v>78</v>
      </c>
      <c r="L57" t="s">
        <v>234</v>
      </c>
      <c r="M57" t="s">
        <v>235</v>
      </c>
      <c r="N57" t="s">
        <v>236</v>
      </c>
      <c r="O57" t="s">
        <v>95</v>
      </c>
      <c r="P57" t="str">
        <f>"4170052405                    "</f>
        <v xml:space="preserve">4170052405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43.7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4</v>
      </c>
      <c r="BJ57">
        <v>4.5</v>
      </c>
      <c r="BK57">
        <v>5</v>
      </c>
      <c r="BL57">
        <v>143.55000000000001</v>
      </c>
      <c r="BM57">
        <v>21.53</v>
      </c>
      <c r="BN57">
        <v>165.08</v>
      </c>
      <c r="BO57">
        <v>165.08</v>
      </c>
      <c r="BQ57" t="s">
        <v>237</v>
      </c>
      <c r="BR57" t="s">
        <v>84</v>
      </c>
      <c r="BS57" s="3">
        <v>45873</v>
      </c>
      <c r="BT57" s="4">
        <v>0.37708333333333333</v>
      </c>
      <c r="BU57" t="s">
        <v>238</v>
      </c>
      <c r="BV57" t="s">
        <v>86</v>
      </c>
      <c r="BY57">
        <v>22528</v>
      </c>
      <c r="CA57" t="s">
        <v>239</v>
      </c>
      <c r="CC57" t="s">
        <v>235</v>
      </c>
      <c r="CD57" s="5" t="s">
        <v>240</v>
      </c>
      <c r="CE57" t="s">
        <v>117</v>
      </c>
      <c r="CF57" s="3">
        <v>45873</v>
      </c>
      <c r="CI57">
        <v>1</v>
      </c>
      <c r="CJ57">
        <v>1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"080066947518"</f>
        <v>080066947518</v>
      </c>
      <c r="F58" s="3">
        <v>45870</v>
      </c>
      <c r="G58">
        <v>202605</v>
      </c>
      <c r="H58" t="s">
        <v>75</v>
      </c>
      <c r="I58" t="s">
        <v>76</v>
      </c>
      <c r="J58" t="s">
        <v>77</v>
      </c>
      <c r="K58" t="s">
        <v>78</v>
      </c>
      <c r="L58" t="s">
        <v>319</v>
      </c>
      <c r="M58" t="s">
        <v>320</v>
      </c>
      <c r="N58" t="s">
        <v>321</v>
      </c>
      <c r="O58" t="s">
        <v>82</v>
      </c>
      <c r="P58" t="str">
        <f>"4170052439                    "</f>
        <v xml:space="preserve">4170052439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43.78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0.6</v>
      </c>
      <c r="BK58">
        <v>1</v>
      </c>
      <c r="BL58">
        <v>137.94</v>
      </c>
      <c r="BM58">
        <v>20.69</v>
      </c>
      <c r="BN58">
        <v>158.63</v>
      </c>
      <c r="BO58">
        <v>158.63</v>
      </c>
      <c r="BQ58" t="s">
        <v>322</v>
      </c>
      <c r="BR58" t="s">
        <v>84</v>
      </c>
      <c r="BS58" s="3">
        <v>45873</v>
      </c>
      <c r="BT58" s="4">
        <v>0.47222222222222221</v>
      </c>
      <c r="BU58" t="s">
        <v>323</v>
      </c>
      <c r="BV58" t="s">
        <v>86</v>
      </c>
      <c r="BY58">
        <v>3192</v>
      </c>
      <c r="CA58" t="s">
        <v>324</v>
      </c>
      <c r="CC58" t="s">
        <v>320</v>
      </c>
      <c r="CD58">
        <v>2531</v>
      </c>
      <c r="CE58" t="s">
        <v>147</v>
      </c>
      <c r="CF58" s="3">
        <v>45874</v>
      </c>
      <c r="CI58">
        <v>1</v>
      </c>
      <c r="CJ58">
        <v>1</v>
      </c>
      <c r="CK58">
        <v>23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"080066947540"</f>
        <v>080066947540</v>
      </c>
      <c r="F59" s="3">
        <v>45870</v>
      </c>
      <c r="G59">
        <v>202605</v>
      </c>
      <c r="H59" t="s">
        <v>75</v>
      </c>
      <c r="I59" t="s">
        <v>76</v>
      </c>
      <c r="J59" t="s">
        <v>77</v>
      </c>
      <c r="K59" t="s">
        <v>78</v>
      </c>
      <c r="L59" t="s">
        <v>110</v>
      </c>
      <c r="M59" t="s">
        <v>111</v>
      </c>
      <c r="N59" t="s">
        <v>309</v>
      </c>
      <c r="O59" t="s">
        <v>82</v>
      </c>
      <c r="P59" t="str">
        <f>"4170052421                    "</f>
        <v xml:space="preserve">4170052421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17.649999999999999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1.1000000000000001</v>
      </c>
      <c r="BK59">
        <v>2</v>
      </c>
      <c r="BL59">
        <v>55.61</v>
      </c>
      <c r="BM59">
        <v>8.34</v>
      </c>
      <c r="BN59">
        <v>63.95</v>
      </c>
      <c r="BO59">
        <v>63.95</v>
      </c>
      <c r="BQ59" t="s">
        <v>310</v>
      </c>
      <c r="BR59" t="s">
        <v>84</v>
      </c>
      <c r="BS59" s="3">
        <v>45873</v>
      </c>
      <c r="BT59" s="4">
        <v>0.42222222222222222</v>
      </c>
      <c r="BU59" t="s">
        <v>311</v>
      </c>
      <c r="BV59" t="s">
        <v>86</v>
      </c>
      <c r="BY59">
        <v>5320</v>
      </c>
      <c r="CA59" t="s">
        <v>312</v>
      </c>
      <c r="CC59" t="s">
        <v>111</v>
      </c>
      <c r="CD59">
        <v>2163</v>
      </c>
      <c r="CE59" t="s">
        <v>147</v>
      </c>
      <c r="CF59" s="3">
        <v>45874</v>
      </c>
      <c r="CI59">
        <v>1</v>
      </c>
      <c r="CJ59">
        <v>1</v>
      </c>
      <c r="CK59">
        <v>22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"080066947576"</f>
        <v>080066947576</v>
      </c>
      <c r="F60" s="3">
        <v>45870</v>
      </c>
      <c r="G60">
        <v>202605</v>
      </c>
      <c r="H60" t="s">
        <v>75</v>
      </c>
      <c r="I60" t="s">
        <v>76</v>
      </c>
      <c r="J60" t="s">
        <v>77</v>
      </c>
      <c r="K60" t="s">
        <v>78</v>
      </c>
      <c r="L60" t="s">
        <v>325</v>
      </c>
      <c r="M60" t="s">
        <v>326</v>
      </c>
      <c r="N60" t="s">
        <v>327</v>
      </c>
      <c r="O60" t="s">
        <v>82</v>
      </c>
      <c r="P60" t="str">
        <f>"4170052423                    "</f>
        <v xml:space="preserve">4170052423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17.649999999999999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3</v>
      </c>
      <c r="BJ60">
        <v>2.2000000000000002</v>
      </c>
      <c r="BK60">
        <v>3</v>
      </c>
      <c r="BL60">
        <v>55.61</v>
      </c>
      <c r="BM60">
        <v>8.34</v>
      </c>
      <c r="BN60">
        <v>63.95</v>
      </c>
      <c r="BO60">
        <v>63.95</v>
      </c>
      <c r="BQ60" t="s">
        <v>328</v>
      </c>
      <c r="BR60" t="s">
        <v>84</v>
      </c>
      <c r="BS60" s="3">
        <v>45873</v>
      </c>
      <c r="BT60" s="4">
        <v>0.38194444444444442</v>
      </c>
      <c r="BU60" t="s">
        <v>329</v>
      </c>
      <c r="BV60" t="s">
        <v>86</v>
      </c>
      <c r="BY60">
        <v>10800</v>
      </c>
      <c r="BZ60" t="s">
        <v>330</v>
      </c>
      <c r="CA60" t="s">
        <v>331</v>
      </c>
      <c r="CC60" t="s">
        <v>326</v>
      </c>
      <c r="CD60">
        <v>2190</v>
      </c>
      <c r="CE60" t="s">
        <v>290</v>
      </c>
      <c r="CF60" s="3">
        <v>45874</v>
      </c>
      <c r="CI60">
        <v>1</v>
      </c>
      <c r="CJ60">
        <v>1</v>
      </c>
      <c r="CK60">
        <v>22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"080066947709"</f>
        <v>080066947709</v>
      </c>
      <c r="F61" s="3">
        <v>45870</v>
      </c>
      <c r="G61">
        <v>202605</v>
      </c>
      <c r="H61" t="s">
        <v>75</v>
      </c>
      <c r="I61" t="s">
        <v>76</v>
      </c>
      <c r="J61" t="s">
        <v>77</v>
      </c>
      <c r="K61" t="s">
        <v>78</v>
      </c>
      <c r="L61" t="s">
        <v>223</v>
      </c>
      <c r="M61" t="s">
        <v>224</v>
      </c>
      <c r="N61" t="s">
        <v>332</v>
      </c>
      <c r="O61" t="s">
        <v>82</v>
      </c>
      <c r="P61" t="str">
        <f>"4170052440                    "</f>
        <v xml:space="preserve">4170052440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56.47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5</v>
      </c>
      <c r="BJ61">
        <v>2</v>
      </c>
      <c r="BK61">
        <v>5</v>
      </c>
      <c r="BL61">
        <v>177.91</v>
      </c>
      <c r="BM61">
        <v>26.69</v>
      </c>
      <c r="BN61">
        <v>204.6</v>
      </c>
      <c r="BO61">
        <v>204.6</v>
      </c>
      <c r="BQ61" t="s">
        <v>333</v>
      </c>
      <c r="BR61" t="s">
        <v>84</v>
      </c>
      <c r="BS61" s="3">
        <v>45873</v>
      </c>
      <c r="BT61" s="4">
        <v>0.4375</v>
      </c>
      <c r="BU61" t="s">
        <v>334</v>
      </c>
      <c r="BV61" t="s">
        <v>86</v>
      </c>
      <c r="BY61">
        <v>10240</v>
      </c>
      <c r="CC61" t="s">
        <v>224</v>
      </c>
      <c r="CD61">
        <v>5201</v>
      </c>
      <c r="CE61" t="s">
        <v>117</v>
      </c>
      <c r="CF61" s="3">
        <v>45873</v>
      </c>
      <c r="CI61">
        <v>1</v>
      </c>
      <c r="CJ61">
        <v>1</v>
      </c>
      <c r="CK61">
        <v>21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"080066948031"</f>
        <v>080066948031</v>
      </c>
      <c r="F62" s="3">
        <v>45870</v>
      </c>
      <c r="G62">
        <v>202605</v>
      </c>
      <c r="H62" t="s">
        <v>75</v>
      </c>
      <c r="I62" t="s">
        <v>76</v>
      </c>
      <c r="J62" t="s">
        <v>77</v>
      </c>
      <c r="K62" t="s">
        <v>78</v>
      </c>
      <c r="L62" t="s">
        <v>335</v>
      </c>
      <c r="M62" t="s">
        <v>336</v>
      </c>
      <c r="N62" t="s">
        <v>337</v>
      </c>
      <c r="O62" t="s">
        <v>82</v>
      </c>
      <c r="P62" t="str">
        <f>"4170052444                    "</f>
        <v xml:space="preserve">4170052444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43.78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137.94</v>
      </c>
      <c r="BM62">
        <v>20.69</v>
      </c>
      <c r="BN62">
        <v>158.63</v>
      </c>
      <c r="BO62">
        <v>158.63</v>
      </c>
      <c r="BQ62" t="s">
        <v>338</v>
      </c>
      <c r="BR62" t="s">
        <v>84</v>
      </c>
      <c r="BS62" s="3">
        <v>45873</v>
      </c>
      <c r="BT62" s="4">
        <v>0.43194444444444446</v>
      </c>
      <c r="BU62" t="s">
        <v>339</v>
      </c>
      <c r="BV62" t="s">
        <v>86</v>
      </c>
      <c r="BY62">
        <v>1200</v>
      </c>
      <c r="CA62" t="s">
        <v>340</v>
      </c>
      <c r="CC62" t="s">
        <v>336</v>
      </c>
      <c r="CD62" s="5" t="s">
        <v>341</v>
      </c>
      <c r="CE62" t="s">
        <v>109</v>
      </c>
      <c r="CF62" s="3">
        <v>45874</v>
      </c>
      <c r="CI62">
        <v>1</v>
      </c>
      <c r="CJ62">
        <v>1</v>
      </c>
      <c r="CK62">
        <v>23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"080066948051"</f>
        <v>080066948051</v>
      </c>
      <c r="F63" s="3">
        <v>45870</v>
      </c>
      <c r="G63">
        <v>202605</v>
      </c>
      <c r="H63" t="s">
        <v>75</v>
      </c>
      <c r="I63" t="s">
        <v>76</v>
      </c>
      <c r="J63" t="s">
        <v>77</v>
      </c>
      <c r="K63" t="s">
        <v>78</v>
      </c>
      <c r="L63" t="s">
        <v>198</v>
      </c>
      <c r="M63" t="s">
        <v>199</v>
      </c>
      <c r="N63" t="s">
        <v>342</v>
      </c>
      <c r="O63" t="s">
        <v>82</v>
      </c>
      <c r="P63" t="str">
        <f>"4170052360                    "</f>
        <v xml:space="preserve">4170052360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22.6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71.2</v>
      </c>
      <c r="BM63">
        <v>10.68</v>
      </c>
      <c r="BN63">
        <v>81.88</v>
      </c>
      <c r="BO63">
        <v>81.88</v>
      </c>
      <c r="BQ63" t="s">
        <v>343</v>
      </c>
      <c r="BR63" t="s">
        <v>84</v>
      </c>
      <c r="BS63" s="3">
        <v>45873</v>
      </c>
      <c r="BT63" s="4">
        <v>0.43263888888888891</v>
      </c>
      <c r="BU63" t="s">
        <v>344</v>
      </c>
      <c r="BV63" t="s">
        <v>86</v>
      </c>
      <c r="BY63">
        <v>1200</v>
      </c>
      <c r="CA63" t="s">
        <v>345</v>
      </c>
      <c r="CC63" t="s">
        <v>199</v>
      </c>
      <c r="CD63">
        <v>6001</v>
      </c>
      <c r="CE63" t="s">
        <v>109</v>
      </c>
      <c r="CF63" s="3">
        <v>45873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"080066948064"</f>
        <v>080066948064</v>
      </c>
      <c r="F64" s="3">
        <v>45870</v>
      </c>
      <c r="G64">
        <v>202605</v>
      </c>
      <c r="H64" t="s">
        <v>75</v>
      </c>
      <c r="I64" t="s">
        <v>76</v>
      </c>
      <c r="J64" t="s">
        <v>77</v>
      </c>
      <c r="K64" t="s">
        <v>78</v>
      </c>
      <c r="L64" t="s">
        <v>325</v>
      </c>
      <c r="M64" t="s">
        <v>326</v>
      </c>
      <c r="N64" t="s">
        <v>346</v>
      </c>
      <c r="O64" t="s">
        <v>95</v>
      </c>
      <c r="P64" t="str">
        <f>"4170052420                    "</f>
        <v xml:space="preserve">4170052420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33.72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6</v>
      </c>
      <c r="BJ64">
        <v>9.8000000000000007</v>
      </c>
      <c r="BK64">
        <v>10</v>
      </c>
      <c r="BL64">
        <v>112.11</v>
      </c>
      <c r="BM64">
        <v>16.82</v>
      </c>
      <c r="BN64">
        <v>128.93</v>
      </c>
      <c r="BO64">
        <v>128.93</v>
      </c>
      <c r="BQ64" t="s">
        <v>347</v>
      </c>
      <c r="BR64" t="s">
        <v>84</v>
      </c>
      <c r="BS64" s="3">
        <v>45873</v>
      </c>
      <c r="BT64" s="4">
        <v>0.4375</v>
      </c>
      <c r="BU64" t="s">
        <v>348</v>
      </c>
      <c r="BV64" t="s">
        <v>86</v>
      </c>
      <c r="BY64">
        <v>49068</v>
      </c>
      <c r="CA64" t="s">
        <v>146</v>
      </c>
      <c r="CC64" t="s">
        <v>326</v>
      </c>
      <c r="CD64">
        <v>2157</v>
      </c>
      <c r="CE64" t="s">
        <v>147</v>
      </c>
      <c r="CF64" s="3">
        <v>45874</v>
      </c>
      <c r="CI64">
        <v>1</v>
      </c>
      <c r="CJ64">
        <v>1</v>
      </c>
      <c r="CK64">
        <v>42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"080066948074"</f>
        <v>080066948074</v>
      </c>
      <c r="F65" s="3">
        <v>45870</v>
      </c>
      <c r="G65">
        <v>202605</v>
      </c>
      <c r="H65" t="s">
        <v>75</v>
      </c>
      <c r="I65" t="s">
        <v>76</v>
      </c>
      <c r="J65" t="s">
        <v>77</v>
      </c>
      <c r="K65" t="s">
        <v>78</v>
      </c>
      <c r="L65" t="s">
        <v>349</v>
      </c>
      <c r="M65" t="s">
        <v>350</v>
      </c>
      <c r="N65" t="s">
        <v>351</v>
      </c>
      <c r="O65" t="s">
        <v>82</v>
      </c>
      <c r="P65" t="str">
        <f>"4170052437                    "</f>
        <v xml:space="preserve">4170052437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43.78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16.739999999999998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154.68</v>
      </c>
      <c r="BM65">
        <v>23.2</v>
      </c>
      <c r="BN65">
        <v>177.88</v>
      </c>
      <c r="BO65">
        <v>177.88</v>
      </c>
      <c r="BQ65" t="s">
        <v>352</v>
      </c>
      <c r="BR65" t="s">
        <v>84</v>
      </c>
      <c r="BS65" s="3">
        <v>45872</v>
      </c>
      <c r="BT65" s="4">
        <v>0.57847222222222228</v>
      </c>
      <c r="BU65" t="s">
        <v>353</v>
      </c>
      <c r="BV65" t="s">
        <v>86</v>
      </c>
      <c r="BY65">
        <v>1200</v>
      </c>
      <c r="BZ65" t="s">
        <v>30</v>
      </c>
      <c r="CA65" t="s">
        <v>354</v>
      </c>
      <c r="CC65" t="s">
        <v>350</v>
      </c>
      <c r="CD65" s="5" t="s">
        <v>355</v>
      </c>
      <c r="CE65" t="s">
        <v>109</v>
      </c>
      <c r="CF65" s="3">
        <v>45873</v>
      </c>
      <c r="CI65">
        <v>1</v>
      </c>
      <c r="CJ65">
        <v>0</v>
      </c>
      <c r="CK65">
        <v>23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"080066948095"</f>
        <v>080066948095</v>
      </c>
      <c r="F66" s="3">
        <v>45870</v>
      </c>
      <c r="G66">
        <v>202605</v>
      </c>
      <c r="H66" t="s">
        <v>75</v>
      </c>
      <c r="I66" t="s">
        <v>76</v>
      </c>
      <c r="J66" t="s">
        <v>77</v>
      </c>
      <c r="K66" t="s">
        <v>78</v>
      </c>
      <c r="L66" t="s">
        <v>79</v>
      </c>
      <c r="M66" t="s">
        <v>80</v>
      </c>
      <c r="N66" t="s">
        <v>356</v>
      </c>
      <c r="O66" t="s">
        <v>82</v>
      </c>
      <c r="P66" t="str">
        <f>"4170052446                    "</f>
        <v xml:space="preserve">4170052446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17.649999999999999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0.6</v>
      </c>
      <c r="BK66">
        <v>1</v>
      </c>
      <c r="BL66">
        <v>55.61</v>
      </c>
      <c r="BM66">
        <v>8.34</v>
      </c>
      <c r="BN66">
        <v>63.95</v>
      </c>
      <c r="BO66">
        <v>63.95</v>
      </c>
      <c r="BQ66" t="s">
        <v>357</v>
      </c>
      <c r="BR66" t="s">
        <v>84</v>
      </c>
      <c r="BS66" s="3">
        <v>45873</v>
      </c>
      <c r="BT66" s="4">
        <v>0.35138888888888886</v>
      </c>
      <c r="BU66" t="s">
        <v>358</v>
      </c>
      <c r="BV66" t="s">
        <v>86</v>
      </c>
      <c r="BY66">
        <v>3192</v>
      </c>
      <c r="CA66" t="s">
        <v>151</v>
      </c>
      <c r="CC66" t="s">
        <v>80</v>
      </c>
      <c r="CD66">
        <v>1428</v>
      </c>
      <c r="CE66" t="s">
        <v>147</v>
      </c>
      <c r="CF66" s="3">
        <v>45873</v>
      </c>
      <c r="CI66">
        <v>1</v>
      </c>
      <c r="CJ66">
        <v>1</v>
      </c>
      <c r="CK66">
        <v>22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"080066948098"</f>
        <v>080066948098</v>
      </c>
      <c r="F67" s="3">
        <v>45870</v>
      </c>
      <c r="G67">
        <v>202605</v>
      </c>
      <c r="H67" t="s">
        <v>75</v>
      </c>
      <c r="I67" t="s">
        <v>76</v>
      </c>
      <c r="J67" t="s">
        <v>77</v>
      </c>
      <c r="K67" t="s">
        <v>78</v>
      </c>
      <c r="L67" t="s">
        <v>359</v>
      </c>
      <c r="M67" t="s">
        <v>360</v>
      </c>
      <c r="N67" t="s">
        <v>361</v>
      </c>
      <c r="O67" t="s">
        <v>82</v>
      </c>
      <c r="P67" t="str">
        <f>"4170052456                    "</f>
        <v xml:space="preserve">4170052456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43.78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137.94</v>
      </c>
      <c r="BM67">
        <v>20.69</v>
      </c>
      <c r="BN67">
        <v>158.63</v>
      </c>
      <c r="BO67">
        <v>158.63</v>
      </c>
      <c r="BQ67" t="s">
        <v>362</v>
      </c>
      <c r="BR67" t="s">
        <v>84</v>
      </c>
      <c r="BS67" s="3">
        <v>45873</v>
      </c>
      <c r="BT67" s="4">
        <v>0.55972222222222223</v>
      </c>
      <c r="BU67" t="s">
        <v>363</v>
      </c>
      <c r="BV67" t="s">
        <v>90</v>
      </c>
      <c r="BW67" t="s">
        <v>364</v>
      </c>
      <c r="BX67" t="s">
        <v>365</v>
      </c>
      <c r="BY67">
        <v>1200</v>
      </c>
      <c r="CA67" t="s">
        <v>366</v>
      </c>
      <c r="CC67" t="s">
        <v>360</v>
      </c>
      <c r="CD67" s="5" t="s">
        <v>367</v>
      </c>
      <c r="CE67" t="s">
        <v>109</v>
      </c>
      <c r="CF67" s="3">
        <v>45873</v>
      </c>
      <c r="CI67">
        <v>1</v>
      </c>
      <c r="CJ67">
        <v>1</v>
      </c>
      <c r="CK67">
        <v>23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"080011584733"</f>
        <v>080011584733</v>
      </c>
      <c r="F68" s="3">
        <v>45870</v>
      </c>
      <c r="G68">
        <v>202605</v>
      </c>
      <c r="H68" t="s">
        <v>123</v>
      </c>
      <c r="I68" t="s">
        <v>124</v>
      </c>
      <c r="J68" t="s">
        <v>368</v>
      </c>
      <c r="K68" t="s">
        <v>78</v>
      </c>
      <c r="L68" t="s">
        <v>75</v>
      </c>
      <c r="M68" t="s">
        <v>76</v>
      </c>
      <c r="N68" t="s">
        <v>94</v>
      </c>
      <c r="O68" t="s">
        <v>95</v>
      </c>
      <c r="P68" t="str">
        <f>"Za1001401807                  "</f>
        <v xml:space="preserve">Za1001401807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43.7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0.8</v>
      </c>
      <c r="BJ68">
        <v>1.4</v>
      </c>
      <c r="BK68">
        <v>2</v>
      </c>
      <c r="BL68">
        <v>143.55000000000001</v>
      </c>
      <c r="BM68">
        <v>21.53</v>
      </c>
      <c r="BN68">
        <v>165.08</v>
      </c>
      <c r="BO68">
        <v>165.08</v>
      </c>
      <c r="BP68" t="s">
        <v>96</v>
      </c>
      <c r="BQ68" t="s">
        <v>97</v>
      </c>
      <c r="BR68" t="s">
        <v>369</v>
      </c>
      <c r="BS68" s="3">
        <v>45873</v>
      </c>
      <c r="BT68" s="4">
        <v>0.39027777777777778</v>
      </c>
      <c r="BU68" t="s">
        <v>99</v>
      </c>
      <c r="BV68" t="s">
        <v>86</v>
      </c>
      <c r="BY68">
        <v>7189.6</v>
      </c>
      <c r="BZ68" t="s">
        <v>100</v>
      </c>
      <c r="CA68" t="s">
        <v>101</v>
      </c>
      <c r="CC68" t="s">
        <v>76</v>
      </c>
      <c r="CD68">
        <v>1619</v>
      </c>
      <c r="CE68" t="s">
        <v>102</v>
      </c>
      <c r="CF68" s="3">
        <v>45873</v>
      </c>
      <c r="CI68">
        <v>3</v>
      </c>
      <c r="CJ68">
        <v>1</v>
      </c>
      <c r="CK68">
        <v>41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"080066948120"</f>
        <v>080066948120</v>
      </c>
      <c r="F69" s="3">
        <v>45870</v>
      </c>
      <c r="G69">
        <v>202605</v>
      </c>
      <c r="H69" t="s">
        <v>75</v>
      </c>
      <c r="I69" t="s">
        <v>76</v>
      </c>
      <c r="J69" t="s">
        <v>77</v>
      </c>
      <c r="K69" t="s">
        <v>78</v>
      </c>
      <c r="L69" t="s">
        <v>137</v>
      </c>
      <c r="M69" t="s">
        <v>138</v>
      </c>
      <c r="N69" t="s">
        <v>370</v>
      </c>
      <c r="O69" t="s">
        <v>82</v>
      </c>
      <c r="P69" t="str">
        <f>"4170052450                    "</f>
        <v xml:space="preserve">4170052450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22.6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71.2</v>
      </c>
      <c r="BM69">
        <v>10.68</v>
      </c>
      <c r="BN69">
        <v>81.88</v>
      </c>
      <c r="BO69">
        <v>81.88</v>
      </c>
      <c r="BQ69" t="s">
        <v>371</v>
      </c>
      <c r="BR69" t="s">
        <v>84</v>
      </c>
      <c r="BS69" s="3">
        <v>45873</v>
      </c>
      <c r="BT69" s="4">
        <v>0.41180555555555554</v>
      </c>
      <c r="BU69" t="s">
        <v>372</v>
      </c>
      <c r="BV69" t="s">
        <v>86</v>
      </c>
      <c r="BY69">
        <v>1200</v>
      </c>
      <c r="CA69" t="s">
        <v>264</v>
      </c>
      <c r="CC69" t="s">
        <v>138</v>
      </c>
      <c r="CD69">
        <v>3608</v>
      </c>
      <c r="CE69" t="s">
        <v>109</v>
      </c>
      <c r="CF69" s="3">
        <v>45874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"080066948138"</f>
        <v>080066948138</v>
      </c>
      <c r="F70" s="3">
        <v>45870</v>
      </c>
      <c r="G70">
        <v>202605</v>
      </c>
      <c r="H70" t="s">
        <v>75</v>
      </c>
      <c r="I70" t="s">
        <v>76</v>
      </c>
      <c r="J70" t="s">
        <v>77</v>
      </c>
      <c r="K70" t="s">
        <v>78</v>
      </c>
      <c r="L70" t="s">
        <v>373</v>
      </c>
      <c r="M70" t="s">
        <v>374</v>
      </c>
      <c r="N70" t="s">
        <v>131</v>
      </c>
      <c r="O70" t="s">
        <v>82</v>
      </c>
      <c r="P70" t="str">
        <f>"4170052454                    "</f>
        <v xml:space="preserve">4170052454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45.18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</v>
      </c>
      <c r="BJ70">
        <v>2.2000000000000002</v>
      </c>
      <c r="BK70">
        <v>4</v>
      </c>
      <c r="BL70">
        <v>142.34</v>
      </c>
      <c r="BM70">
        <v>21.35</v>
      </c>
      <c r="BN70">
        <v>163.69</v>
      </c>
      <c r="BO70">
        <v>163.69</v>
      </c>
      <c r="BQ70" t="s">
        <v>375</v>
      </c>
      <c r="BR70" t="s">
        <v>84</v>
      </c>
      <c r="BS70" s="3">
        <v>45873</v>
      </c>
      <c r="BT70" s="4">
        <v>0.42430555555555555</v>
      </c>
      <c r="BU70" t="s">
        <v>376</v>
      </c>
      <c r="BV70" t="s">
        <v>86</v>
      </c>
      <c r="BY70">
        <v>10752</v>
      </c>
      <c r="CA70" t="s">
        <v>203</v>
      </c>
      <c r="CC70" t="s">
        <v>374</v>
      </c>
      <c r="CD70">
        <v>6220</v>
      </c>
      <c r="CE70" t="s">
        <v>117</v>
      </c>
      <c r="CF70" s="3">
        <v>45873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"080066948169"</f>
        <v>080066948169</v>
      </c>
      <c r="F71" s="3">
        <v>45870</v>
      </c>
      <c r="G71">
        <v>202605</v>
      </c>
      <c r="H71" t="s">
        <v>75</v>
      </c>
      <c r="I71" t="s">
        <v>76</v>
      </c>
      <c r="J71" t="s">
        <v>77</v>
      </c>
      <c r="K71" t="s">
        <v>78</v>
      </c>
      <c r="L71" t="s">
        <v>217</v>
      </c>
      <c r="M71" t="s">
        <v>218</v>
      </c>
      <c r="N71" t="s">
        <v>219</v>
      </c>
      <c r="O71" t="s">
        <v>82</v>
      </c>
      <c r="P71" t="str">
        <f>"4170052357                    "</f>
        <v xml:space="preserve">4170052357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56.47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</v>
      </c>
      <c r="BJ71">
        <v>4.5</v>
      </c>
      <c r="BK71">
        <v>5</v>
      </c>
      <c r="BL71">
        <v>177.91</v>
      </c>
      <c r="BM71">
        <v>26.69</v>
      </c>
      <c r="BN71">
        <v>204.6</v>
      </c>
      <c r="BO71">
        <v>204.6</v>
      </c>
      <c r="BQ71" t="s">
        <v>220</v>
      </c>
      <c r="BR71" t="s">
        <v>84</v>
      </c>
      <c r="BS71" s="3">
        <v>45873</v>
      </c>
      <c r="BT71" s="4">
        <v>0.34097222222222223</v>
      </c>
      <c r="BU71" t="s">
        <v>221</v>
      </c>
      <c r="BV71" t="s">
        <v>86</v>
      </c>
      <c r="BY71">
        <v>22620</v>
      </c>
      <c r="CA71" t="s">
        <v>222</v>
      </c>
      <c r="CC71" t="s">
        <v>218</v>
      </c>
      <c r="CD71">
        <v>4051</v>
      </c>
      <c r="CE71" t="s">
        <v>147</v>
      </c>
      <c r="CF71" s="3">
        <v>45873</v>
      </c>
      <c r="CI71">
        <v>1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"080066948215"</f>
        <v>080066948215</v>
      </c>
      <c r="F72" s="3">
        <v>45870</v>
      </c>
      <c r="G72">
        <v>202605</v>
      </c>
      <c r="H72" t="s">
        <v>75</v>
      </c>
      <c r="I72" t="s">
        <v>76</v>
      </c>
      <c r="J72" t="s">
        <v>77</v>
      </c>
      <c r="K72" t="s">
        <v>78</v>
      </c>
      <c r="L72" t="s">
        <v>123</v>
      </c>
      <c r="M72" t="s">
        <v>124</v>
      </c>
      <c r="N72" t="s">
        <v>377</v>
      </c>
      <c r="O72" t="s">
        <v>82</v>
      </c>
      <c r="P72" t="str">
        <f>"4170052448                    "</f>
        <v xml:space="preserve">4170052448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22.6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</v>
      </c>
      <c r="BJ72">
        <v>1.7</v>
      </c>
      <c r="BK72">
        <v>2</v>
      </c>
      <c r="BL72">
        <v>71.2</v>
      </c>
      <c r="BM72">
        <v>10.68</v>
      </c>
      <c r="BN72">
        <v>81.88</v>
      </c>
      <c r="BO72">
        <v>81.88</v>
      </c>
      <c r="BQ72" t="s">
        <v>378</v>
      </c>
      <c r="BR72" t="s">
        <v>84</v>
      </c>
      <c r="BS72" s="3">
        <v>45874</v>
      </c>
      <c r="BT72" s="4">
        <v>0.5180555555555556</v>
      </c>
      <c r="BU72" t="s">
        <v>379</v>
      </c>
      <c r="BV72" t="s">
        <v>90</v>
      </c>
      <c r="BW72" t="s">
        <v>380</v>
      </c>
      <c r="BX72" t="s">
        <v>381</v>
      </c>
      <c r="BY72">
        <v>8512</v>
      </c>
      <c r="CA72" t="s">
        <v>382</v>
      </c>
      <c r="CC72" t="s">
        <v>124</v>
      </c>
      <c r="CD72">
        <v>7535</v>
      </c>
      <c r="CE72" t="s">
        <v>147</v>
      </c>
      <c r="CF72" s="3">
        <v>45875</v>
      </c>
      <c r="CI72">
        <v>1</v>
      </c>
      <c r="CJ72">
        <v>2</v>
      </c>
      <c r="CK72">
        <v>21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"080066948254"</f>
        <v>080066948254</v>
      </c>
      <c r="F73" s="3">
        <v>45870</v>
      </c>
      <c r="G73">
        <v>202605</v>
      </c>
      <c r="H73" t="s">
        <v>75</v>
      </c>
      <c r="I73" t="s">
        <v>76</v>
      </c>
      <c r="J73" t="s">
        <v>77</v>
      </c>
      <c r="K73" t="s">
        <v>78</v>
      </c>
      <c r="L73" t="s">
        <v>373</v>
      </c>
      <c r="M73" t="s">
        <v>374</v>
      </c>
      <c r="N73" t="s">
        <v>383</v>
      </c>
      <c r="O73" t="s">
        <v>82</v>
      </c>
      <c r="P73" t="str">
        <f>"4170052442                    "</f>
        <v xml:space="preserve">4170052442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62.11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4</v>
      </c>
      <c r="BJ73">
        <v>5.5</v>
      </c>
      <c r="BK73">
        <v>5.5</v>
      </c>
      <c r="BL73">
        <v>195.69</v>
      </c>
      <c r="BM73">
        <v>29.35</v>
      </c>
      <c r="BN73">
        <v>225.04</v>
      </c>
      <c r="BO73">
        <v>225.04</v>
      </c>
      <c r="BQ73" t="s">
        <v>384</v>
      </c>
      <c r="BR73" t="s">
        <v>84</v>
      </c>
      <c r="BS73" s="3">
        <v>45873</v>
      </c>
      <c r="BT73" s="4">
        <v>0.41736111111111113</v>
      </c>
      <c r="BU73" t="s">
        <v>376</v>
      </c>
      <c r="BV73" t="s">
        <v>86</v>
      </c>
      <c r="BY73">
        <v>27720</v>
      </c>
      <c r="CA73" t="s">
        <v>203</v>
      </c>
      <c r="CC73" t="s">
        <v>374</v>
      </c>
      <c r="CD73">
        <v>6220</v>
      </c>
      <c r="CE73" t="s">
        <v>117</v>
      </c>
      <c r="CF73" s="3">
        <v>45873</v>
      </c>
      <c r="CI73">
        <v>1</v>
      </c>
      <c r="CJ73">
        <v>1</v>
      </c>
      <c r="CK73">
        <v>21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"080066948279"</f>
        <v>080066948279</v>
      </c>
      <c r="F74" s="3">
        <v>45870</v>
      </c>
      <c r="G74">
        <v>202605</v>
      </c>
      <c r="H74" t="s">
        <v>75</v>
      </c>
      <c r="I74" t="s">
        <v>76</v>
      </c>
      <c r="J74" t="s">
        <v>77</v>
      </c>
      <c r="K74" t="s">
        <v>78</v>
      </c>
      <c r="L74" t="s">
        <v>162</v>
      </c>
      <c r="M74" t="s">
        <v>163</v>
      </c>
      <c r="N74" t="s">
        <v>246</v>
      </c>
      <c r="O74" t="s">
        <v>82</v>
      </c>
      <c r="P74" t="str">
        <f>"4170052445                    "</f>
        <v xml:space="preserve">4170052445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22.6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1.1000000000000001</v>
      </c>
      <c r="BK74">
        <v>1.5</v>
      </c>
      <c r="BL74">
        <v>71.2</v>
      </c>
      <c r="BM74">
        <v>10.68</v>
      </c>
      <c r="BN74">
        <v>81.88</v>
      </c>
      <c r="BO74">
        <v>81.88</v>
      </c>
      <c r="BQ74" t="s">
        <v>247</v>
      </c>
      <c r="BR74" t="s">
        <v>84</v>
      </c>
      <c r="BS74" s="3">
        <v>45873</v>
      </c>
      <c r="BT74" s="4">
        <v>0.41666666666666669</v>
      </c>
      <c r="BU74" t="s">
        <v>248</v>
      </c>
      <c r="BV74" t="s">
        <v>86</v>
      </c>
      <c r="BY74">
        <v>5320</v>
      </c>
      <c r="CC74" t="s">
        <v>163</v>
      </c>
      <c r="CD74">
        <v>3201</v>
      </c>
      <c r="CE74" t="s">
        <v>147</v>
      </c>
      <c r="CF74" s="3">
        <v>45874</v>
      </c>
      <c r="CI74">
        <v>1</v>
      </c>
      <c r="CJ74">
        <v>1</v>
      </c>
      <c r="CK74">
        <v>21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"080066948300"</f>
        <v>080066948300</v>
      </c>
      <c r="F75" s="3">
        <v>45870</v>
      </c>
      <c r="G75">
        <v>202605</v>
      </c>
      <c r="H75" t="s">
        <v>75</v>
      </c>
      <c r="I75" t="s">
        <v>76</v>
      </c>
      <c r="J75" t="s">
        <v>77</v>
      </c>
      <c r="K75" t="s">
        <v>78</v>
      </c>
      <c r="L75" t="s">
        <v>229</v>
      </c>
      <c r="M75" t="s">
        <v>230</v>
      </c>
      <c r="N75" t="s">
        <v>231</v>
      </c>
      <c r="O75" t="s">
        <v>82</v>
      </c>
      <c r="P75" t="str">
        <f>"4170052455                    "</f>
        <v xml:space="preserve">4170052455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43.78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1.7</v>
      </c>
      <c r="BK75">
        <v>2</v>
      </c>
      <c r="BL75">
        <v>137.94</v>
      </c>
      <c r="BM75">
        <v>20.69</v>
      </c>
      <c r="BN75">
        <v>158.63</v>
      </c>
      <c r="BO75">
        <v>158.63</v>
      </c>
      <c r="BQ75" t="s">
        <v>232</v>
      </c>
      <c r="BR75" t="s">
        <v>84</v>
      </c>
      <c r="BS75" s="3">
        <v>45873</v>
      </c>
      <c r="BT75" s="4">
        <v>0.3125</v>
      </c>
      <c r="BU75" t="s">
        <v>233</v>
      </c>
      <c r="BV75" t="s">
        <v>86</v>
      </c>
      <c r="BY75">
        <v>8550</v>
      </c>
      <c r="CC75" t="s">
        <v>230</v>
      </c>
      <c r="CD75">
        <v>2740</v>
      </c>
      <c r="CE75" t="s">
        <v>147</v>
      </c>
      <c r="CF75" s="3">
        <v>45874</v>
      </c>
      <c r="CI75">
        <v>1</v>
      </c>
      <c r="CJ75">
        <v>1</v>
      </c>
      <c r="CK75">
        <v>23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"080066948334"</f>
        <v>080066948334</v>
      </c>
      <c r="F76" s="3">
        <v>45870</v>
      </c>
      <c r="G76">
        <v>202605</v>
      </c>
      <c r="H76" t="s">
        <v>75</v>
      </c>
      <c r="I76" t="s">
        <v>76</v>
      </c>
      <c r="J76" t="s">
        <v>77</v>
      </c>
      <c r="K76" t="s">
        <v>78</v>
      </c>
      <c r="L76" t="s">
        <v>385</v>
      </c>
      <c r="M76" t="s">
        <v>386</v>
      </c>
      <c r="N76" t="s">
        <v>387</v>
      </c>
      <c r="O76" t="s">
        <v>82</v>
      </c>
      <c r="P76" t="str">
        <f>"4170052449                    "</f>
        <v xml:space="preserve">4170052449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19.77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8.3000000000000007</v>
      </c>
      <c r="BK76">
        <v>9</v>
      </c>
      <c r="BL76">
        <v>62.28</v>
      </c>
      <c r="BM76">
        <v>9.34</v>
      </c>
      <c r="BN76">
        <v>71.62</v>
      </c>
      <c r="BO76">
        <v>71.62</v>
      </c>
      <c r="BQ76" t="s">
        <v>388</v>
      </c>
      <c r="BR76" t="s">
        <v>84</v>
      </c>
      <c r="BS76" s="3">
        <v>45873</v>
      </c>
      <c r="BT76" s="4">
        <v>0.37152777777777779</v>
      </c>
      <c r="BU76" t="s">
        <v>389</v>
      </c>
      <c r="BV76" t="s">
        <v>86</v>
      </c>
      <c r="BY76">
        <v>41720</v>
      </c>
      <c r="CA76" t="s">
        <v>390</v>
      </c>
      <c r="CC76" t="s">
        <v>386</v>
      </c>
      <c r="CD76">
        <v>1559</v>
      </c>
      <c r="CE76" t="s">
        <v>147</v>
      </c>
      <c r="CF76" s="3">
        <v>45874</v>
      </c>
      <c r="CI76">
        <v>1</v>
      </c>
      <c r="CJ76">
        <v>1</v>
      </c>
      <c r="CK76">
        <v>22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"080066948356"</f>
        <v>080066948356</v>
      </c>
      <c r="F77" s="3">
        <v>45870</v>
      </c>
      <c r="G77">
        <v>202605</v>
      </c>
      <c r="H77" t="s">
        <v>75</v>
      </c>
      <c r="I77" t="s">
        <v>76</v>
      </c>
      <c r="J77" t="s">
        <v>77</v>
      </c>
      <c r="K77" t="s">
        <v>78</v>
      </c>
      <c r="L77" t="s">
        <v>391</v>
      </c>
      <c r="M77" t="s">
        <v>392</v>
      </c>
      <c r="N77" t="s">
        <v>393</v>
      </c>
      <c r="O77" t="s">
        <v>95</v>
      </c>
      <c r="P77" t="str">
        <f>"4170052443                    "</f>
        <v xml:space="preserve">4170052443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115.15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7</v>
      </c>
      <c r="BJ77">
        <v>31.6</v>
      </c>
      <c r="BK77">
        <v>32</v>
      </c>
      <c r="BL77">
        <v>368.66</v>
      </c>
      <c r="BM77">
        <v>55.3</v>
      </c>
      <c r="BN77">
        <v>423.96</v>
      </c>
      <c r="BO77">
        <v>423.96</v>
      </c>
      <c r="BQ77" t="s">
        <v>394</v>
      </c>
      <c r="BR77" t="s">
        <v>84</v>
      </c>
      <c r="BS77" s="3">
        <v>45873</v>
      </c>
      <c r="BT77" s="4">
        <v>0.51388888888888884</v>
      </c>
      <c r="BU77" t="s">
        <v>395</v>
      </c>
      <c r="BV77" t="s">
        <v>86</v>
      </c>
      <c r="BY77">
        <v>157920</v>
      </c>
      <c r="CA77" t="s">
        <v>396</v>
      </c>
      <c r="CC77" t="s">
        <v>392</v>
      </c>
      <c r="CD77">
        <v>6715</v>
      </c>
      <c r="CE77" t="s">
        <v>147</v>
      </c>
      <c r="CF77" s="3">
        <v>45874</v>
      </c>
      <c r="CI77">
        <v>4</v>
      </c>
      <c r="CJ77">
        <v>1</v>
      </c>
      <c r="CK77">
        <v>43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"080066948379"</f>
        <v>080066948379</v>
      </c>
      <c r="F78" s="3">
        <v>45870</v>
      </c>
      <c r="G78">
        <v>202605</v>
      </c>
      <c r="H78" t="s">
        <v>75</v>
      </c>
      <c r="I78" t="s">
        <v>76</v>
      </c>
      <c r="J78" t="s">
        <v>77</v>
      </c>
      <c r="K78" t="s">
        <v>78</v>
      </c>
      <c r="L78" t="s">
        <v>385</v>
      </c>
      <c r="M78" t="s">
        <v>386</v>
      </c>
      <c r="N78" t="s">
        <v>397</v>
      </c>
      <c r="O78" t="s">
        <v>113</v>
      </c>
      <c r="P78" t="str">
        <f>"4170052403                    "</f>
        <v xml:space="preserve">4170052403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17.66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</v>
      </c>
      <c r="BJ78">
        <v>4.5999999999999996</v>
      </c>
      <c r="BK78">
        <v>5</v>
      </c>
      <c r="BL78">
        <v>55.63</v>
      </c>
      <c r="BM78">
        <v>8.34</v>
      </c>
      <c r="BN78">
        <v>63.97</v>
      </c>
      <c r="BO78">
        <v>63.97</v>
      </c>
      <c r="BQ78" t="s">
        <v>398</v>
      </c>
      <c r="BR78" t="s">
        <v>84</v>
      </c>
      <c r="BS78" s="3">
        <v>45873</v>
      </c>
      <c r="BT78" s="4">
        <v>0.4375</v>
      </c>
      <c r="BU78" t="s">
        <v>399</v>
      </c>
      <c r="BV78" t="s">
        <v>86</v>
      </c>
      <c r="BY78">
        <v>23040</v>
      </c>
      <c r="CA78" t="s">
        <v>390</v>
      </c>
      <c r="CC78" t="s">
        <v>386</v>
      </c>
      <c r="CD78">
        <v>1559</v>
      </c>
      <c r="CE78" t="s">
        <v>117</v>
      </c>
      <c r="CF78" s="3">
        <v>45874</v>
      </c>
      <c r="CI78">
        <v>1</v>
      </c>
      <c r="CJ78">
        <v>1</v>
      </c>
      <c r="CK78">
        <v>32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"080066949531"</f>
        <v>080066949531</v>
      </c>
      <c r="F79" s="3">
        <v>45870</v>
      </c>
      <c r="G79">
        <v>202605</v>
      </c>
      <c r="H79" t="s">
        <v>75</v>
      </c>
      <c r="I79" t="s">
        <v>76</v>
      </c>
      <c r="J79" t="s">
        <v>77</v>
      </c>
      <c r="K79" t="s">
        <v>78</v>
      </c>
      <c r="L79" t="s">
        <v>400</v>
      </c>
      <c r="M79" t="s">
        <v>401</v>
      </c>
      <c r="N79" t="s">
        <v>402</v>
      </c>
      <c r="O79" t="s">
        <v>82</v>
      </c>
      <c r="P79" t="str">
        <f>"4170052470                    "</f>
        <v xml:space="preserve">4170052470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39.53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</v>
      </c>
      <c r="BJ79">
        <v>3.1</v>
      </c>
      <c r="BK79">
        <v>3.5</v>
      </c>
      <c r="BL79">
        <v>124.55</v>
      </c>
      <c r="BM79">
        <v>18.68</v>
      </c>
      <c r="BN79">
        <v>143.22999999999999</v>
      </c>
      <c r="BO79">
        <v>143.22999999999999</v>
      </c>
      <c r="BQ79" t="s">
        <v>403</v>
      </c>
      <c r="BR79" t="s">
        <v>84</v>
      </c>
      <c r="BS79" s="3">
        <v>45873</v>
      </c>
      <c r="BT79" s="4">
        <v>0.33333333333333331</v>
      </c>
      <c r="BU79" t="s">
        <v>404</v>
      </c>
      <c r="BV79" t="s">
        <v>86</v>
      </c>
      <c r="BY79">
        <v>15360</v>
      </c>
      <c r="CA79" t="s">
        <v>405</v>
      </c>
      <c r="CC79" t="s">
        <v>401</v>
      </c>
      <c r="CD79">
        <v>6230</v>
      </c>
      <c r="CE79" t="s">
        <v>147</v>
      </c>
      <c r="CF79" s="3">
        <v>45873</v>
      </c>
      <c r="CI79">
        <v>1</v>
      </c>
      <c r="CJ79">
        <v>1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"080066949559"</f>
        <v>080066949559</v>
      </c>
      <c r="F80" s="3">
        <v>45870</v>
      </c>
      <c r="G80">
        <v>202605</v>
      </c>
      <c r="H80" t="s">
        <v>75</v>
      </c>
      <c r="I80" t="s">
        <v>76</v>
      </c>
      <c r="J80" t="s">
        <v>77</v>
      </c>
      <c r="K80" t="s">
        <v>78</v>
      </c>
      <c r="L80" t="s">
        <v>162</v>
      </c>
      <c r="M80" t="s">
        <v>163</v>
      </c>
      <c r="N80" t="s">
        <v>246</v>
      </c>
      <c r="O80" t="s">
        <v>82</v>
      </c>
      <c r="P80" t="str">
        <f>"4170052457                    "</f>
        <v xml:space="preserve">4170052457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22.6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</v>
      </c>
      <c r="BJ80">
        <v>1.9</v>
      </c>
      <c r="BK80">
        <v>2</v>
      </c>
      <c r="BL80">
        <v>71.2</v>
      </c>
      <c r="BM80">
        <v>10.68</v>
      </c>
      <c r="BN80">
        <v>81.88</v>
      </c>
      <c r="BO80">
        <v>81.88</v>
      </c>
      <c r="BQ80" t="s">
        <v>247</v>
      </c>
      <c r="BR80" t="s">
        <v>84</v>
      </c>
      <c r="BS80" s="3">
        <v>45873</v>
      </c>
      <c r="BT80" s="4">
        <v>0.41666666666666669</v>
      </c>
      <c r="BU80" t="s">
        <v>248</v>
      </c>
      <c r="BV80" t="s">
        <v>86</v>
      </c>
      <c r="BY80">
        <v>9600</v>
      </c>
      <c r="CC80" t="s">
        <v>163</v>
      </c>
      <c r="CD80">
        <v>3201</v>
      </c>
      <c r="CE80" t="s">
        <v>147</v>
      </c>
      <c r="CF80" s="3">
        <v>45874</v>
      </c>
      <c r="CI80">
        <v>1</v>
      </c>
      <c r="CJ80">
        <v>1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"080066949583"</f>
        <v>080066949583</v>
      </c>
      <c r="F81" s="3">
        <v>45870</v>
      </c>
      <c r="G81">
        <v>202605</v>
      </c>
      <c r="H81" t="s">
        <v>75</v>
      </c>
      <c r="I81" t="s">
        <v>76</v>
      </c>
      <c r="J81" t="s">
        <v>77</v>
      </c>
      <c r="K81" t="s">
        <v>78</v>
      </c>
      <c r="L81" t="s">
        <v>123</v>
      </c>
      <c r="M81" t="s">
        <v>124</v>
      </c>
      <c r="N81" t="s">
        <v>406</v>
      </c>
      <c r="O81" t="s">
        <v>82</v>
      </c>
      <c r="P81" t="str">
        <f>"4170052463                    "</f>
        <v xml:space="preserve">4170052463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71.2</v>
      </c>
      <c r="BM81">
        <v>10.68</v>
      </c>
      <c r="BN81">
        <v>81.88</v>
      </c>
      <c r="BO81">
        <v>81.88</v>
      </c>
      <c r="BQ81" t="s">
        <v>407</v>
      </c>
      <c r="BR81" t="s">
        <v>84</v>
      </c>
      <c r="BS81" s="3">
        <v>45873</v>
      </c>
      <c r="BT81" s="4">
        <v>0.38680555555555557</v>
      </c>
      <c r="BU81" t="s">
        <v>408</v>
      </c>
      <c r="BV81" t="s">
        <v>86</v>
      </c>
      <c r="BY81">
        <v>1200</v>
      </c>
      <c r="CA81" t="s">
        <v>192</v>
      </c>
      <c r="CC81" t="s">
        <v>124</v>
      </c>
      <c r="CD81">
        <v>7441</v>
      </c>
      <c r="CE81" t="s">
        <v>409</v>
      </c>
      <c r="CF81" s="3">
        <v>45874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"080066949603"</f>
        <v>080066949603</v>
      </c>
      <c r="F82" s="3">
        <v>45870</v>
      </c>
      <c r="G82">
        <v>202605</v>
      </c>
      <c r="H82" t="s">
        <v>75</v>
      </c>
      <c r="I82" t="s">
        <v>76</v>
      </c>
      <c r="J82" t="s">
        <v>77</v>
      </c>
      <c r="K82" t="s">
        <v>78</v>
      </c>
      <c r="L82" t="s">
        <v>162</v>
      </c>
      <c r="M82" t="s">
        <v>163</v>
      </c>
      <c r="N82" t="s">
        <v>246</v>
      </c>
      <c r="O82" t="s">
        <v>82</v>
      </c>
      <c r="P82" t="str">
        <f>"4170052458                    "</f>
        <v xml:space="preserve">4170052458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33.89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</v>
      </c>
      <c r="BJ82">
        <v>1.7</v>
      </c>
      <c r="BK82">
        <v>3</v>
      </c>
      <c r="BL82">
        <v>106.77</v>
      </c>
      <c r="BM82">
        <v>16.02</v>
      </c>
      <c r="BN82">
        <v>122.79</v>
      </c>
      <c r="BO82">
        <v>122.79</v>
      </c>
      <c r="BQ82" t="s">
        <v>247</v>
      </c>
      <c r="BR82" t="s">
        <v>84</v>
      </c>
      <c r="BS82" s="3">
        <v>45873</v>
      </c>
      <c r="BT82" s="4">
        <v>0.41666666666666669</v>
      </c>
      <c r="BU82" t="s">
        <v>248</v>
      </c>
      <c r="BV82" t="s">
        <v>86</v>
      </c>
      <c r="BY82">
        <v>8512</v>
      </c>
      <c r="CC82" t="s">
        <v>163</v>
      </c>
      <c r="CD82">
        <v>3201</v>
      </c>
      <c r="CE82" t="s">
        <v>147</v>
      </c>
      <c r="CF82" s="3">
        <v>45874</v>
      </c>
      <c r="CI82">
        <v>1</v>
      </c>
      <c r="CJ82">
        <v>1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"080066949719"</f>
        <v>080066949719</v>
      </c>
      <c r="F83" s="3">
        <v>45870</v>
      </c>
      <c r="G83">
        <v>202605</v>
      </c>
      <c r="H83" t="s">
        <v>75</v>
      </c>
      <c r="I83" t="s">
        <v>76</v>
      </c>
      <c r="J83" t="s">
        <v>77</v>
      </c>
      <c r="K83" t="s">
        <v>78</v>
      </c>
      <c r="L83" t="s">
        <v>162</v>
      </c>
      <c r="M83" t="s">
        <v>163</v>
      </c>
      <c r="N83" t="s">
        <v>164</v>
      </c>
      <c r="O83" t="s">
        <v>82</v>
      </c>
      <c r="P83" t="str">
        <f>"4170052471                    "</f>
        <v xml:space="preserve">4170052471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22.6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1.1000000000000001</v>
      </c>
      <c r="BK83">
        <v>1.5</v>
      </c>
      <c r="BL83">
        <v>71.2</v>
      </c>
      <c r="BM83">
        <v>10.68</v>
      </c>
      <c r="BN83">
        <v>81.88</v>
      </c>
      <c r="BO83">
        <v>81.88</v>
      </c>
      <c r="BQ83" t="s">
        <v>165</v>
      </c>
      <c r="BR83" t="s">
        <v>84</v>
      </c>
      <c r="BS83" s="3">
        <v>45873</v>
      </c>
      <c r="BT83" s="4">
        <v>0.41666666666666669</v>
      </c>
      <c r="BU83" t="s">
        <v>166</v>
      </c>
      <c r="BV83" t="s">
        <v>86</v>
      </c>
      <c r="BY83">
        <v>5320</v>
      </c>
      <c r="CA83" t="s">
        <v>167</v>
      </c>
      <c r="CC83" t="s">
        <v>163</v>
      </c>
      <c r="CD83">
        <v>3212</v>
      </c>
      <c r="CE83" t="s">
        <v>147</v>
      </c>
      <c r="CF83" s="3">
        <v>45873</v>
      </c>
      <c r="CI83">
        <v>2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"080066949817"</f>
        <v>080066949817</v>
      </c>
      <c r="F84" s="3">
        <v>45870</v>
      </c>
      <c r="G84">
        <v>202605</v>
      </c>
      <c r="H84" t="s">
        <v>75</v>
      </c>
      <c r="I84" t="s">
        <v>76</v>
      </c>
      <c r="J84" t="s">
        <v>77</v>
      </c>
      <c r="K84" t="s">
        <v>78</v>
      </c>
      <c r="L84" t="s">
        <v>198</v>
      </c>
      <c r="M84" t="s">
        <v>199</v>
      </c>
      <c r="N84" t="s">
        <v>410</v>
      </c>
      <c r="O84" t="s">
        <v>82</v>
      </c>
      <c r="P84" t="str">
        <f>"4170052469                    "</f>
        <v xml:space="preserve">4170052469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22.6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71.2</v>
      </c>
      <c r="BM84">
        <v>10.68</v>
      </c>
      <c r="BN84">
        <v>81.88</v>
      </c>
      <c r="BO84">
        <v>81.88</v>
      </c>
      <c r="BQ84" t="s">
        <v>411</v>
      </c>
      <c r="BR84" t="s">
        <v>84</v>
      </c>
      <c r="BS84" s="3">
        <v>45873</v>
      </c>
      <c r="BT84" s="4">
        <v>0.37361111111111112</v>
      </c>
      <c r="BU84" t="s">
        <v>412</v>
      </c>
      <c r="BV84" t="s">
        <v>86</v>
      </c>
      <c r="BY84">
        <v>1200</v>
      </c>
      <c r="CA84" t="s">
        <v>413</v>
      </c>
      <c r="CC84" t="s">
        <v>199</v>
      </c>
      <c r="CD84">
        <v>6001</v>
      </c>
      <c r="CE84" t="s">
        <v>109</v>
      </c>
      <c r="CF84" s="3">
        <v>45873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"080066950244"</f>
        <v>080066950244</v>
      </c>
      <c r="F85" s="3">
        <v>45870</v>
      </c>
      <c r="G85">
        <v>202605</v>
      </c>
      <c r="H85" t="s">
        <v>75</v>
      </c>
      <c r="I85" t="s">
        <v>76</v>
      </c>
      <c r="J85" t="s">
        <v>77</v>
      </c>
      <c r="K85" t="s">
        <v>78</v>
      </c>
      <c r="L85" t="s">
        <v>75</v>
      </c>
      <c r="M85" t="s">
        <v>76</v>
      </c>
      <c r="N85" t="s">
        <v>152</v>
      </c>
      <c r="O85" t="s">
        <v>82</v>
      </c>
      <c r="P85" t="str">
        <f>"4170052468                    "</f>
        <v xml:space="preserve">4170052468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17.649999999999999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55.61</v>
      </c>
      <c r="BM85">
        <v>8.34</v>
      </c>
      <c r="BN85">
        <v>63.95</v>
      </c>
      <c r="BO85">
        <v>63.95</v>
      </c>
      <c r="BQ85" t="s">
        <v>153</v>
      </c>
      <c r="BR85" t="s">
        <v>84</v>
      </c>
      <c r="BS85" s="3">
        <v>45873</v>
      </c>
      <c r="BT85" s="4">
        <v>0.3527777777777778</v>
      </c>
      <c r="BU85" t="s">
        <v>154</v>
      </c>
      <c r="BV85" t="s">
        <v>86</v>
      </c>
      <c r="BY85">
        <v>1200</v>
      </c>
      <c r="CA85" t="s">
        <v>155</v>
      </c>
      <c r="CC85" t="s">
        <v>76</v>
      </c>
      <c r="CD85">
        <v>1600</v>
      </c>
      <c r="CE85" t="s">
        <v>290</v>
      </c>
      <c r="CF85" s="3">
        <v>45874</v>
      </c>
      <c r="CI85">
        <v>1</v>
      </c>
      <c r="CJ85">
        <v>1</v>
      </c>
      <c r="CK85">
        <v>22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"080066950354"</f>
        <v>080066950354</v>
      </c>
      <c r="F86" s="3">
        <v>45870</v>
      </c>
      <c r="G86">
        <v>202605</v>
      </c>
      <c r="H86" t="s">
        <v>75</v>
      </c>
      <c r="I86" t="s">
        <v>76</v>
      </c>
      <c r="J86" t="s">
        <v>77</v>
      </c>
      <c r="K86" t="s">
        <v>78</v>
      </c>
      <c r="L86" t="s">
        <v>75</v>
      </c>
      <c r="M86" t="s">
        <v>76</v>
      </c>
      <c r="N86" t="s">
        <v>414</v>
      </c>
      <c r="O86" t="s">
        <v>82</v>
      </c>
      <c r="P86" t="str">
        <f>"4170052467                    "</f>
        <v xml:space="preserve">4170052467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17.649999999999999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</v>
      </c>
      <c r="BJ86">
        <v>1.9</v>
      </c>
      <c r="BK86">
        <v>3</v>
      </c>
      <c r="BL86">
        <v>55.61</v>
      </c>
      <c r="BM86">
        <v>8.34</v>
      </c>
      <c r="BN86">
        <v>63.95</v>
      </c>
      <c r="BO86">
        <v>63.95</v>
      </c>
      <c r="BQ86" t="s">
        <v>415</v>
      </c>
      <c r="BR86" t="s">
        <v>84</v>
      </c>
      <c r="BS86" s="3">
        <v>45873</v>
      </c>
      <c r="BT86" s="4">
        <v>0.30902777777777779</v>
      </c>
      <c r="BU86" t="s">
        <v>416</v>
      </c>
      <c r="BV86" t="s">
        <v>86</v>
      </c>
      <c r="BY86">
        <v>9600</v>
      </c>
      <c r="CA86" t="s">
        <v>155</v>
      </c>
      <c r="CC86" t="s">
        <v>76</v>
      </c>
      <c r="CD86">
        <v>1600</v>
      </c>
      <c r="CE86" t="s">
        <v>147</v>
      </c>
      <c r="CF86" s="3">
        <v>45874</v>
      </c>
      <c r="CI86">
        <v>1</v>
      </c>
      <c r="CJ86">
        <v>1</v>
      </c>
      <c r="CK86">
        <v>22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"080066950370"</f>
        <v>080066950370</v>
      </c>
      <c r="F87" s="3">
        <v>45870</v>
      </c>
      <c r="G87">
        <v>202605</v>
      </c>
      <c r="H87" t="s">
        <v>75</v>
      </c>
      <c r="I87" t="s">
        <v>76</v>
      </c>
      <c r="J87" t="s">
        <v>77</v>
      </c>
      <c r="K87" t="s">
        <v>78</v>
      </c>
      <c r="L87" t="s">
        <v>229</v>
      </c>
      <c r="M87" t="s">
        <v>230</v>
      </c>
      <c r="N87" t="s">
        <v>231</v>
      </c>
      <c r="O87" t="s">
        <v>82</v>
      </c>
      <c r="P87" t="str">
        <f>"4170052473                    "</f>
        <v xml:space="preserve">4170052473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43.78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137.94</v>
      </c>
      <c r="BM87">
        <v>20.69</v>
      </c>
      <c r="BN87">
        <v>158.63</v>
      </c>
      <c r="BO87">
        <v>158.63</v>
      </c>
      <c r="BQ87" t="s">
        <v>232</v>
      </c>
      <c r="BR87" t="s">
        <v>84</v>
      </c>
      <c r="BS87" s="3">
        <v>45873</v>
      </c>
      <c r="BT87" s="4">
        <v>0.3125</v>
      </c>
      <c r="BU87" t="s">
        <v>233</v>
      </c>
      <c r="BV87" t="s">
        <v>86</v>
      </c>
      <c r="BY87">
        <v>1200</v>
      </c>
      <c r="CC87" t="s">
        <v>230</v>
      </c>
      <c r="CD87">
        <v>2740</v>
      </c>
      <c r="CE87" t="s">
        <v>109</v>
      </c>
      <c r="CF87" s="3">
        <v>45874</v>
      </c>
      <c r="CI87">
        <v>1</v>
      </c>
      <c r="CJ87">
        <v>1</v>
      </c>
      <c r="CK87">
        <v>23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"080066950402"</f>
        <v>080066950402</v>
      </c>
      <c r="F88" s="3">
        <v>45870</v>
      </c>
      <c r="G88">
        <v>202605</v>
      </c>
      <c r="H88" t="s">
        <v>75</v>
      </c>
      <c r="I88" t="s">
        <v>76</v>
      </c>
      <c r="J88" t="s">
        <v>77</v>
      </c>
      <c r="K88" t="s">
        <v>78</v>
      </c>
      <c r="L88" t="s">
        <v>325</v>
      </c>
      <c r="M88" t="s">
        <v>326</v>
      </c>
      <c r="N88" t="s">
        <v>417</v>
      </c>
      <c r="O88" t="s">
        <v>82</v>
      </c>
      <c r="P88" t="str">
        <f>"4170052474                    "</f>
        <v xml:space="preserve">4170052474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0</v>
      </c>
      <c r="BM88">
        <v>0</v>
      </c>
      <c r="BN88">
        <v>0</v>
      </c>
      <c r="BO88">
        <v>0</v>
      </c>
      <c r="BQ88" t="s">
        <v>418</v>
      </c>
      <c r="BR88" t="s">
        <v>84</v>
      </c>
      <c r="BS88" s="3">
        <v>45874</v>
      </c>
      <c r="BT88" s="4">
        <v>0.41666666666666669</v>
      </c>
      <c r="BU88" t="s">
        <v>419</v>
      </c>
      <c r="BV88" t="s">
        <v>90</v>
      </c>
      <c r="BW88" t="s">
        <v>380</v>
      </c>
      <c r="BX88" t="s">
        <v>420</v>
      </c>
      <c r="BY88">
        <v>1200</v>
      </c>
      <c r="BZ88" t="s">
        <v>421</v>
      </c>
      <c r="CC88" t="s">
        <v>326</v>
      </c>
      <c r="CD88">
        <v>2013</v>
      </c>
      <c r="CE88" t="s">
        <v>109</v>
      </c>
      <c r="CF88" s="3">
        <v>45881</v>
      </c>
      <c r="CI88">
        <v>1</v>
      </c>
      <c r="CJ88">
        <v>2</v>
      </c>
      <c r="CK88">
        <v>-1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"080066951230"</f>
        <v>080066951230</v>
      </c>
      <c r="F89" s="3">
        <v>45870</v>
      </c>
      <c r="G89">
        <v>202605</v>
      </c>
      <c r="H89" t="s">
        <v>75</v>
      </c>
      <c r="I89" t="s">
        <v>76</v>
      </c>
      <c r="J89" t="s">
        <v>77</v>
      </c>
      <c r="K89" t="s">
        <v>78</v>
      </c>
      <c r="L89" t="s">
        <v>217</v>
      </c>
      <c r="M89" t="s">
        <v>218</v>
      </c>
      <c r="N89" t="s">
        <v>422</v>
      </c>
      <c r="O89" t="s">
        <v>82</v>
      </c>
      <c r="P89" t="str">
        <f>"4170052472                    "</f>
        <v xml:space="preserve">4170052472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101.63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7</v>
      </c>
      <c r="BJ89">
        <v>8.9</v>
      </c>
      <c r="BK89">
        <v>9</v>
      </c>
      <c r="BL89">
        <v>320.19</v>
      </c>
      <c r="BM89">
        <v>48.03</v>
      </c>
      <c r="BN89">
        <v>368.22</v>
      </c>
      <c r="BO89">
        <v>368.22</v>
      </c>
      <c r="BQ89" t="s">
        <v>423</v>
      </c>
      <c r="BR89" t="s">
        <v>84</v>
      </c>
      <c r="BS89" s="3">
        <v>45873</v>
      </c>
      <c r="BT89" s="4">
        <v>0.3611111111111111</v>
      </c>
      <c r="BU89" t="s">
        <v>424</v>
      </c>
      <c r="BV89" t="s">
        <v>86</v>
      </c>
      <c r="BY89">
        <v>44640</v>
      </c>
      <c r="CA89" t="s">
        <v>425</v>
      </c>
      <c r="CC89" t="s">
        <v>218</v>
      </c>
      <c r="CD89">
        <v>4001</v>
      </c>
      <c r="CE89" t="s">
        <v>147</v>
      </c>
      <c r="CF89" s="3">
        <v>45873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"080066951259"</f>
        <v>080066951259</v>
      </c>
      <c r="F90" s="3">
        <v>45870</v>
      </c>
      <c r="G90">
        <v>202605</v>
      </c>
      <c r="H90" t="s">
        <v>75</v>
      </c>
      <c r="I90" t="s">
        <v>76</v>
      </c>
      <c r="J90" t="s">
        <v>77</v>
      </c>
      <c r="K90" t="s">
        <v>78</v>
      </c>
      <c r="L90" t="s">
        <v>198</v>
      </c>
      <c r="M90" t="s">
        <v>199</v>
      </c>
      <c r="N90" t="s">
        <v>426</v>
      </c>
      <c r="O90" t="s">
        <v>82</v>
      </c>
      <c r="P90" t="str">
        <f>"4170052476                    "</f>
        <v xml:space="preserve">4170052476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22.6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1.8</v>
      </c>
      <c r="BK90">
        <v>2</v>
      </c>
      <c r="BL90">
        <v>71.2</v>
      </c>
      <c r="BM90">
        <v>10.68</v>
      </c>
      <c r="BN90">
        <v>81.88</v>
      </c>
      <c r="BO90">
        <v>81.88</v>
      </c>
      <c r="BQ90" t="s">
        <v>427</v>
      </c>
      <c r="BR90" t="s">
        <v>84</v>
      </c>
      <c r="BS90" s="3">
        <v>45873</v>
      </c>
      <c r="BT90" s="4">
        <v>0.35416666666666669</v>
      </c>
      <c r="BU90" t="s">
        <v>428</v>
      </c>
      <c r="BV90" t="s">
        <v>86</v>
      </c>
      <c r="BY90">
        <v>9000</v>
      </c>
      <c r="CA90" t="s">
        <v>345</v>
      </c>
      <c r="CC90" t="s">
        <v>199</v>
      </c>
      <c r="CD90">
        <v>6045</v>
      </c>
      <c r="CE90" t="s">
        <v>117</v>
      </c>
      <c r="CF90" s="3">
        <v>45873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"080066951270"</f>
        <v>080066951270</v>
      </c>
      <c r="F91" s="3">
        <v>45870</v>
      </c>
      <c r="G91">
        <v>202605</v>
      </c>
      <c r="H91" t="s">
        <v>75</v>
      </c>
      <c r="I91" t="s">
        <v>76</v>
      </c>
      <c r="J91" t="s">
        <v>77</v>
      </c>
      <c r="K91" t="s">
        <v>78</v>
      </c>
      <c r="L91" t="s">
        <v>123</v>
      </c>
      <c r="M91" t="s">
        <v>124</v>
      </c>
      <c r="N91" t="s">
        <v>377</v>
      </c>
      <c r="O91" t="s">
        <v>82</v>
      </c>
      <c r="P91" t="str">
        <f>"4170052475                    "</f>
        <v xml:space="preserve">4170052475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22.6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1.8</v>
      </c>
      <c r="BK91">
        <v>2</v>
      </c>
      <c r="BL91">
        <v>71.2</v>
      </c>
      <c r="BM91">
        <v>10.68</v>
      </c>
      <c r="BN91">
        <v>81.88</v>
      </c>
      <c r="BO91">
        <v>81.88</v>
      </c>
      <c r="BQ91" t="s">
        <v>378</v>
      </c>
      <c r="BR91" t="s">
        <v>84</v>
      </c>
      <c r="BS91" s="3">
        <v>45874</v>
      </c>
      <c r="BT91" s="4">
        <v>0.51736111111111116</v>
      </c>
      <c r="BU91" t="s">
        <v>429</v>
      </c>
      <c r="BV91" t="s">
        <v>90</v>
      </c>
      <c r="BW91" t="s">
        <v>380</v>
      </c>
      <c r="BX91" t="s">
        <v>381</v>
      </c>
      <c r="BY91">
        <v>9000</v>
      </c>
      <c r="CC91" t="s">
        <v>124</v>
      </c>
      <c r="CD91">
        <v>7535</v>
      </c>
      <c r="CE91" t="s">
        <v>117</v>
      </c>
      <c r="CF91" s="3">
        <v>45875</v>
      </c>
      <c r="CI91">
        <v>1</v>
      </c>
      <c r="CJ91">
        <v>2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"080066951999"</f>
        <v>080066951999</v>
      </c>
      <c r="F92" s="3">
        <v>45870</v>
      </c>
      <c r="G92">
        <v>202605</v>
      </c>
      <c r="H92" t="s">
        <v>75</v>
      </c>
      <c r="I92" t="s">
        <v>76</v>
      </c>
      <c r="J92" t="s">
        <v>77</v>
      </c>
      <c r="K92" t="s">
        <v>78</v>
      </c>
      <c r="L92" t="s">
        <v>198</v>
      </c>
      <c r="M92" t="s">
        <v>199</v>
      </c>
      <c r="N92" t="s">
        <v>430</v>
      </c>
      <c r="O92" t="s">
        <v>82</v>
      </c>
      <c r="P92" t="str">
        <f>"4170052484                    "</f>
        <v xml:space="preserve">4170052484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124.21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11</v>
      </c>
      <c r="BJ92">
        <v>3.4</v>
      </c>
      <c r="BK92">
        <v>11</v>
      </c>
      <c r="BL92">
        <v>391.33</v>
      </c>
      <c r="BM92">
        <v>58.7</v>
      </c>
      <c r="BN92">
        <v>450.03</v>
      </c>
      <c r="BO92">
        <v>450.03</v>
      </c>
      <c r="BQ92" t="s">
        <v>431</v>
      </c>
      <c r="BR92" t="s">
        <v>84</v>
      </c>
      <c r="BS92" s="3">
        <v>45873</v>
      </c>
      <c r="BT92" s="4">
        <v>0.39444444444444443</v>
      </c>
      <c r="BU92" t="s">
        <v>432</v>
      </c>
      <c r="BV92" t="s">
        <v>86</v>
      </c>
      <c r="BY92">
        <v>17066</v>
      </c>
      <c r="CA92" t="s">
        <v>433</v>
      </c>
      <c r="CC92" t="s">
        <v>199</v>
      </c>
      <c r="CD92">
        <v>6001</v>
      </c>
      <c r="CE92" t="s">
        <v>117</v>
      </c>
      <c r="CF92" s="3">
        <v>45873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"080066952059"</f>
        <v>080066952059</v>
      </c>
      <c r="F93" s="3">
        <v>45870</v>
      </c>
      <c r="G93">
        <v>202605</v>
      </c>
      <c r="H93" t="s">
        <v>75</v>
      </c>
      <c r="I93" t="s">
        <v>76</v>
      </c>
      <c r="J93" t="s">
        <v>77</v>
      </c>
      <c r="K93" t="s">
        <v>78</v>
      </c>
      <c r="L93" t="s">
        <v>198</v>
      </c>
      <c r="M93" t="s">
        <v>199</v>
      </c>
      <c r="N93" t="s">
        <v>430</v>
      </c>
      <c r="O93" t="s">
        <v>82</v>
      </c>
      <c r="P93" t="str">
        <f>"4170052482                    "</f>
        <v xml:space="preserve">4170052482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62.11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5</v>
      </c>
      <c r="BJ93">
        <v>5.5</v>
      </c>
      <c r="BK93">
        <v>5.5</v>
      </c>
      <c r="BL93">
        <v>195.69</v>
      </c>
      <c r="BM93">
        <v>29.35</v>
      </c>
      <c r="BN93">
        <v>225.04</v>
      </c>
      <c r="BO93">
        <v>225.04</v>
      </c>
      <c r="BQ93" t="s">
        <v>431</v>
      </c>
      <c r="BR93" t="s">
        <v>84</v>
      </c>
      <c r="BS93" s="3">
        <v>45873</v>
      </c>
      <c r="BT93" s="4">
        <v>0.39513888888888887</v>
      </c>
      <c r="BU93" t="s">
        <v>432</v>
      </c>
      <c r="BV93" t="s">
        <v>86</v>
      </c>
      <c r="BY93">
        <v>27648</v>
      </c>
      <c r="CA93" t="s">
        <v>433</v>
      </c>
      <c r="CC93" t="s">
        <v>199</v>
      </c>
      <c r="CD93">
        <v>6001</v>
      </c>
      <c r="CE93" t="s">
        <v>117</v>
      </c>
      <c r="CF93" s="3">
        <v>45873</v>
      </c>
      <c r="CI93">
        <v>1</v>
      </c>
      <c r="CJ93">
        <v>1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"080066952125"</f>
        <v>080066952125</v>
      </c>
      <c r="F94" s="3">
        <v>45870</v>
      </c>
      <c r="G94">
        <v>202605</v>
      </c>
      <c r="H94" t="s">
        <v>75</v>
      </c>
      <c r="I94" t="s">
        <v>76</v>
      </c>
      <c r="J94" t="s">
        <v>77</v>
      </c>
      <c r="K94" t="s">
        <v>78</v>
      </c>
      <c r="L94" t="s">
        <v>123</v>
      </c>
      <c r="M94" t="s">
        <v>124</v>
      </c>
      <c r="N94" t="s">
        <v>406</v>
      </c>
      <c r="O94" t="s">
        <v>82</v>
      </c>
      <c r="P94" t="str">
        <f>"4170052479                    "</f>
        <v xml:space="preserve">4170052479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22.6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71.2</v>
      </c>
      <c r="BM94">
        <v>10.68</v>
      </c>
      <c r="BN94">
        <v>81.88</v>
      </c>
      <c r="BO94">
        <v>81.88</v>
      </c>
      <c r="BQ94" t="s">
        <v>407</v>
      </c>
      <c r="BR94" t="s">
        <v>84</v>
      </c>
      <c r="BS94" s="3">
        <v>45873</v>
      </c>
      <c r="BT94" s="4">
        <v>0.38680555555555557</v>
      </c>
      <c r="BU94" t="s">
        <v>434</v>
      </c>
      <c r="BV94" t="s">
        <v>86</v>
      </c>
      <c r="BY94">
        <v>1200</v>
      </c>
      <c r="CC94" t="s">
        <v>124</v>
      </c>
      <c r="CD94">
        <v>7441</v>
      </c>
      <c r="CE94" t="s">
        <v>109</v>
      </c>
      <c r="CF94" s="3">
        <v>45874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"080066952275"</f>
        <v>080066952275</v>
      </c>
      <c r="F95" s="3">
        <v>45870</v>
      </c>
      <c r="G95">
        <v>202605</v>
      </c>
      <c r="H95" t="s">
        <v>75</v>
      </c>
      <c r="I95" t="s">
        <v>76</v>
      </c>
      <c r="J95" t="s">
        <v>77</v>
      </c>
      <c r="K95" t="s">
        <v>78</v>
      </c>
      <c r="L95" t="s">
        <v>435</v>
      </c>
      <c r="M95" t="s">
        <v>436</v>
      </c>
      <c r="N95" t="s">
        <v>437</v>
      </c>
      <c r="O95" t="s">
        <v>82</v>
      </c>
      <c r="P95" t="str">
        <f>"4170052488                    "</f>
        <v xml:space="preserve">4170052488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43.78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137.94</v>
      </c>
      <c r="BM95">
        <v>20.69</v>
      </c>
      <c r="BN95">
        <v>158.63</v>
      </c>
      <c r="BO95">
        <v>158.63</v>
      </c>
      <c r="BQ95" t="s">
        <v>438</v>
      </c>
      <c r="BR95" t="s">
        <v>84</v>
      </c>
      <c r="BS95" s="3">
        <v>45874</v>
      </c>
      <c r="BT95" s="4">
        <v>0.47083333333333333</v>
      </c>
      <c r="BU95" t="s">
        <v>439</v>
      </c>
      <c r="BV95" t="s">
        <v>90</v>
      </c>
      <c r="BW95" t="s">
        <v>134</v>
      </c>
      <c r="BX95" t="s">
        <v>440</v>
      </c>
      <c r="BY95">
        <v>1200</v>
      </c>
      <c r="CA95" t="s">
        <v>441</v>
      </c>
      <c r="CC95" t="s">
        <v>436</v>
      </c>
      <c r="CD95">
        <v>4420</v>
      </c>
      <c r="CE95" t="s">
        <v>109</v>
      </c>
      <c r="CF95" s="3">
        <v>45874</v>
      </c>
      <c r="CI95">
        <v>1</v>
      </c>
      <c r="CJ95">
        <v>2</v>
      </c>
      <c r="CK95">
        <v>23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"080066952343"</f>
        <v>080066952343</v>
      </c>
      <c r="F96" s="3">
        <v>45870</v>
      </c>
      <c r="G96">
        <v>202605</v>
      </c>
      <c r="H96" t="s">
        <v>75</v>
      </c>
      <c r="I96" t="s">
        <v>76</v>
      </c>
      <c r="J96" t="s">
        <v>77</v>
      </c>
      <c r="K96" t="s">
        <v>78</v>
      </c>
      <c r="L96" t="s">
        <v>255</v>
      </c>
      <c r="M96" t="s">
        <v>256</v>
      </c>
      <c r="N96" t="s">
        <v>442</v>
      </c>
      <c r="O96" t="s">
        <v>82</v>
      </c>
      <c r="P96" t="str">
        <f>"4170052489                    "</f>
        <v xml:space="preserve">4170052489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17.649999999999999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55.61</v>
      </c>
      <c r="BM96">
        <v>8.34</v>
      </c>
      <c r="BN96">
        <v>63.95</v>
      </c>
      <c r="BO96">
        <v>63.95</v>
      </c>
      <c r="BQ96" t="s">
        <v>443</v>
      </c>
      <c r="BR96" t="s">
        <v>84</v>
      </c>
      <c r="BS96" s="3">
        <v>45873</v>
      </c>
      <c r="BT96" s="4">
        <v>0.39027777777777778</v>
      </c>
      <c r="BU96" t="s">
        <v>444</v>
      </c>
      <c r="BV96" t="s">
        <v>86</v>
      </c>
      <c r="BY96">
        <v>1200</v>
      </c>
      <c r="CA96" t="s">
        <v>445</v>
      </c>
      <c r="CC96" t="s">
        <v>256</v>
      </c>
      <c r="CD96">
        <v>1501</v>
      </c>
      <c r="CE96" t="s">
        <v>109</v>
      </c>
      <c r="CF96" s="3">
        <v>45874</v>
      </c>
      <c r="CI96">
        <v>1</v>
      </c>
      <c r="CJ96">
        <v>1</v>
      </c>
      <c r="CK96">
        <v>22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"080066952605"</f>
        <v>080066952605</v>
      </c>
      <c r="F97" s="3">
        <v>45870</v>
      </c>
      <c r="G97">
        <v>202605</v>
      </c>
      <c r="H97" t="s">
        <v>75</v>
      </c>
      <c r="I97" t="s">
        <v>76</v>
      </c>
      <c r="J97" t="s">
        <v>77</v>
      </c>
      <c r="K97" t="s">
        <v>78</v>
      </c>
      <c r="L97" t="s">
        <v>446</v>
      </c>
      <c r="M97" t="s">
        <v>447</v>
      </c>
      <c r="N97" t="s">
        <v>448</v>
      </c>
      <c r="O97" t="s">
        <v>113</v>
      </c>
      <c r="P97" t="str">
        <f>"4170052486                    "</f>
        <v xml:space="preserve">4170052486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69.930000000000007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4</v>
      </c>
      <c r="BJ97">
        <v>3.3</v>
      </c>
      <c r="BK97">
        <v>4</v>
      </c>
      <c r="BL97">
        <v>220.32</v>
      </c>
      <c r="BM97">
        <v>33.049999999999997</v>
      </c>
      <c r="BN97">
        <v>253.37</v>
      </c>
      <c r="BO97">
        <v>253.37</v>
      </c>
      <c r="BQ97" t="s">
        <v>449</v>
      </c>
      <c r="BR97" t="s">
        <v>84</v>
      </c>
      <c r="BS97" s="3">
        <v>45873</v>
      </c>
      <c r="BT97" s="4">
        <v>0.41666666666666669</v>
      </c>
      <c r="BU97" t="s">
        <v>450</v>
      </c>
      <c r="BV97" t="s">
        <v>86</v>
      </c>
      <c r="BY97">
        <v>16704</v>
      </c>
      <c r="CA97" t="s">
        <v>451</v>
      </c>
      <c r="CC97" t="s">
        <v>447</v>
      </c>
      <c r="CD97">
        <v>2210</v>
      </c>
      <c r="CE97" t="s">
        <v>117</v>
      </c>
      <c r="CF97" s="3">
        <v>45873</v>
      </c>
      <c r="CI97">
        <v>1</v>
      </c>
      <c r="CJ97">
        <v>1</v>
      </c>
      <c r="CK97">
        <v>34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"080066952649"</f>
        <v>080066952649</v>
      </c>
      <c r="F98" s="3">
        <v>45870</v>
      </c>
      <c r="G98">
        <v>202605</v>
      </c>
      <c r="H98" t="s">
        <v>75</v>
      </c>
      <c r="I98" t="s">
        <v>76</v>
      </c>
      <c r="J98" t="s">
        <v>77</v>
      </c>
      <c r="K98" t="s">
        <v>78</v>
      </c>
      <c r="L98" t="s">
        <v>452</v>
      </c>
      <c r="M98" t="s">
        <v>453</v>
      </c>
      <c r="N98" t="s">
        <v>454</v>
      </c>
      <c r="O98" t="s">
        <v>82</v>
      </c>
      <c r="P98" t="str">
        <f>"4170052487                    "</f>
        <v xml:space="preserve">4170052487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43.78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137.94</v>
      </c>
      <c r="BM98">
        <v>20.69</v>
      </c>
      <c r="BN98">
        <v>158.63</v>
      </c>
      <c r="BO98">
        <v>158.63</v>
      </c>
      <c r="BQ98" t="s">
        <v>455</v>
      </c>
      <c r="BR98" t="s">
        <v>84</v>
      </c>
      <c r="BS98" s="3">
        <v>45873</v>
      </c>
      <c r="BT98" s="4">
        <v>0.36041666666666666</v>
      </c>
      <c r="BU98" t="s">
        <v>456</v>
      </c>
      <c r="BV98" t="s">
        <v>86</v>
      </c>
      <c r="BY98">
        <v>1200</v>
      </c>
      <c r="CA98" t="s">
        <v>457</v>
      </c>
      <c r="CC98" t="s">
        <v>453</v>
      </c>
      <c r="CD98">
        <v>1947</v>
      </c>
      <c r="CE98" t="s">
        <v>109</v>
      </c>
      <c r="CF98" s="3">
        <v>45873</v>
      </c>
      <c r="CI98">
        <v>1</v>
      </c>
      <c r="CJ98">
        <v>1</v>
      </c>
      <c r="CK98">
        <v>23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"080066952831"</f>
        <v>080066952831</v>
      </c>
      <c r="F99" s="3">
        <v>45870</v>
      </c>
      <c r="G99">
        <v>202605</v>
      </c>
      <c r="H99" t="s">
        <v>75</v>
      </c>
      <c r="I99" t="s">
        <v>76</v>
      </c>
      <c r="J99" t="s">
        <v>77</v>
      </c>
      <c r="K99" t="s">
        <v>78</v>
      </c>
      <c r="L99" t="s">
        <v>234</v>
      </c>
      <c r="M99" t="s">
        <v>235</v>
      </c>
      <c r="N99" t="s">
        <v>236</v>
      </c>
      <c r="O99" t="s">
        <v>82</v>
      </c>
      <c r="P99" t="str">
        <f>"4170052490                    "</f>
        <v xml:space="preserve">4170052490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22.6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71.2</v>
      </c>
      <c r="BM99">
        <v>10.68</v>
      </c>
      <c r="BN99">
        <v>81.88</v>
      </c>
      <c r="BO99">
        <v>81.88</v>
      </c>
      <c r="BQ99" t="s">
        <v>237</v>
      </c>
      <c r="BR99" t="s">
        <v>84</v>
      </c>
      <c r="BS99" s="3">
        <v>45873</v>
      </c>
      <c r="BT99" s="4">
        <v>0.37569444444444444</v>
      </c>
      <c r="BU99" t="s">
        <v>238</v>
      </c>
      <c r="BV99" t="s">
        <v>86</v>
      </c>
      <c r="BY99">
        <v>1200</v>
      </c>
      <c r="CA99" t="s">
        <v>239</v>
      </c>
      <c r="CC99" t="s">
        <v>235</v>
      </c>
      <c r="CD99" s="5" t="s">
        <v>240</v>
      </c>
      <c r="CE99" t="s">
        <v>109</v>
      </c>
      <c r="CF99" s="3">
        <v>45873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"080066953389"</f>
        <v>080066953389</v>
      </c>
      <c r="F100" s="3">
        <v>45870</v>
      </c>
      <c r="G100">
        <v>202605</v>
      </c>
      <c r="H100" t="s">
        <v>75</v>
      </c>
      <c r="I100" t="s">
        <v>76</v>
      </c>
      <c r="J100" t="s">
        <v>77</v>
      </c>
      <c r="K100" t="s">
        <v>78</v>
      </c>
      <c r="L100" t="s">
        <v>325</v>
      </c>
      <c r="M100" t="s">
        <v>326</v>
      </c>
      <c r="N100" t="s">
        <v>458</v>
      </c>
      <c r="O100" t="s">
        <v>113</v>
      </c>
      <c r="P100" t="str">
        <f>"4170052494                    "</f>
        <v xml:space="preserve">4170052494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17.66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5</v>
      </c>
      <c r="BJ100">
        <v>3.2</v>
      </c>
      <c r="BK100">
        <v>5</v>
      </c>
      <c r="BL100">
        <v>55.63</v>
      </c>
      <c r="BM100">
        <v>8.34</v>
      </c>
      <c r="BN100">
        <v>63.97</v>
      </c>
      <c r="BO100">
        <v>63.97</v>
      </c>
      <c r="BQ100" t="s">
        <v>459</v>
      </c>
      <c r="BR100" t="s">
        <v>84</v>
      </c>
      <c r="BS100" s="3">
        <v>45873</v>
      </c>
      <c r="BT100" s="4">
        <v>0.42638888888888887</v>
      </c>
      <c r="BU100" t="s">
        <v>460</v>
      </c>
      <c r="BV100" t="s">
        <v>86</v>
      </c>
      <c r="BY100">
        <v>15808</v>
      </c>
      <c r="CA100" t="s">
        <v>461</v>
      </c>
      <c r="CC100" t="s">
        <v>326</v>
      </c>
      <c r="CD100">
        <v>2197</v>
      </c>
      <c r="CE100" t="s">
        <v>117</v>
      </c>
      <c r="CF100" s="3">
        <v>45873</v>
      </c>
      <c r="CI100">
        <v>1</v>
      </c>
      <c r="CJ100">
        <v>1</v>
      </c>
      <c r="CK100">
        <v>32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"080066953414"</f>
        <v>080066953414</v>
      </c>
      <c r="F101" s="3">
        <v>45870</v>
      </c>
      <c r="G101">
        <v>202605</v>
      </c>
      <c r="H101" t="s">
        <v>75</v>
      </c>
      <c r="I101" t="s">
        <v>76</v>
      </c>
      <c r="J101" t="s">
        <v>77</v>
      </c>
      <c r="K101" t="s">
        <v>78</v>
      </c>
      <c r="L101" t="s">
        <v>123</v>
      </c>
      <c r="M101" t="s">
        <v>124</v>
      </c>
      <c r="N101" t="s">
        <v>462</v>
      </c>
      <c r="O101" t="s">
        <v>82</v>
      </c>
      <c r="P101" t="str">
        <f>"4170052493                    "</f>
        <v xml:space="preserve">4170052493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28.24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2.2999999999999998</v>
      </c>
      <c r="BK101">
        <v>2.5</v>
      </c>
      <c r="BL101">
        <v>88.98</v>
      </c>
      <c r="BM101">
        <v>13.35</v>
      </c>
      <c r="BN101">
        <v>102.33</v>
      </c>
      <c r="BO101">
        <v>102.33</v>
      </c>
      <c r="BQ101" t="s">
        <v>463</v>
      </c>
      <c r="BR101" t="s">
        <v>84</v>
      </c>
      <c r="BS101" s="3">
        <v>45873</v>
      </c>
      <c r="BT101" s="4">
        <v>0.35902777777777778</v>
      </c>
      <c r="BU101" t="s">
        <v>464</v>
      </c>
      <c r="BV101" t="s">
        <v>86</v>
      </c>
      <c r="BY101">
        <v>11250</v>
      </c>
      <c r="CA101" t="s">
        <v>465</v>
      </c>
      <c r="CC101" t="s">
        <v>124</v>
      </c>
      <c r="CD101">
        <v>7500</v>
      </c>
      <c r="CE101" t="s">
        <v>117</v>
      </c>
      <c r="CF101" s="3">
        <v>45874</v>
      </c>
      <c r="CI101">
        <v>1</v>
      </c>
      <c r="CJ101">
        <v>1</v>
      </c>
      <c r="CK101">
        <v>21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"080066953513"</f>
        <v>080066953513</v>
      </c>
      <c r="F102" s="3">
        <v>45870</v>
      </c>
      <c r="G102">
        <v>202605</v>
      </c>
      <c r="H102" t="s">
        <v>75</v>
      </c>
      <c r="I102" t="s">
        <v>76</v>
      </c>
      <c r="J102" t="s">
        <v>77</v>
      </c>
      <c r="K102" t="s">
        <v>78</v>
      </c>
      <c r="L102" t="s">
        <v>234</v>
      </c>
      <c r="M102" t="s">
        <v>235</v>
      </c>
      <c r="N102" t="s">
        <v>236</v>
      </c>
      <c r="O102" t="s">
        <v>82</v>
      </c>
      <c r="P102" t="str">
        <f>"4170052491                    "</f>
        <v xml:space="preserve">4170052491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22.6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71.2</v>
      </c>
      <c r="BM102">
        <v>10.68</v>
      </c>
      <c r="BN102">
        <v>81.88</v>
      </c>
      <c r="BO102">
        <v>81.88</v>
      </c>
      <c r="BQ102" t="s">
        <v>237</v>
      </c>
      <c r="BR102" t="s">
        <v>84</v>
      </c>
      <c r="BS102" s="3">
        <v>45873</v>
      </c>
      <c r="BT102" s="4">
        <v>0.37638888888888888</v>
      </c>
      <c r="BU102" t="s">
        <v>238</v>
      </c>
      <c r="BV102" t="s">
        <v>86</v>
      </c>
      <c r="BY102">
        <v>1200</v>
      </c>
      <c r="CA102" t="s">
        <v>239</v>
      </c>
      <c r="CC102" t="s">
        <v>235</v>
      </c>
      <c r="CD102" s="5" t="s">
        <v>240</v>
      </c>
      <c r="CE102" t="s">
        <v>109</v>
      </c>
      <c r="CF102" s="3">
        <v>45873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"080066953563"</f>
        <v>080066953563</v>
      </c>
      <c r="F103" s="3">
        <v>45870</v>
      </c>
      <c r="G103">
        <v>202605</v>
      </c>
      <c r="H103" t="s">
        <v>75</v>
      </c>
      <c r="I103" t="s">
        <v>76</v>
      </c>
      <c r="J103" t="s">
        <v>77</v>
      </c>
      <c r="K103" t="s">
        <v>78</v>
      </c>
      <c r="L103" t="s">
        <v>118</v>
      </c>
      <c r="M103" t="s">
        <v>118</v>
      </c>
      <c r="N103" t="s">
        <v>466</v>
      </c>
      <c r="O103" t="s">
        <v>82</v>
      </c>
      <c r="P103" t="str">
        <f>"4170052485                    "</f>
        <v xml:space="preserve">4170052485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63.56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</v>
      </c>
      <c r="BJ103">
        <v>1.7</v>
      </c>
      <c r="BK103">
        <v>3</v>
      </c>
      <c r="BL103">
        <v>200.24</v>
      </c>
      <c r="BM103">
        <v>30.04</v>
      </c>
      <c r="BN103">
        <v>230.28</v>
      </c>
      <c r="BO103">
        <v>230.28</v>
      </c>
      <c r="BQ103" t="s">
        <v>467</v>
      </c>
      <c r="BR103" t="s">
        <v>84</v>
      </c>
      <c r="BS103" s="3">
        <v>45873</v>
      </c>
      <c r="BT103" s="4">
        <v>0.49513888888888891</v>
      </c>
      <c r="BU103" t="s">
        <v>468</v>
      </c>
      <c r="BV103" t="s">
        <v>86</v>
      </c>
      <c r="BY103">
        <v>8512</v>
      </c>
      <c r="CA103" t="s">
        <v>122</v>
      </c>
      <c r="CC103" t="s">
        <v>118</v>
      </c>
      <c r="CD103">
        <v>7646</v>
      </c>
      <c r="CE103" t="s">
        <v>117</v>
      </c>
      <c r="CF103" s="3">
        <v>45874</v>
      </c>
      <c r="CI103">
        <v>1</v>
      </c>
      <c r="CJ103">
        <v>1</v>
      </c>
      <c r="CK103">
        <v>23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"080066953631"</f>
        <v>080066953631</v>
      </c>
      <c r="F104" s="3">
        <v>45870</v>
      </c>
      <c r="G104">
        <v>202605</v>
      </c>
      <c r="H104" t="s">
        <v>75</v>
      </c>
      <c r="I104" t="s">
        <v>76</v>
      </c>
      <c r="J104" t="s">
        <v>77</v>
      </c>
      <c r="K104" t="s">
        <v>78</v>
      </c>
      <c r="L104" t="s">
        <v>198</v>
      </c>
      <c r="M104" t="s">
        <v>199</v>
      </c>
      <c r="N104" t="s">
        <v>469</v>
      </c>
      <c r="O104" t="s">
        <v>82</v>
      </c>
      <c r="P104" t="str">
        <f>"4170052497                    "</f>
        <v xml:space="preserve">4170052497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45.18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</v>
      </c>
      <c r="BJ104">
        <v>1.6</v>
      </c>
      <c r="BK104">
        <v>4</v>
      </c>
      <c r="BL104">
        <v>142.34</v>
      </c>
      <c r="BM104">
        <v>21.35</v>
      </c>
      <c r="BN104">
        <v>163.69</v>
      </c>
      <c r="BO104">
        <v>163.69</v>
      </c>
      <c r="BQ104" t="s">
        <v>470</v>
      </c>
      <c r="BR104" t="s">
        <v>84</v>
      </c>
      <c r="BS104" s="3">
        <v>45873</v>
      </c>
      <c r="BT104" s="4">
        <v>0.41388888888888886</v>
      </c>
      <c r="BU104" t="s">
        <v>471</v>
      </c>
      <c r="BV104" t="s">
        <v>86</v>
      </c>
      <c r="BY104">
        <v>7840</v>
      </c>
      <c r="CA104" t="s">
        <v>345</v>
      </c>
      <c r="CC104" t="s">
        <v>199</v>
      </c>
      <c r="CD104">
        <v>6001</v>
      </c>
      <c r="CE104" t="s">
        <v>117</v>
      </c>
      <c r="CF104" s="3">
        <v>45873</v>
      </c>
      <c r="CI104">
        <v>1</v>
      </c>
      <c r="CJ104">
        <v>1</v>
      </c>
      <c r="CK104">
        <v>21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"080066953684"</f>
        <v>080066953684</v>
      </c>
      <c r="F105" s="3">
        <v>45870</v>
      </c>
      <c r="G105">
        <v>202605</v>
      </c>
      <c r="H105" t="s">
        <v>75</v>
      </c>
      <c r="I105" t="s">
        <v>76</v>
      </c>
      <c r="J105" t="s">
        <v>77</v>
      </c>
      <c r="K105" t="s">
        <v>78</v>
      </c>
      <c r="L105" t="s">
        <v>472</v>
      </c>
      <c r="M105" t="s">
        <v>473</v>
      </c>
      <c r="N105" t="s">
        <v>474</v>
      </c>
      <c r="O105" t="s">
        <v>82</v>
      </c>
      <c r="P105" t="str">
        <f>"4170052466                    "</f>
        <v xml:space="preserve">4170052466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221.73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11</v>
      </c>
      <c r="BJ105">
        <v>8.9</v>
      </c>
      <c r="BK105">
        <v>11</v>
      </c>
      <c r="BL105">
        <v>698.57</v>
      </c>
      <c r="BM105">
        <v>104.79</v>
      </c>
      <c r="BN105">
        <v>803.36</v>
      </c>
      <c r="BO105">
        <v>803.36</v>
      </c>
      <c r="BQ105" t="s">
        <v>475</v>
      </c>
      <c r="BR105" t="s">
        <v>84</v>
      </c>
      <c r="BS105" t="s">
        <v>96</v>
      </c>
      <c r="BY105">
        <v>44415</v>
      </c>
      <c r="CC105" t="s">
        <v>473</v>
      </c>
      <c r="CD105">
        <v>1120</v>
      </c>
      <c r="CE105" t="s">
        <v>147</v>
      </c>
      <c r="CF105" s="3">
        <v>45873</v>
      </c>
      <c r="CI105">
        <v>1</v>
      </c>
      <c r="CJ105" t="s">
        <v>96</v>
      </c>
      <c r="CK105">
        <v>23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"080066953693"</f>
        <v>080066953693</v>
      </c>
      <c r="F106" s="3">
        <v>45870</v>
      </c>
      <c r="G106">
        <v>202605</v>
      </c>
      <c r="H106" t="s">
        <v>75</v>
      </c>
      <c r="I106" t="s">
        <v>76</v>
      </c>
      <c r="J106" t="s">
        <v>77</v>
      </c>
      <c r="K106" t="s">
        <v>78</v>
      </c>
      <c r="L106" t="s">
        <v>278</v>
      </c>
      <c r="M106" t="s">
        <v>279</v>
      </c>
      <c r="N106" t="s">
        <v>280</v>
      </c>
      <c r="O106" t="s">
        <v>95</v>
      </c>
      <c r="P106" t="str">
        <f>"4170052461                    "</f>
        <v xml:space="preserve">4170052461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63.55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26</v>
      </c>
      <c r="BJ106">
        <v>9.5</v>
      </c>
      <c r="BK106">
        <v>26</v>
      </c>
      <c r="BL106">
        <v>206.08</v>
      </c>
      <c r="BM106">
        <v>30.91</v>
      </c>
      <c r="BN106">
        <v>236.99</v>
      </c>
      <c r="BO106">
        <v>236.99</v>
      </c>
      <c r="BQ106" t="s">
        <v>281</v>
      </c>
      <c r="BR106" t="s">
        <v>84</v>
      </c>
      <c r="BS106" s="3">
        <v>45873</v>
      </c>
      <c r="BT106" s="4">
        <v>0.64930555555555558</v>
      </c>
      <c r="BU106" t="s">
        <v>282</v>
      </c>
      <c r="BV106" t="s">
        <v>86</v>
      </c>
      <c r="BY106">
        <v>47705</v>
      </c>
      <c r="CA106" t="s">
        <v>283</v>
      </c>
      <c r="CC106" t="s">
        <v>279</v>
      </c>
      <c r="CD106" s="5" t="s">
        <v>284</v>
      </c>
      <c r="CE106" t="s">
        <v>147</v>
      </c>
      <c r="CF106" s="3">
        <v>45873</v>
      </c>
      <c r="CI106">
        <v>1</v>
      </c>
      <c r="CJ106">
        <v>1</v>
      </c>
      <c r="CK106">
        <v>41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"080066953830"</f>
        <v>080066953830</v>
      </c>
      <c r="F107" s="3">
        <v>45870</v>
      </c>
      <c r="G107">
        <v>202605</v>
      </c>
      <c r="H107" t="s">
        <v>75</v>
      </c>
      <c r="I107" t="s">
        <v>76</v>
      </c>
      <c r="J107" t="s">
        <v>77</v>
      </c>
      <c r="K107" t="s">
        <v>78</v>
      </c>
      <c r="L107" t="s">
        <v>162</v>
      </c>
      <c r="M107" t="s">
        <v>163</v>
      </c>
      <c r="N107" t="s">
        <v>246</v>
      </c>
      <c r="O107" t="s">
        <v>82</v>
      </c>
      <c r="P107" t="str">
        <f>"4170052460                    "</f>
        <v xml:space="preserve">4170052460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180.66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16</v>
      </c>
      <c r="BJ107">
        <v>8.9</v>
      </c>
      <c r="BK107">
        <v>16</v>
      </c>
      <c r="BL107">
        <v>569.17999999999995</v>
      </c>
      <c r="BM107">
        <v>85.38</v>
      </c>
      <c r="BN107">
        <v>654.55999999999995</v>
      </c>
      <c r="BO107">
        <v>654.55999999999995</v>
      </c>
      <c r="BQ107" t="s">
        <v>247</v>
      </c>
      <c r="BR107" t="s">
        <v>84</v>
      </c>
      <c r="BS107" s="3">
        <v>45873</v>
      </c>
      <c r="BT107" s="4">
        <v>0.41666666666666669</v>
      </c>
      <c r="BU107" t="s">
        <v>248</v>
      </c>
      <c r="BV107" t="s">
        <v>86</v>
      </c>
      <c r="BY107">
        <v>44640</v>
      </c>
      <c r="CC107" t="s">
        <v>163</v>
      </c>
      <c r="CD107">
        <v>3201</v>
      </c>
      <c r="CE107" t="s">
        <v>147</v>
      </c>
      <c r="CF107" s="3">
        <v>45874</v>
      </c>
      <c r="CI107">
        <v>1</v>
      </c>
      <c r="CJ107">
        <v>1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"080066953871"</f>
        <v>080066953871</v>
      </c>
      <c r="F108" s="3">
        <v>45870</v>
      </c>
      <c r="G108">
        <v>202605</v>
      </c>
      <c r="H108" t="s">
        <v>75</v>
      </c>
      <c r="I108" t="s">
        <v>76</v>
      </c>
      <c r="J108" t="s">
        <v>77</v>
      </c>
      <c r="K108" t="s">
        <v>78</v>
      </c>
      <c r="L108" t="s">
        <v>472</v>
      </c>
      <c r="M108" t="s">
        <v>473</v>
      </c>
      <c r="N108" t="s">
        <v>474</v>
      </c>
      <c r="O108" t="s">
        <v>82</v>
      </c>
      <c r="P108" t="str">
        <f>"4170052465                    "</f>
        <v xml:space="preserve">4170052465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182.19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9</v>
      </c>
      <c r="BJ108">
        <v>5.9</v>
      </c>
      <c r="BK108">
        <v>9</v>
      </c>
      <c r="BL108">
        <v>573.99</v>
      </c>
      <c r="BM108">
        <v>86.1</v>
      </c>
      <c r="BN108">
        <v>660.09</v>
      </c>
      <c r="BO108">
        <v>660.09</v>
      </c>
      <c r="BQ108" t="s">
        <v>475</v>
      </c>
      <c r="BR108" t="s">
        <v>84</v>
      </c>
      <c r="BS108" s="3">
        <v>45873</v>
      </c>
      <c r="BT108" s="4">
        <v>0.53194444444444444</v>
      </c>
      <c r="BU108" t="s">
        <v>176</v>
      </c>
      <c r="BV108" t="s">
        <v>86</v>
      </c>
      <c r="BY108">
        <v>29568</v>
      </c>
      <c r="BZ108" t="s">
        <v>330</v>
      </c>
      <c r="CA108" t="s">
        <v>177</v>
      </c>
      <c r="CC108" t="s">
        <v>473</v>
      </c>
      <c r="CD108">
        <v>1120</v>
      </c>
      <c r="CE108" t="s">
        <v>89</v>
      </c>
      <c r="CF108" s="3">
        <v>45873</v>
      </c>
      <c r="CI108">
        <v>1</v>
      </c>
      <c r="CJ108">
        <v>1</v>
      </c>
      <c r="CK108">
        <v>23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"080066953940"</f>
        <v>080066953940</v>
      </c>
      <c r="F109" s="3">
        <v>45870</v>
      </c>
      <c r="G109">
        <v>202605</v>
      </c>
      <c r="H109" t="s">
        <v>75</v>
      </c>
      <c r="I109" t="s">
        <v>76</v>
      </c>
      <c r="J109" t="s">
        <v>77</v>
      </c>
      <c r="K109" t="s">
        <v>78</v>
      </c>
      <c r="L109" t="s">
        <v>278</v>
      </c>
      <c r="M109" t="s">
        <v>279</v>
      </c>
      <c r="N109" t="s">
        <v>280</v>
      </c>
      <c r="O109" t="s">
        <v>95</v>
      </c>
      <c r="P109" t="str">
        <f>"4170052464                    "</f>
        <v xml:space="preserve">4170052464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81.59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36</v>
      </c>
      <c r="BJ109">
        <v>17.600000000000001</v>
      </c>
      <c r="BK109">
        <v>36</v>
      </c>
      <c r="BL109">
        <v>262.92</v>
      </c>
      <c r="BM109">
        <v>39.44</v>
      </c>
      <c r="BN109">
        <v>302.36</v>
      </c>
      <c r="BO109">
        <v>302.36</v>
      </c>
      <c r="BQ109" t="s">
        <v>281</v>
      </c>
      <c r="BR109" t="s">
        <v>84</v>
      </c>
      <c r="BS109" s="3">
        <v>45873</v>
      </c>
      <c r="BT109" s="4">
        <v>0.66180555555555554</v>
      </c>
      <c r="BU109" t="s">
        <v>282</v>
      </c>
      <c r="BV109" t="s">
        <v>86</v>
      </c>
      <c r="BY109">
        <v>88157</v>
      </c>
      <c r="BZ109" t="s">
        <v>100</v>
      </c>
      <c r="CA109" t="s">
        <v>283</v>
      </c>
      <c r="CC109" t="s">
        <v>279</v>
      </c>
      <c r="CD109" s="5" t="s">
        <v>284</v>
      </c>
      <c r="CE109" t="s">
        <v>89</v>
      </c>
      <c r="CF109" s="3">
        <v>45873</v>
      </c>
      <c r="CI109">
        <v>1</v>
      </c>
      <c r="CJ109">
        <v>1</v>
      </c>
      <c r="CK109">
        <v>41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"080066988019"</f>
        <v>080066988019</v>
      </c>
      <c r="F110" s="3">
        <v>45873</v>
      </c>
      <c r="G110">
        <v>202605</v>
      </c>
      <c r="H110" t="s">
        <v>75</v>
      </c>
      <c r="I110" t="s">
        <v>76</v>
      </c>
      <c r="J110" t="s">
        <v>77</v>
      </c>
      <c r="K110" t="s">
        <v>78</v>
      </c>
      <c r="L110" t="s">
        <v>349</v>
      </c>
      <c r="M110" t="s">
        <v>350</v>
      </c>
      <c r="N110" t="s">
        <v>476</v>
      </c>
      <c r="O110" t="s">
        <v>82</v>
      </c>
      <c r="P110" t="str">
        <f>"4170052551                    "</f>
        <v xml:space="preserve">4170052551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43.78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16.739999999999998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1.1000000000000001</v>
      </c>
      <c r="BK110">
        <v>2</v>
      </c>
      <c r="BL110">
        <v>154.68</v>
      </c>
      <c r="BM110">
        <v>23.2</v>
      </c>
      <c r="BN110">
        <v>177.88</v>
      </c>
      <c r="BO110">
        <v>177.88</v>
      </c>
      <c r="BQ110" t="s">
        <v>477</v>
      </c>
      <c r="BR110" t="s">
        <v>84</v>
      </c>
      <c r="BS110" s="3">
        <v>45874</v>
      </c>
      <c r="BT110" s="4">
        <v>0.52777777777777779</v>
      </c>
      <c r="BU110" t="s">
        <v>478</v>
      </c>
      <c r="BV110" t="s">
        <v>86</v>
      </c>
      <c r="BY110">
        <v>5320</v>
      </c>
      <c r="BZ110" t="s">
        <v>30</v>
      </c>
      <c r="CC110" t="s">
        <v>350</v>
      </c>
      <c r="CD110" s="5" t="s">
        <v>479</v>
      </c>
      <c r="CE110" t="s">
        <v>147</v>
      </c>
      <c r="CF110" s="3">
        <v>45875</v>
      </c>
      <c r="CI110">
        <v>1</v>
      </c>
      <c r="CJ110">
        <v>1</v>
      </c>
      <c r="CK110">
        <v>23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"080066989820"</f>
        <v>080066989820</v>
      </c>
      <c r="F111" s="3">
        <v>45873</v>
      </c>
      <c r="G111">
        <v>202605</v>
      </c>
      <c r="H111" t="s">
        <v>75</v>
      </c>
      <c r="I111" t="s">
        <v>76</v>
      </c>
      <c r="J111" t="s">
        <v>77</v>
      </c>
      <c r="K111" t="s">
        <v>78</v>
      </c>
      <c r="L111" t="s">
        <v>110</v>
      </c>
      <c r="M111" t="s">
        <v>111</v>
      </c>
      <c r="N111" t="s">
        <v>480</v>
      </c>
      <c r="O111" t="s">
        <v>82</v>
      </c>
      <c r="P111" t="str">
        <f>"4170052522                    "</f>
        <v xml:space="preserve">4170052522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17.649999999999999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55.61</v>
      </c>
      <c r="BM111">
        <v>8.34</v>
      </c>
      <c r="BN111">
        <v>63.95</v>
      </c>
      <c r="BO111">
        <v>63.95</v>
      </c>
      <c r="BQ111" t="s">
        <v>481</v>
      </c>
      <c r="BR111" t="s">
        <v>84</v>
      </c>
      <c r="BS111" s="3">
        <v>45874</v>
      </c>
      <c r="BT111" s="4">
        <v>0.41666666666666669</v>
      </c>
      <c r="BU111" t="s">
        <v>482</v>
      </c>
      <c r="BV111" t="s">
        <v>86</v>
      </c>
      <c r="BY111">
        <v>1200</v>
      </c>
      <c r="CC111" t="s">
        <v>111</v>
      </c>
      <c r="CD111">
        <v>2163</v>
      </c>
      <c r="CE111" t="s">
        <v>109</v>
      </c>
      <c r="CF111" s="3">
        <v>45875</v>
      </c>
      <c r="CI111">
        <v>1</v>
      </c>
      <c r="CJ111">
        <v>1</v>
      </c>
      <c r="CK111">
        <v>22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"080066987573"</f>
        <v>080066987573</v>
      </c>
      <c r="F112" s="3">
        <v>45873</v>
      </c>
      <c r="G112">
        <v>202605</v>
      </c>
      <c r="H112" t="s">
        <v>75</v>
      </c>
      <c r="I112" t="s">
        <v>76</v>
      </c>
      <c r="J112" t="s">
        <v>77</v>
      </c>
      <c r="K112" t="s">
        <v>78</v>
      </c>
      <c r="L112" t="s">
        <v>452</v>
      </c>
      <c r="M112" t="s">
        <v>453</v>
      </c>
      <c r="N112" t="s">
        <v>454</v>
      </c>
      <c r="O112" t="s">
        <v>82</v>
      </c>
      <c r="P112" t="str">
        <f>"4170052605                    "</f>
        <v xml:space="preserve">4170052605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43.78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137.94</v>
      </c>
      <c r="BM112">
        <v>20.69</v>
      </c>
      <c r="BN112">
        <v>158.63</v>
      </c>
      <c r="BO112">
        <v>158.63</v>
      </c>
      <c r="BQ112" t="s">
        <v>455</v>
      </c>
      <c r="BR112" t="s">
        <v>84</v>
      </c>
      <c r="BS112" s="3">
        <v>45874</v>
      </c>
      <c r="BT112" s="4">
        <v>0.34097222222222223</v>
      </c>
      <c r="BU112" t="s">
        <v>483</v>
      </c>
      <c r="BV112" t="s">
        <v>86</v>
      </c>
      <c r="BY112">
        <v>1200</v>
      </c>
      <c r="CA112" t="s">
        <v>484</v>
      </c>
      <c r="CC112" t="s">
        <v>453</v>
      </c>
      <c r="CD112">
        <v>1947</v>
      </c>
      <c r="CE112" t="s">
        <v>109</v>
      </c>
      <c r="CF112" s="3">
        <v>45874</v>
      </c>
      <c r="CI112">
        <v>1</v>
      </c>
      <c r="CJ112">
        <v>1</v>
      </c>
      <c r="CK112">
        <v>23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"080066987609"</f>
        <v>080066987609</v>
      </c>
      <c r="F113" s="3">
        <v>45873</v>
      </c>
      <c r="G113">
        <v>202605</v>
      </c>
      <c r="H113" t="s">
        <v>75</v>
      </c>
      <c r="I113" t="s">
        <v>76</v>
      </c>
      <c r="J113" t="s">
        <v>77</v>
      </c>
      <c r="K113" t="s">
        <v>78</v>
      </c>
      <c r="L113" t="s">
        <v>162</v>
      </c>
      <c r="M113" t="s">
        <v>163</v>
      </c>
      <c r="N113" t="s">
        <v>246</v>
      </c>
      <c r="O113" t="s">
        <v>82</v>
      </c>
      <c r="P113" t="str">
        <f>"4170052502                    "</f>
        <v xml:space="preserve">4170052502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22.6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71.2</v>
      </c>
      <c r="BM113">
        <v>10.68</v>
      </c>
      <c r="BN113">
        <v>81.88</v>
      </c>
      <c r="BO113">
        <v>81.88</v>
      </c>
      <c r="BQ113" t="s">
        <v>247</v>
      </c>
      <c r="BR113" t="s">
        <v>84</v>
      </c>
      <c r="BS113" s="3">
        <v>45874</v>
      </c>
      <c r="BT113" s="4">
        <v>0.41666666666666669</v>
      </c>
      <c r="BU113" t="s">
        <v>485</v>
      </c>
      <c r="BV113" t="s">
        <v>86</v>
      </c>
      <c r="BY113">
        <v>1200</v>
      </c>
      <c r="CC113" t="s">
        <v>163</v>
      </c>
      <c r="CD113">
        <v>3201</v>
      </c>
      <c r="CE113" t="s">
        <v>109</v>
      </c>
      <c r="CF113" s="3">
        <v>45875</v>
      </c>
      <c r="CI113">
        <v>1</v>
      </c>
      <c r="CJ113">
        <v>1</v>
      </c>
      <c r="CK113">
        <v>21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"080066987641"</f>
        <v>080066987641</v>
      </c>
      <c r="F114" s="3">
        <v>45873</v>
      </c>
      <c r="G114">
        <v>202605</v>
      </c>
      <c r="H114" t="s">
        <v>75</v>
      </c>
      <c r="I114" t="s">
        <v>76</v>
      </c>
      <c r="J114" t="s">
        <v>77</v>
      </c>
      <c r="K114" t="s">
        <v>78</v>
      </c>
      <c r="L114" t="s">
        <v>123</v>
      </c>
      <c r="M114" t="s">
        <v>124</v>
      </c>
      <c r="N114" t="s">
        <v>486</v>
      </c>
      <c r="O114" t="s">
        <v>82</v>
      </c>
      <c r="P114" t="str">
        <f>"4170052524                    "</f>
        <v xml:space="preserve">4170052524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45.18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4</v>
      </c>
      <c r="BJ114">
        <v>2.1</v>
      </c>
      <c r="BK114">
        <v>4</v>
      </c>
      <c r="BL114">
        <v>142.34</v>
      </c>
      <c r="BM114">
        <v>21.35</v>
      </c>
      <c r="BN114">
        <v>163.69</v>
      </c>
      <c r="BO114">
        <v>163.69</v>
      </c>
      <c r="BQ114" t="s">
        <v>487</v>
      </c>
      <c r="BR114" t="s">
        <v>84</v>
      </c>
      <c r="BS114" s="3">
        <v>45874</v>
      </c>
      <c r="BT114" s="4">
        <v>0.42986111111111114</v>
      </c>
      <c r="BU114" t="s">
        <v>488</v>
      </c>
      <c r="BV114" t="s">
        <v>86</v>
      </c>
      <c r="BY114">
        <v>10640</v>
      </c>
      <c r="CA114" t="s">
        <v>489</v>
      </c>
      <c r="CC114" t="s">
        <v>124</v>
      </c>
      <c r="CD114">
        <v>7800</v>
      </c>
      <c r="CE114" t="s">
        <v>147</v>
      </c>
      <c r="CF114" s="3">
        <v>45875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"080066987679"</f>
        <v>080066987679</v>
      </c>
      <c r="F115" s="3">
        <v>45873</v>
      </c>
      <c r="G115">
        <v>202605</v>
      </c>
      <c r="H115" t="s">
        <v>75</v>
      </c>
      <c r="I115" t="s">
        <v>76</v>
      </c>
      <c r="J115" t="s">
        <v>77</v>
      </c>
      <c r="K115" t="s">
        <v>78</v>
      </c>
      <c r="L115" t="s">
        <v>217</v>
      </c>
      <c r="M115" t="s">
        <v>218</v>
      </c>
      <c r="N115" t="s">
        <v>490</v>
      </c>
      <c r="O115" t="s">
        <v>82</v>
      </c>
      <c r="P115" t="str">
        <f>"4170052521                    "</f>
        <v xml:space="preserve">4170052521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22.6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1.1000000000000001</v>
      </c>
      <c r="BK115">
        <v>1.5</v>
      </c>
      <c r="BL115">
        <v>71.2</v>
      </c>
      <c r="BM115">
        <v>10.68</v>
      </c>
      <c r="BN115">
        <v>81.88</v>
      </c>
      <c r="BO115">
        <v>81.88</v>
      </c>
      <c r="BQ115" t="s">
        <v>491</v>
      </c>
      <c r="BR115" t="s">
        <v>84</v>
      </c>
      <c r="BS115" s="3">
        <v>45875</v>
      </c>
      <c r="BT115" s="4">
        <v>0.50347222222222221</v>
      </c>
      <c r="BU115" t="s">
        <v>492</v>
      </c>
      <c r="BV115" t="s">
        <v>90</v>
      </c>
      <c r="BW115" t="s">
        <v>134</v>
      </c>
      <c r="BX115" t="s">
        <v>135</v>
      </c>
      <c r="BY115">
        <v>5320</v>
      </c>
      <c r="CA115" t="s">
        <v>136</v>
      </c>
      <c r="CC115" t="s">
        <v>218</v>
      </c>
      <c r="CD115">
        <v>4052</v>
      </c>
      <c r="CE115" t="s">
        <v>147</v>
      </c>
      <c r="CF115" s="3">
        <v>45875</v>
      </c>
      <c r="CI115">
        <v>1</v>
      </c>
      <c r="CJ115">
        <v>2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"080066987748"</f>
        <v>080066987748</v>
      </c>
      <c r="F116" s="3">
        <v>45873</v>
      </c>
      <c r="G116">
        <v>202605</v>
      </c>
      <c r="H116" t="s">
        <v>75</v>
      </c>
      <c r="I116" t="s">
        <v>76</v>
      </c>
      <c r="J116" t="s">
        <v>77</v>
      </c>
      <c r="K116" t="s">
        <v>78</v>
      </c>
      <c r="L116" t="s">
        <v>162</v>
      </c>
      <c r="M116" t="s">
        <v>163</v>
      </c>
      <c r="N116" t="s">
        <v>246</v>
      </c>
      <c r="O116" t="s">
        <v>82</v>
      </c>
      <c r="P116" t="str">
        <f>"4170052563                    "</f>
        <v xml:space="preserve">4170052563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79.05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7</v>
      </c>
      <c r="BJ116">
        <v>3.3</v>
      </c>
      <c r="BK116">
        <v>7</v>
      </c>
      <c r="BL116">
        <v>249.05</v>
      </c>
      <c r="BM116">
        <v>37.36</v>
      </c>
      <c r="BN116">
        <v>286.41000000000003</v>
      </c>
      <c r="BO116">
        <v>286.41000000000003</v>
      </c>
      <c r="BQ116" t="s">
        <v>247</v>
      </c>
      <c r="BR116" t="s">
        <v>84</v>
      </c>
      <c r="BS116" s="3">
        <v>45874</v>
      </c>
      <c r="BT116" s="4">
        <v>0.41666666666666669</v>
      </c>
      <c r="BU116" t="s">
        <v>485</v>
      </c>
      <c r="BV116" t="s">
        <v>86</v>
      </c>
      <c r="BY116">
        <v>16324</v>
      </c>
      <c r="CC116" t="s">
        <v>163</v>
      </c>
      <c r="CD116">
        <v>3201</v>
      </c>
      <c r="CE116" t="s">
        <v>147</v>
      </c>
      <c r="CF116" s="3">
        <v>45875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"080066988025"</f>
        <v>080066988025</v>
      </c>
      <c r="F117" s="3">
        <v>45873</v>
      </c>
      <c r="G117">
        <v>202605</v>
      </c>
      <c r="H117" t="s">
        <v>75</v>
      </c>
      <c r="I117" t="s">
        <v>76</v>
      </c>
      <c r="J117" t="s">
        <v>77</v>
      </c>
      <c r="K117" t="s">
        <v>78</v>
      </c>
      <c r="L117" t="s">
        <v>162</v>
      </c>
      <c r="M117" t="s">
        <v>163</v>
      </c>
      <c r="N117" t="s">
        <v>246</v>
      </c>
      <c r="O117" t="s">
        <v>82</v>
      </c>
      <c r="P117" t="str">
        <f>"4170052498                    "</f>
        <v xml:space="preserve">4170052498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22.6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71.2</v>
      </c>
      <c r="BM117">
        <v>10.68</v>
      </c>
      <c r="BN117">
        <v>81.88</v>
      </c>
      <c r="BO117">
        <v>81.88</v>
      </c>
      <c r="BQ117" t="s">
        <v>247</v>
      </c>
      <c r="BR117" t="s">
        <v>84</v>
      </c>
      <c r="BS117" s="3">
        <v>45874</v>
      </c>
      <c r="BT117" s="4">
        <v>0.41666666666666669</v>
      </c>
      <c r="BU117" t="s">
        <v>493</v>
      </c>
      <c r="BV117" t="s">
        <v>86</v>
      </c>
      <c r="BY117">
        <v>1200</v>
      </c>
      <c r="CC117" t="s">
        <v>163</v>
      </c>
      <c r="CD117">
        <v>3201</v>
      </c>
      <c r="CE117" t="s">
        <v>109</v>
      </c>
      <c r="CF117" s="3">
        <v>45875</v>
      </c>
      <c r="CI117">
        <v>1</v>
      </c>
      <c r="CJ117">
        <v>1</v>
      </c>
      <c r="CK117">
        <v>21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"080066988072"</f>
        <v>080066988072</v>
      </c>
      <c r="F118" s="3">
        <v>45873</v>
      </c>
      <c r="G118">
        <v>202605</v>
      </c>
      <c r="H118" t="s">
        <v>75</v>
      </c>
      <c r="I118" t="s">
        <v>76</v>
      </c>
      <c r="J118" t="s">
        <v>77</v>
      </c>
      <c r="K118" t="s">
        <v>78</v>
      </c>
      <c r="L118" t="s">
        <v>241</v>
      </c>
      <c r="M118" t="s">
        <v>242</v>
      </c>
      <c r="N118" t="s">
        <v>494</v>
      </c>
      <c r="O118" t="s">
        <v>113</v>
      </c>
      <c r="P118" t="str">
        <f>"4170052601                    "</f>
        <v xml:space="preserve">4170052601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19.64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9</v>
      </c>
      <c r="BJ118">
        <v>4.3</v>
      </c>
      <c r="BK118">
        <v>9</v>
      </c>
      <c r="BL118">
        <v>61.87</v>
      </c>
      <c r="BM118">
        <v>9.2799999999999994</v>
      </c>
      <c r="BN118">
        <v>71.150000000000006</v>
      </c>
      <c r="BO118">
        <v>71.150000000000006</v>
      </c>
      <c r="BQ118" t="s">
        <v>495</v>
      </c>
      <c r="BR118" t="s">
        <v>84</v>
      </c>
      <c r="BS118" s="3">
        <v>45874</v>
      </c>
      <c r="BT118" s="4">
        <v>0.47291666666666665</v>
      </c>
      <c r="BU118" t="s">
        <v>496</v>
      </c>
      <c r="BV118" t="s">
        <v>86</v>
      </c>
      <c r="BY118">
        <v>21489</v>
      </c>
      <c r="CA118" t="s">
        <v>497</v>
      </c>
      <c r="CC118" t="s">
        <v>242</v>
      </c>
      <c r="CD118">
        <v>1459</v>
      </c>
      <c r="CE118" t="s">
        <v>147</v>
      </c>
      <c r="CF118" s="3">
        <v>45875</v>
      </c>
      <c r="CI118">
        <v>1</v>
      </c>
      <c r="CJ118">
        <v>1</v>
      </c>
      <c r="CK118">
        <v>32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"080066988088"</f>
        <v>080066988088</v>
      </c>
      <c r="F119" s="3">
        <v>45873</v>
      </c>
      <c r="G119">
        <v>202605</v>
      </c>
      <c r="H119" t="s">
        <v>75</v>
      </c>
      <c r="I119" t="s">
        <v>76</v>
      </c>
      <c r="J119" t="s">
        <v>77</v>
      </c>
      <c r="K119" t="s">
        <v>78</v>
      </c>
      <c r="L119" t="s">
        <v>223</v>
      </c>
      <c r="M119" t="s">
        <v>224</v>
      </c>
      <c r="N119" t="s">
        <v>498</v>
      </c>
      <c r="O119" t="s">
        <v>82</v>
      </c>
      <c r="P119" t="str">
        <f>"4170052603                    "</f>
        <v xml:space="preserve">4170052603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22.6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71.2</v>
      </c>
      <c r="BM119">
        <v>10.68</v>
      </c>
      <c r="BN119">
        <v>81.88</v>
      </c>
      <c r="BO119">
        <v>81.88</v>
      </c>
      <c r="BQ119" t="s">
        <v>499</v>
      </c>
      <c r="BR119" t="s">
        <v>84</v>
      </c>
      <c r="BS119" s="3">
        <v>45874</v>
      </c>
      <c r="BT119" s="4">
        <v>0.64236111111111116</v>
      </c>
      <c r="BU119" t="s">
        <v>500</v>
      </c>
      <c r="BV119" t="s">
        <v>86</v>
      </c>
      <c r="BY119">
        <v>1200</v>
      </c>
      <c r="CA119" t="s">
        <v>268</v>
      </c>
      <c r="CC119" t="s">
        <v>224</v>
      </c>
      <c r="CD119">
        <v>5201</v>
      </c>
      <c r="CE119" t="s">
        <v>109</v>
      </c>
      <c r="CF119" s="3">
        <v>45874</v>
      </c>
      <c r="CI119">
        <v>5</v>
      </c>
      <c r="CJ119">
        <v>1</v>
      </c>
      <c r="CK119">
        <v>21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"080066988135"</f>
        <v>080066988135</v>
      </c>
      <c r="F120" s="3">
        <v>45873</v>
      </c>
      <c r="G120">
        <v>202605</v>
      </c>
      <c r="H120" t="s">
        <v>75</v>
      </c>
      <c r="I120" t="s">
        <v>76</v>
      </c>
      <c r="J120" t="s">
        <v>77</v>
      </c>
      <c r="K120" t="s">
        <v>78</v>
      </c>
      <c r="L120" t="s">
        <v>325</v>
      </c>
      <c r="M120" t="s">
        <v>326</v>
      </c>
      <c r="N120" t="s">
        <v>501</v>
      </c>
      <c r="O120" t="s">
        <v>82</v>
      </c>
      <c r="P120" t="str">
        <f>"4170052568                    "</f>
        <v xml:space="preserve">4170052568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17.649999999999999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55.61</v>
      </c>
      <c r="BM120">
        <v>8.34</v>
      </c>
      <c r="BN120">
        <v>63.95</v>
      </c>
      <c r="BO120">
        <v>63.95</v>
      </c>
      <c r="BQ120" t="s">
        <v>502</v>
      </c>
      <c r="BR120" t="s">
        <v>84</v>
      </c>
      <c r="BS120" s="3">
        <v>45874</v>
      </c>
      <c r="BT120" s="4">
        <v>0.36666666666666664</v>
      </c>
      <c r="BU120" t="s">
        <v>503</v>
      </c>
      <c r="BV120" t="s">
        <v>86</v>
      </c>
      <c r="BY120">
        <v>1200</v>
      </c>
      <c r="CA120" t="s">
        <v>504</v>
      </c>
      <c r="CC120" t="s">
        <v>326</v>
      </c>
      <c r="CD120">
        <v>2091</v>
      </c>
      <c r="CE120" t="s">
        <v>109</v>
      </c>
      <c r="CF120" s="3">
        <v>45874</v>
      </c>
      <c r="CI120">
        <v>1</v>
      </c>
      <c r="CJ120">
        <v>1</v>
      </c>
      <c r="CK120">
        <v>22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"080066988163"</f>
        <v>080066988163</v>
      </c>
      <c r="F121" s="3">
        <v>45873</v>
      </c>
      <c r="G121">
        <v>202605</v>
      </c>
      <c r="H121" t="s">
        <v>75</v>
      </c>
      <c r="I121" t="s">
        <v>76</v>
      </c>
      <c r="J121" t="s">
        <v>77</v>
      </c>
      <c r="K121" t="s">
        <v>78</v>
      </c>
      <c r="L121" t="s">
        <v>137</v>
      </c>
      <c r="M121" t="s">
        <v>138</v>
      </c>
      <c r="N121" t="s">
        <v>505</v>
      </c>
      <c r="O121" t="s">
        <v>82</v>
      </c>
      <c r="P121" t="str">
        <f>"4170052582                    "</f>
        <v xml:space="preserve">4170052582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22.6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71.2</v>
      </c>
      <c r="BM121">
        <v>10.68</v>
      </c>
      <c r="BN121">
        <v>81.88</v>
      </c>
      <c r="BO121">
        <v>81.88</v>
      </c>
      <c r="BQ121" t="s">
        <v>506</v>
      </c>
      <c r="BR121" t="s">
        <v>84</v>
      </c>
      <c r="BS121" s="3">
        <v>45874</v>
      </c>
      <c r="BT121" s="4">
        <v>0.65625</v>
      </c>
      <c r="BU121" t="s">
        <v>507</v>
      </c>
      <c r="BV121" t="s">
        <v>90</v>
      </c>
      <c r="BW121" t="s">
        <v>134</v>
      </c>
      <c r="BX121" t="s">
        <v>135</v>
      </c>
      <c r="BY121">
        <v>1200</v>
      </c>
      <c r="CC121" t="s">
        <v>138</v>
      </c>
      <c r="CD121">
        <v>3600</v>
      </c>
      <c r="CE121" t="s">
        <v>109</v>
      </c>
      <c r="CF121" s="3">
        <v>45875</v>
      </c>
      <c r="CI121">
        <v>1</v>
      </c>
      <c r="CJ121">
        <v>1</v>
      </c>
      <c r="CK121">
        <v>21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"080066988183"</f>
        <v>080066988183</v>
      </c>
      <c r="F122" s="3">
        <v>45873</v>
      </c>
      <c r="G122">
        <v>202605</v>
      </c>
      <c r="H122" t="s">
        <v>75</v>
      </c>
      <c r="I122" t="s">
        <v>76</v>
      </c>
      <c r="J122" t="s">
        <v>77</v>
      </c>
      <c r="K122" t="s">
        <v>78</v>
      </c>
      <c r="L122" t="s">
        <v>137</v>
      </c>
      <c r="M122" t="s">
        <v>138</v>
      </c>
      <c r="N122" t="s">
        <v>505</v>
      </c>
      <c r="O122" t="s">
        <v>82</v>
      </c>
      <c r="P122" t="str">
        <f>"4170052583                    "</f>
        <v xml:space="preserve">4170052583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22.6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71.2</v>
      </c>
      <c r="BM122">
        <v>10.68</v>
      </c>
      <c r="BN122">
        <v>81.88</v>
      </c>
      <c r="BO122">
        <v>81.88</v>
      </c>
      <c r="BQ122" t="s">
        <v>506</v>
      </c>
      <c r="BR122" t="s">
        <v>84</v>
      </c>
      <c r="BS122" s="3">
        <v>45874</v>
      </c>
      <c r="BT122" s="4">
        <v>0.66319444444444442</v>
      </c>
      <c r="BU122" t="s">
        <v>507</v>
      </c>
      <c r="BV122" t="s">
        <v>90</v>
      </c>
      <c r="BW122" t="s">
        <v>134</v>
      </c>
      <c r="BX122" t="s">
        <v>135</v>
      </c>
      <c r="BY122">
        <v>1200</v>
      </c>
      <c r="CC122" t="s">
        <v>138</v>
      </c>
      <c r="CD122">
        <v>3600</v>
      </c>
      <c r="CE122" t="s">
        <v>109</v>
      </c>
      <c r="CF122" s="3">
        <v>45875</v>
      </c>
      <c r="CI122">
        <v>1</v>
      </c>
      <c r="CJ122">
        <v>1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"080066988221"</f>
        <v>080066988221</v>
      </c>
      <c r="F123" s="3">
        <v>45873</v>
      </c>
      <c r="G123">
        <v>202605</v>
      </c>
      <c r="H123" t="s">
        <v>75</v>
      </c>
      <c r="I123" t="s">
        <v>76</v>
      </c>
      <c r="J123" t="s">
        <v>77</v>
      </c>
      <c r="K123" t="s">
        <v>78</v>
      </c>
      <c r="L123" t="s">
        <v>278</v>
      </c>
      <c r="M123" t="s">
        <v>279</v>
      </c>
      <c r="N123" t="s">
        <v>508</v>
      </c>
      <c r="O123" t="s">
        <v>82</v>
      </c>
      <c r="P123" t="str">
        <f>"4170052519                    "</f>
        <v xml:space="preserve">4170052519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22.6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71.2</v>
      </c>
      <c r="BM123">
        <v>10.68</v>
      </c>
      <c r="BN123">
        <v>81.88</v>
      </c>
      <c r="BO123">
        <v>81.88</v>
      </c>
      <c r="BQ123" t="s">
        <v>509</v>
      </c>
      <c r="BR123" t="s">
        <v>84</v>
      </c>
      <c r="BS123" s="3">
        <v>45874</v>
      </c>
      <c r="BT123" s="4">
        <v>0.38541666666666669</v>
      </c>
      <c r="BU123" t="s">
        <v>510</v>
      </c>
      <c r="BV123" t="s">
        <v>86</v>
      </c>
      <c r="BY123">
        <v>1200</v>
      </c>
      <c r="CA123" t="s">
        <v>511</v>
      </c>
      <c r="CC123" t="s">
        <v>279</v>
      </c>
      <c r="CD123" s="5" t="s">
        <v>512</v>
      </c>
      <c r="CE123" t="s">
        <v>109</v>
      </c>
      <c r="CF123" s="3">
        <v>45874</v>
      </c>
      <c r="CI123">
        <v>1</v>
      </c>
      <c r="CJ123">
        <v>1</v>
      </c>
      <c r="CK123">
        <v>21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"080066988300"</f>
        <v>080066988300</v>
      </c>
      <c r="F124" s="3">
        <v>45873</v>
      </c>
      <c r="G124">
        <v>202605</v>
      </c>
      <c r="H124" t="s">
        <v>75</v>
      </c>
      <c r="I124" t="s">
        <v>76</v>
      </c>
      <c r="J124" t="s">
        <v>77</v>
      </c>
      <c r="K124" t="s">
        <v>78</v>
      </c>
      <c r="L124" t="s">
        <v>162</v>
      </c>
      <c r="M124" t="s">
        <v>163</v>
      </c>
      <c r="N124" t="s">
        <v>246</v>
      </c>
      <c r="O124" t="s">
        <v>82</v>
      </c>
      <c r="P124" t="str">
        <f>"4170052553                    "</f>
        <v xml:space="preserve">4170052553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22.6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71.2</v>
      </c>
      <c r="BM124">
        <v>10.68</v>
      </c>
      <c r="BN124">
        <v>81.88</v>
      </c>
      <c r="BO124">
        <v>81.88</v>
      </c>
      <c r="BQ124" t="s">
        <v>247</v>
      </c>
      <c r="BR124" t="s">
        <v>84</v>
      </c>
      <c r="BS124" s="3">
        <v>45874</v>
      </c>
      <c r="BT124" s="4">
        <v>0.41666666666666669</v>
      </c>
      <c r="BU124" t="s">
        <v>493</v>
      </c>
      <c r="BV124" t="s">
        <v>86</v>
      </c>
      <c r="BY124">
        <v>1200</v>
      </c>
      <c r="CC124" t="s">
        <v>163</v>
      </c>
      <c r="CD124">
        <v>3201</v>
      </c>
      <c r="CE124" t="s">
        <v>109</v>
      </c>
      <c r="CF124" s="3">
        <v>45875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"080066988318"</f>
        <v>080066988318</v>
      </c>
      <c r="F125" s="3">
        <v>45873</v>
      </c>
      <c r="G125">
        <v>202605</v>
      </c>
      <c r="H125" t="s">
        <v>75</v>
      </c>
      <c r="I125" t="s">
        <v>76</v>
      </c>
      <c r="J125" t="s">
        <v>77</v>
      </c>
      <c r="K125" t="s">
        <v>78</v>
      </c>
      <c r="L125" t="s">
        <v>513</v>
      </c>
      <c r="M125" t="s">
        <v>514</v>
      </c>
      <c r="N125" t="s">
        <v>515</v>
      </c>
      <c r="O125" t="s">
        <v>82</v>
      </c>
      <c r="P125" t="str">
        <f>"4170052580                    "</f>
        <v xml:space="preserve">4170052580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63.56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</v>
      </c>
      <c r="BJ125">
        <v>2.7</v>
      </c>
      <c r="BK125">
        <v>3</v>
      </c>
      <c r="BL125">
        <v>200.24</v>
      </c>
      <c r="BM125">
        <v>30.04</v>
      </c>
      <c r="BN125">
        <v>230.28</v>
      </c>
      <c r="BO125">
        <v>230.28</v>
      </c>
      <c r="BQ125" t="s">
        <v>516</v>
      </c>
      <c r="BR125" t="s">
        <v>84</v>
      </c>
      <c r="BS125" s="3">
        <v>45874</v>
      </c>
      <c r="BT125" s="4">
        <v>0.43125000000000002</v>
      </c>
      <c r="BU125" t="s">
        <v>517</v>
      </c>
      <c r="BV125" t="s">
        <v>86</v>
      </c>
      <c r="BY125">
        <v>13568</v>
      </c>
      <c r="CA125" t="s">
        <v>518</v>
      </c>
      <c r="CC125" t="s">
        <v>514</v>
      </c>
      <c r="CD125" s="5" t="s">
        <v>519</v>
      </c>
      <c r="CE125" t="s">
        <v>117</v>
      </c>
      <c r="CF125" s="3">
        <v>45875</v>
      </c>
      <c r="CI125">
        <v>1</v>
      </c>
      <c r="CJ125">
        <v>1</v>
      </c>
      <c r="CK125">
        <v>23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"080066988326"</f>
        <v>080066988326</v>
      </c>
      <c r="F126" s="3">
        <v>45873</v>
      </c>
      <c r="G126">
        <v>202605</v>
      </c>
      <c r="H126" t="s">
        <v>75</v>
      </c>
      <c r="I126" t="s">
        <v>76</v>
      </c>
      <c r="J126" t="s">
        <v>77</v>
      </c>
      <c r="K126" t="s">
        <v>78</v>
      </c>
      <c r="L126" t="s">
        <v>520</v>
      </c>
      <c r="M126" t="s">
        <v>521</v>
      </c>
      <c r="N126" t="s">
        <v>522</v>
      </c>
      <c r="O126" t="s">
        <v>82</v>
      </c>
      <c r="P126" t="str">
        <f>"4170052545                    "</f>
        <v xml:space="preserve">4170052545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43.78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137.94</v>
      </c>
      <c r="BM126">
        <v>20.69</v>
      </c>
      <c r="BN126">
        <v>158.63</v>
      </c>
      <c r="BO126">
        <v>158.63</v>
      </c>
      <c r="BQ126" t="s">
        <v>523</v>
      </c>
      <c r="BR126" t="s">
        <v>84</v>
      </c>
      <c r="BS126" s="3">
        <v>45874</v>
      </c>
      <c r="BT126" s="4">
        <v>0.4375</v>
      </c>
      <c r="BU126" t="s">
        <v>524</v>
      </c>
      <c r="BV126" t="s">
        <v>86</v>
      </c>
      <c r="BY126">
        <v>1200</v>
      </c>
      <c r="CA126" t="s">
        <v>525</v>
      </c>
      <c r="CC126" t="s">
        <v>521</v>
      </c>
      <c r="CD126">
        <v>1871</v>
      </c>
      <c r="CE126" t="s">
        <v>109</v>
      </c>
      <c r="CF126" s="3">
        <v>45875</v>
      </c>
      <c r="CI126">
        <v>1</v>
      </c>
      <c r="CJ126">
        <v>1</v>
      </c>
      <c r="CK126">
        <v>23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"080066988352"</f>
        <v>080066988352</v>
      </c>
      <c r="F127" s="3">
        <v>45873</v>
      </c>
      <c r="G127">
        <v>202605</v>
      </c>
      <c r="H127" t="s">
        <v>75</v>
      </c>
      <c r="I127" t="s">
        <v>76</v>
      </c>
      <c r="J127" t="s">
        <v>77</v>
      </c>
      <c r="K127" t="s">
        <v>78</v>
      </c>
      <c r="L127" t="s">
        <v>278</v>
      </c>
      <c r="M127" t="s">
        <v>279</v>
      </c>
      <c r="N127" t="s">
        <v>508</v>
      </c>
      <c r="O127" t="s">
        <v>82</v>
      </c>
      <c r="P127" t="str">
        <f>"4170052517                    "</f>
        <v xml:space="preserve">4170052517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22.6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1.1000000000000001</v>
      </c>
      <c r="BK127">
        <v>1.5</v>
      </c>
      <c r="BL127">
        <v>71.2</v>
      </c>
      <c r="BM127">
        <v>10.68</v>
      </c>
      <c r="BN127">
        <v>81.88</v>
      </c>
      <c r="BO127">
        <v>81.88</v>
      </c>
      <c r="BQ127" t="s">
        <v>509</v>
      </c>
      <c r="BR127" t="s">
        <v>84</v>
      </c>
      <c r="BS127" s="3">
        <v>45874</v>
      </c>
      <c r="BT127" s="4">
        <v>0.38541666666666669</v>
      </c>
      <c r="BU127" t="s">
        <v>510</v>
      </c>
      <c r="BV127" t="s">
        <v>86</v>
      </c>
      <c r="BY127">
        <v>5320</v>
      </c>
      <c r="CA127" t="s">
        <v>511</v>
      </c>
      <c r="CC127" t="s">
        <v>279</v>
      </c>
      <c r="CD127" s="5" t="s">
        <v>512</v>
      </c>
      <c r="CE127" t="s">
        <v>147</v>
      </c>
      <c r="CF127" s="3">
        <v>45874</v>
      </c>
      <c r="CI127">
        <v>1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"080066988355"</f>
        <v>080066988355</v>
      </c>
      <c r="F128" s="3">
        <v>45873</v>
      </c>
      <c r="G128">
        <v>202605</v>
      </c>
      <c r="H128" t="s">
        <v>75</v>
      </c>
      <c r="I128" t="s">
        <v>76</v>
      </c>
      <c r="J128" t="s">
        <v>77</v>
      </c>
      <c r="K128" t="s">
        <v>78</v>
      </c>
      <c r="L128" t="s">
        <v>291</v>
      </c>
      <c r="M128" t="s">
        <v>292</v>
      </c>
      <c r="N128" t="s">
        <v>131</v>
      </c>
      <c r="O128" t="s">
        <v>82</v>
      </c>
      <c r="P128" t="str">
        <f>"4170052598                    "</f>
        <v xml:space="preserve">4170052598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17.649999999999999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55.61</v>
      </c>
      <c r="BM128">
        <v>8.34</v>
      </c>
      <c r="BN128">
        <v>63.95</v>
      </c>
      <c r="BO128">
        <v>63.95</v>
      </c>
      <c r="BQ128" t="s">
        <v>132</v>
      </c>
      <c r="BR128" t="s">
        <v>84</v>
      </c>
      <c r="BS128" s="3">
        <v>45874</v>
      </c>
      <c r="BT128" s="4">
        <v>0.39930555555555558</v>
      </c>
      <c r="BU128" t="s">
        <v>526</v>
      </c>
      <c r="BV128" t="s">
        <v>86</v>
      </c>
      <c r="BY128">
        <v>1200</v>
      </c>
      <c r="CA128" t="s">
        <v>296</v>
      </c>
      <c r="CC128" t="s">
        <v>292</v>
      </c>
      <c r="CD128">
        <v>1451</v>
      </c>
      <c r="CE128" t="s">
        <v>109</v>
      </c>
      <c r="CF128" s="3">
        <v>45874</v>
      </c>
      <c r="CI128">
        <v>1</v>
      </c>
      <c r="CJ128">
        <v>1</v>
      </c>
      <c r="CK128">
        <v>22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"080066988406"</f>
        <v>080066988406</v>
      </c>
      <c r="F129" s="3">
        <v>45873</v>
      </c>
      <c r="G129">
        <v>202605</v>
      </c>
      <c r="H129" t="s">
        <v>75</v>
      </c>
      <c r="I129" t="s">
        <v>76</v>
      </c>
      <c r="J129" t="s">
        <v>77</v>
      </c>
      <c r="K129" t="s">
        <v>78</v>
      </c>
      <c r="L129" t="s">
        <v>241</v>
      </c>
      <c r="M129" t="s">
        <v>242</v>
      </c>
      <c r="N129" t="s">
        <v>527</v>
      </c>
      <c r="O129" t="s">
        <v>82</v>
      </c>
      <c r="P129" t="str">
        <f>"4170052500                    "</f>
        <v xml:space="preserve">4170052500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17.649999999999999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55.61</v>
      </c>
      <c r="BM129">
        <v>8.34</v>
      </c>
      <c r="BN129">
        <v>63.95</v>
      </c>
      <c r="BO129">
        <v>63.95</v>
      </c>
      <c r="BQ129" t="s">
        <v>528</v>
      </c>
      <c r="BR129" t="s">
        <v>84</v>
      </c>
      <c r="BS129" s="3">
        <v>45874</v>
      </c>
      <c r="BT129" s="4">
        <v>0.375</v>
      </c>
      <c r="BU129" t="s">
        <v>529</v>
      </c>
      <c r="BV129" t="s">
        <v>86</v>
      </c>
      <c r="BY129">
        <v>1200</v>
      </c>
      <c r="CA129" t="s">
        <v>530</v>
      </c>
      <c r="CC129" t="s">
        <v>242</v>
      </c>
      <c r="CD129">
        <v>1460</v>
      </c>
      <c r="CE129" t="s">
        <v>109</v>
      </c>
      <c r="CF129" s="3">
        <v>45875</v>
      </c>
      <c r="CI129">
        <v>1</v>
      </c>
      <c r="CJ129">
        <v>1</v>
      </c>
      <c r="CK129">
        <v>22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"080066988434"</f>
        <v>080066988434</v>
      </c>
      <c r="F130" s="3">
        <v>45873</v>
      </c>
      <c r="G130">
        <v>202605</v>
      </c>
      <c r="H130" t="s">
        <v>75</v>
      </c>
      <c r="I130" t="s">
        <v>76</v>
      </c>
      <c r="J130" t="s">
        <v>77</v>
      </c>
      <c r="K130" t="s">
        <v>78</v>
      </c>
      <c r="L130" t="s">
        <v>278</v>
      </c>
      <c r="M130" t="s">
        <v>279</v>
      </c>
      <c r="N130" t="s">
        <v>131</v>
      </c>
      <c r="O130" t="s">
        <v>82</v>
      </c>
      <c r="P130" t="str">
        <f>"4170052572                    "</f>
        <v xml:space="preserve">4170052572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22.6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71.2</v>
      </c>
      <c r="BM130">
        <v>10.68</v>
      </c>
      <c r="BN130">
        <v>81.88</v>
      </c>
      <c r="BO130">
        <v>81.88</v>
      </c>
      <c r="BQ130" t="s">
        <v>132</v>
      </c>
      <c r="BR130" t="s">
        <v>84</v>
      </c>
      <c r="BS130" s="3">
        <v>45874</v>
      </c>
      <c r="BT130" s="4">
        <v>0.42291666666666666</v>
      </c>
      <c r="BU130" t="s">
        <v>531</v>
      </c>
      <c r="BV130" t="s">
        <v>86</v>
      </c>
      <c r="BY130">
        <v>1200</v>
      </c>
      <c r="CA130" t="s">
        <v>532</v>
      </c>
      <c r="CC130" t="s">
        <v>279</v>
      </c>
      <c r="CD130" s="5" t="s">
        <v>533</v>
      </c>
      <c r="CE130" t="s">
        <v>109</v>
      </c>
      <c r="CF130" s="3">
        <v>45874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"080066988473"</f>
        <v>080066988473</v>
      </c>
      <c r="F131" s="3">
        <v>45873</v>
      </c>
      <c r="G131">
        <v>202605</v>
      </c>
      <c r="H131" t="s">
        <v>75</v>
      </c>
      <c r="I131" t="s">
        <v>76</v>
      </c>
      <c r="J131" t="s">
        <v>77</v>
      </c>
      <c r="K131" t="s">
        <v>78</v>
      </c>
      <c r="L131" t="s">
        <v>123</v>
      </c>
      <c r="M131" t="s">
        <v>124</v>
      </c>
      <c r="N131" t="s">
        <v>534</v>
      </c>
      <c r="O131" t="s">
        <v>82</v>
      </c>
      <c r="P131" t="str">
        <f>"4170052509                    "</f>
        <v xml:space="preserve">4170052509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22.6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71.2</v>
      </c>
      <c r="BM131">
        <v>10.68</v>
      </c>
      <c r="BN131">
        <v>81.88</v>
      </c>
      <c r="BO131">
        <v>81.88</v>
      </c>
      <c r="BQ131" t="s">
        <v>535</v>
      </c>
      <c r="BR131" t="s">
        <v>84</v>
      </c>
      <c r="BS131" s="3">
        <v>45874</v>
      </c>
      <c r="BT131" s="4">
        <v>0.39930555555555558</v>
      </c>
      <c r="BU131" t="s">
        <v>536</v>
      </c>
      <c r="BV131" t="s">
        <v>86</v>
      </c>
      <c r="BY131">
        <v>1200</v>
      </c>
      <c r="CC131" t="s">
        <v>124</v>
      </c>
      <c r="CD131">
        <v>7480</v>
      </c>
      <c r="CE131" t="s">
        <v>109</v>
      </c>
      <c r="CF131" s="3">
        <v>45875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"080066988491"</f>
        <v>080066988491</v>
      </c>
      <c r="F132" s="3">
        <v>45873</v>
      </c>
      <c r="G132">
        <v>202605</v>
      </c>
      <c r="H132" t="s">
        <v>75</v>
      </c>
      <c r="I132" t="s">
        <v>76</v>
      </c>
      <c r="J132" t="s">
        <v>77</v>
      </c>
      <c r="K132" t="s">
        <v>78</v>
      </c>
      <c r="L132" t="s">
        <v>75</v>
      </c>
      <c r="M132" t="s">
        <v>76</v>
      </c>
      <c r="N132" t="s">
        <v>537</v>
      </c>
      <c r="O132" t="s">
        <v>82</v>
      </c>
      <c r="P132" t="str">
        <f>"4170052585                    "</f>
        <v xml:space="preserve">4170052585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17.649999999999999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55.61</v>
      </c>
      <c r="BM132">
        <v>8.34</v>
      </c>
      <c r="BN132">
        <v>63.95</v>
      </c>
      <c r="BO132">
        <v>63.95</v>
      </c>
      <c r="BQ132" t="s">
        <v>538</v>
      </c>
      <c r="BR132" t="s">
        <v>84</v>
      </c>
      <c r="BS132" s="3">
        <v>45874</v>
      </c>
      <c r="BT132" s="4">
        <v>0.4</v>
      </c>
      <c r="BU132" t="s">
        <v>539</v>
      </c>
      <c r="BV132" t="s">
        <v>86</v>
      </c>
      <c r="BY132">
        <v>1200</v>
      </c>
      <c r="CA132" t="s">
        <v>540</v>
      </c>
      <c r="CC132" t="s">
        <v>76</v>
      </c>
      <c r="CD132">
        <v>1619</v>
      </c>
      <c r="CE132" t="s">
        <v>109</v>
      </c>
      <c r="CF132" s="3">
        <v>45874</v>
      </c>
      <c r="CI132">
        <v>1</v>
      </c>
      <c r="CJ132">
        <v>1</v>
      </c>
      <c r="CK132">
        <v>22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"080066988871"</f>
        <v>080066988871</v>
      </c>
      <c r="F133" s="3">
        <v>45873</v>
      </c>
      <c r="G133">
        <v>202605</v>
      </c>
      <c r="H133" t="s">
        <v>75</v>
      </c>
      <c r="I133" t="s">
        <v>76</v>
      </c>
      <c r="J133" t="s">
        <v>77</v>
      </c>
      <c r="K133" t="s">
        <v>78</v>
      </c>
      <c r="L133" t="s">
        <v>385</v>
      </c>
      <c r="M133" t="s">
        <v>386</v>
      </c>
      <c r="N133" t="s">
        <v>387</v>
      </c>
      <c r="O133" t="s">
        <v>82</v>
      </c>
      <c r="P133" t="str">
        <f>"4170052503                    "</f>
        <v xml:space="preserve">4170052503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17.649999999999999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55.61</v>
      </c>
      <c r="BM133">
        <v>8.34</v>
      </c>
      <c r="BN133">
        <v>63.95</v>
      </c>
      <c r="BO133">
        <v>63.95</v>
      </c>
      <c r="BQ133" t="s">
        <v>388</v>
      </c>
      <c r="BR133" t="s">
        <v>84</v>
      </c>
      <c r="BS133" s="3">
        <v>45874</v>
      </c>
      <c r="BT133" s="4">
        <v>0.41319444444444442</v>
      </c>
      <c r="BU133" t="s">
        <v>541</v>
      </c>
      <c r="BV133" t="s">
        <v>86</v>
      </c>
      <c r="BY133">
        <v>1200</v>
      </c>
      <c r="CA133" t="s">
        <v>542</v>
      </c>
      <c r="CC133" t="s">
        <v>386</v>
      </c>
      <c r="CD133">
        <v>1559</v>
      </c>
      <c r="CE133" t="s">
        <v>109</v>
      </c>
      <c r="CF133" s="3">
        <v>45875</v>
      </c>
      <c r="CI133">
        <v>1</v>
      </c>
      <c r="CJ133">
        <v>1</v>
      </c>
      <c r="CK133">
        <v>22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"080066988940"</f>
        <v>080066988940</v>
      </c>
      <c r="F134" s="3">
        <v>45873</v>
      </c>
      <c r="G134">
        <v>202605</v>
      </c>
      <c r="H134" t="s">
        <v>75</v>
      </c>
      <c r="I134" t="s">
        <v>76</v>
      </c>
      <c r="J134" t="s">
        <v>77</v>
      </c>
      <c r="K134" t="s">
        <v>78</v>
      </c>
      <c r="L134" t="s">
        <v>179</v>
      </c>
      <c r="M134" t="s">
        <v>180</v>
      </c>
      <c r="N134" t="s">
        <v>181</v>
      </c>
      <c r="O134" t="s">
        <v>82</v>
      </c>
      <c r="P134" t="str">
        <f>"4170052564                    "</f>
        <v xml:space="preserve">4170052564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31.78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100.13</v>
      </c>
      <c r="BM134">
        <v>15.02</v>
      </c>
      <c r="BN134">
        <v>115.15</v>
      </c>
      <c r="BO134">
        <v>115.15</v>
      </c>
      <c r="BQ134" t="s">
        <v>182</v>
      </c>
      <c r="BR134" t="s">
        <v>84</v>
      </c>
      <c r="BS134" s="3">
        <v>45874</v>
      </c>
      <c r="BT134" s="4">
        <v>0.33124999999999999</v>
      </c>
      <c r="BU134" t="s">
        <v>543</v>
      </c>
      <c r="BV134" t="s">
        <v>86</v>
      </c>
      <c r="BY134">
        <v>1200</v>
      </c>
      <c r="CA134" t="s">
        <v>184</v>
      </c>
      <c r="CC134" t="s">
        <v>180</v>
      </c>
      <c r="CD134">
        <v>1748</v>
      </c>
      <c r="CE134" t="s">
        <v>109</v>
      </c>
      <c r="CF134" s="3">
        <v>45875</v>
      </c>
      <c r="CI134">
        <v>1</v>
      </c>
      <c r="CJ134">
        <v>1</v>
      </c>
      <c r="CK134">
        <v>24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"080066988980"</f>
        <v>080066988980</v>
      </c>
      <c r="F135" s="3">
        <v>45873</v>
      </c>
      <c r="G135">
        <v>202605</v>
      </c>
      <c r="H135" t="s">
        <v>75</v>
      </c>
      <c r="I135" t="s">
        <v>76</v>
      </c>
      <c r="J135" t="s">
        <v>77</v>
      </c>
      <c r="K135" t="s">
        <v>78</v>
      </c>
      <c r="L135" t="s">
        <v>217</v>
      </c>
      <c r="M135" t="s">
        <v>218</v>
      </c>
      <c r="N135" t="s">
        <v>544</v>
      </c>
      <c r="O135" t="s">
        <v>82</v>
      </c>
      <c r="P135" t="str">
        <f>"4170052576                    "</f>
        <v xml:space="preserve">4170052576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22.6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71.2</v>
      </c>
      <c r="BM135">
        <v>10.68</v>
      </c>
      <c r="BN135">
        <v>81.88</v>
      </c>
      <c r="BO135">
        <v>81.88</v>
      </c>
      <c r="BQ135" t="s">
        <v>545</v>
      </c>
      <c r="BR135" t="s">
        <v>84</v>
      </c>
      <c r="BS135" s="3">
        <v>45874</v>
      </c>
      <c r="BT135" s="4">
        <v>0.56944444444444442</v>
      </c>
      <c r="BU135" t="s">
        <v>546</v>
      </c>
      <c r="BV135" t="s">
        <v>90</v>
      </c>
      <c r="BW135" t="s">
        <v>134</v>
      </c>
      <c r="BX135" t="s">
        <v>135</v>
      </c>
      <c r="BY135">
        <v>1200</v>
      </c>
      <c r="CA135" t="s">
        <v>547</v>
      </c>
      <c r="CC135" t="s">
        <v>218</v>
      </c>
      <c r="CD135">
        <v>4000</v>
      </c>
      <c r="CE135" t="s">
        <v>290</v>
      </c>
      <c r="CF135" s="3">
        <v>45875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"080066989007"</f>
        <v>080066989007</v>
      </c>
      <c r="F136" s="3">
        <v>45873</v>
      </c>
      <c r="G136">
        <v>202605</v>
      </c>
      <c r="H136" t="s">
        <v>75</v>
      </c>
      <c r="I136" t="s">
        <v>76</v>
      </c>
      <c r="J136" t="s">
        <v>77</v>
      </c>
      <c r="K136" t="s">
        <v>78</v>
      </c>
      <c r="L136" t="s">
        <v>75</v>
      </c>
      <c r="M136" t="s">
        <v>76</v>
      </c>
      <c r="N136" t="s">
        <v>548</v>
      </c>
      <c r="O136" t="s">
        <v>82</v>
      </c>
      <c r="P136" t="str">
        <f>"4170052510                    "</f>
        <v xml:space="preserve">4170052510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17.649999999999999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55.61</v>
      </c>
      <c r="BM136">
        <v>8.34</v>
      </c>
      <c r="BN136">
        <v>63.95</v>
      </c>
      <c r="BO136">
        <v>63.95</v>
      </c>
      <c r="BQ136" t="s">
        <v>549</v>
      </c>
      <c r="BR136" t="s">
        <v>84</v>
      </c>
      <c r="BS136" s="3">
        <v>45874</v>
      </c>
      <c r="BT136" s="4">
        <v>0.38541666666666669</v>
      </c>
      <c r="BU136" t="s">
        <v>550</v>
      </c>
      <c r="BV136" t="s">
        <v>86</v>
      </c>
      <c r="BY136">
        <v>1200</v>
      </c>
      <c r="CC136" t="s">
        <v>76</v>
      </c>
      <c r="CD136">
        <v>1666</v>
      </c>
      <c r="CE136" t="s">
        <v>109</v>
      </c>
      <c r="CF136" s="3">
        <v>45874</v>
      </c>
      <c r="CI136">
        <v>1</v>
      </c>
      <c r="CJ136">
        <v>1</v>
      </c>
      <c r="CK136">
        <v>22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"080066989057"</f>
        <v>080066989057</v>
      </c>
      <c r="F137" s="3">
        <v>45873</v>
      </c>
      <c r="G137">
        <v>202605</v>
      </c>
      <c r="H137" t="s">
        <v>75</v>
      </c>
      <c r="I137" t="s">
        <v>76</v>
      </c>
      <c r="J137" t="s">
        <v>77</v>
      </c>
      <c r="K137" t="s">
        <v>78</v>
      </c>
      <c r="L137" t="s">
        <v>193</v>
      </c>
      <c r="M137" t="s">
        <v>194</v>
      </c>
      <c r="N137" t="s">
        <v>551</v>
      </c>
      <c r="O137" t="s">
        <v>82</v>
      </c>
      <c r="P137" t="str">
        <f>"4170052584                    "</f>
        <v xml:space="preserve">4170052584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43.78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137.94</v>
      </c>
      <c r="BM137">
        <v>20.69</v>
      </c>
      <c r="BN137">
        <v>158.63</v>
      </c>
      <c r="BO137">
        <v>158.63</v>
      </c>
      <c r="BQ137" t="s">
        <v>552</v>
      </c>
      <c r="BR137" t="s">
        <v>84</v>
      </c>
      <c r="BS137" s="3">
        <v>45874</v>
      </c>
      <c r="BT137" s="4">
        <v>0.41597222222222224</v>
      </c>
      <c r="BU137" t="s">
        <v>553</v>
      </c>
      <c r="BV137" t="s">
        <v>86</v>
      </c>
      <c r="BY137">
        <v>1200</v>
      </c>
      <c r="CA137" t="s">
        <v>554</v>
      </c>
      <c r="CC137" t="s">
        <v>194</v>
      </c>
      <c r="CD137">
        <v>1035</v>
      </c>
      <c r="CE137" t="s">
        <v>109</v>
      </c>
      <c r="CF137" s="3">
        <v>45875</v>
      </c>
      <c r="CI137">
        <v>1</v>
      </c>
      <c r="CJ137">
        <v>1</v>
      </c>
      <c r="CK137">
        <v>23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"080066989792"</f>
        <v>080066989792</v>
      </c>
      <c r="F138" s="3">
        <v>45873</v>
      </c>
      <c r="G138">
        <v>202605</v>
      </c>
      <c r="H138" t="s">
        <v>75</v>
      </c>
      <c r="I138" t="s">
        <v>76</v>
      </c>
      <c r="J138" t="s">
        <v>77</v>
      </c>
      <c r="K138" t="s">
        <v>78</v>
      </c>
      <c r="L138" t="s">
        <v>555</v>
      </c>
      <c r="M138" t="s">
        <v>556</v>
      </c>
      <c r="N138" t="s">
        <v>557</v>
      </c>
      <c r="O138" t="s">
        <v>82</v>
      </c>
      <c r="P138" t="str">
        <f>"4170052546                    "</f>
        <v xml:space="preserve">4170052546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43.78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137.94</v>
      </c>
      <c r="BM138">
        <v>20.69</v>
      </c>
      <c r="BN138">
        <v>158.63</v>
      </c>
      <c r="BO138">
        <v>158.63</v>
      </c>
      <c r="BQ138" t="s">
        <v>558</v>
      </c>
      <c r="BR138" t="s">
        <v>84</v>
      </c>
      <c r="BS138" s="3">
        <v>45874</v>
      </c>
      <c r="BT138" s="4">
        <v>0.5131944444444444</v>
      </c>
      <c r="BU138" t="s">
        <v>559</v>
      </c>
      <c r="BV138" t="s">
        <v>86</v>
      </c>
      <c r="BY138">
        <v>1200</v>
      </c>
      <c r="CA138" t="s">
        <v>560</v>
      </c>
      <c r="CC138" t="s">
        <v>556</v>
      </c>
      <c r="CD138">
        <v>6850</v>
      </c>
      <c r="CE138" t="s">
        <v>178</v>
      </c>
      <c r="CF138" s="3">
        <v>45875</v>
      </c>
      <c r="CI138">
        <v>2</v>
      </c>
      <c r="CJ138">
        <v>1</v>
      </c>
      <c r="CK138">
        <v>23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"080066989935"</f>
        <v>080066989935</v>
      </c>
      <c r="F139" s="3">
        <v>45873</v>
      </c>
      <c r="G139">
        <v>202605</v>
      </c>
      <c r="H139" t="s">
        <v>75</v>
      </c>
      <c r="I139" t="s">
        <v>76</v>
      </c>
      <c r="J139" t="s">
        <v>77</v>
      </c>
      <c r="K139" t="s">
        <v>78</v>
      </c>
      <c r="L139" t="s">
        <v>452</v>
      </c>
      <c r="M139" t="s">
        <v>453</v>
      </c>
      <c r="N139" t="s">
        <v>454</v>
      </c>
      <c r="O139" t="s">
        <v>82</v>
      </c>
      <c r="P139" t="str">
        <f>"4170052561                    "</f>
        <v xml:space="preserve">4170052561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43.78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137.94</v>
      </c>
      <c r="BM139">
        <v>20.69</v>
      </c>
      <c r="BN139">
        <v>158.63</v>
      </c>
      <c r="BO139">
        <v>158.63</v>
      </c>
      <c r="BQ139" t="s">
        <v>455</v>
      </c>
      <c r="BR139" t="s">
        <v>84</v>
      </c>
      <c r="BS139" s="3">
        <v>45874</v>
      </c>
      <c r="BT139" s="4">
        <v>0.34097222222222223</v>
      </c>
      <c r="BU139" t="s">
        <v>483</v>
      </c>
      <c r="BV139" t="s">
        <v>86</v>
      </c>
      <c r="BY139">
        <v>1200</v>
      </c>
      <c r="CA139" t="s">
        <v>484</v>
      </c>
      <c r="CC139" t="s">
        <v>453</v>
      </c>
      <c r="CD139">
        <v>1947</v>
      </c>
      <c r="CE139" t="s">
        <v>109</v>
      </c>
      <c r="CF139" s="3">
        <v>45874</v>
      </c>
      <c r="CI139">
        <v>1</v>
      </c>
      <c r="CJ139">
        <v>1</v>
      </c>
      <c r="CK139">
        <v>23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"080066989909"</f>
        <v>080066989909</v>
      </c>
      <c r="F140" s="3">
        <v>45873</v>
      </c>
      <c r="G140">
        <v>202605</v>
      </c>
      <c r="H140" t="s">
        <v>75</v>
      </c>
      <c r="I140" t="s">
        <v>76</v>
      </c>
      <c r="J140" t="s">
        <v>77</v>
      </c>
      <c r="K140" t="s">
        <v>78</v>
      </c>
      <c r="L140" t="s">
        <v>123</v>
      </c>
      <c r="M140" t="s">
        <v>124</v>
      </c>
      <c r="N140" t="s">
        <v>189</v>
      </c>
      <c r="O140" t="s">
        <v>82</v>
      </c>
      <c r="P140" t="str">
        <f>"4170052552                    "</f>
        <v xml:space="preserve">4170052552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22.6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71.2</v>
      </c>
      <c r="BM140">
        <v>10.68</v>
      </c>
      <c r="BN140">
        <v>81.88</v>
      </c>
      <c r="BO140">
        <v>81.88</v>
      </c>
      <c r="BQ140" t="s">
        <v>190</v>
      </c>
      <c r="BR140" t="s">
        <v>84</v>
      </c>
      <c r="BS140" s="3">
        <v>45874</v>
      </c>
      <c r="BT140" s="4">
        <v>0.42222222222222222</v>
      </c>
      <c r="BU140" t="s">
        <v>561</v>
      </c>
      <c r="BV140" t="s">
        <v>86</v>
      </c>
      <c r="BY140">
        <v>1200</v>
      </c>
      <c r="CA140" t="s">
        <v>192</v>
      </c>
      <c r="CC140" t="s">
        <v>124</v>
      </c>
      <c r="CD140">
        <v>8001</v>
      </c>
      <c r="CE140" t="s">
        <v>109</v>
      </c>
      <c r="CF140" s="3">
        <v>45875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"080066989414"</f>
        <v>080066989414</v>
      </c>
      <c r="F141" s="3">
        <v>45873</v>
      </c>
      <c r="G141">
        <v>202605</v>
      </c>
      <c r="H141" t="s">
        <v>75</v>
      </c>
      <c r="I141" t="s">
        <v>76</v>
      </c>
      <c r="J141" t="s">
        <v>77</v>
      </c>
      <c r="K141" t="s">
        <v>78</v>
      </c>
      <c r="L141" t="s">
        <v>520</v>
      </c>
      <c r="M141" t="s">
        <v>521</v>
      </c>
      <c r="N141" t="s">
        <v>562</v>
      </c>
      <c r="O141" t="s">
        <v>82</v>
      </c>
      <c r="P141" t="str">
        <f>"4170052492                    "</f>
        <v xml:space="preserve">4170052492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53.67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2.2999999999999998</v>
      </c>
      <c r="BK141">
        <v>2.5</v>
      </c>
      <c r="BL141">
        <v>169.09</v>
      </c>
      <c r="BM141">
        <v>25.36</v>
      </c>
      <c r="BN141">
        <v>194.45</v>
      </c>
      <c r="BO141">
        <v>194.45</v>
      </c>
      <c r="BQ141" t="s">
        <v>563</v>
      </c>
      <c r="BR141" t="s">
        <v>84</v>
      </c>
      <c r="BS141" s="3">
        <v>45874</v>
      </c>
      <c r="BT141" s="4">
        <v>0.4375</v>
      </c>
      <c r="BU141" t="s">
        <v>564</v>
      </c>
      <c r="BV141" t="s">
        <v>86</v>
      </c>
      <c r="BY141">
        <v>11520</v>
      </c>
      <c r="CA141" t="s">
        <v>525</v>
      </c>
      <c r="CC141" t="s">
        <v>521</v>
      </c>
      <c r="CD141">
        <v>1871</v>
      </c>
      <c r="CE141" t="s">
        <v>117</v>
      </c>
      <c r="CF141" s="3">
        <v>45875</v>
      </c>
      <c r="CI141">
        <v>1</v>
      </c>
      <c r="CJ141">
        <v>1</v>
      </c>
      <c r="CK141">
        <v>23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"080066991658"</f>
        <v>080066991658</v>
      </c>
      <c r="F142" s="3">
        <v>45873</v>
      </c>
      <c r="G142">
        <v>202605</v>
      </c>
      <c r="H142" t="s">
        <v>75</v>
      </c>
      <c r="I142" t="s">
        <v>76</v>
      </c>
      <c r="J142" t="s">
        <v>77</v>
      </c>
      <c r="K142" t="s">
        <v>78</v>
      </c>
      <c r="L142" t="s">
        <v>217</v>
      </c>
      <c r="M142" t="s">
        <v>218</v>
      </c>
      <c r="N142" t="s">
        <v>219</v>
      </c>
      <c r="O142" t="s">
        <v>82</v>
      </c>
      <c r="P142" t="str">
        <f>"4170052593                    "</f>
        <v xml:space="preserve">4170052593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22.6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71.2</v>
      </c>
      <c r="BM142">
        <v>10.68</v>
      </c>
      <c r="BN142">
        <v>81.88</v>
      </c>
      <c r="BO142">
        <v>81.88</v>
      </c>
      <c r="BQ142" t="s">
        <v>220</v>
      </c>
      <c r="BR142" t="s">
        <v>84</v>
      </c>
      <c r="BS142" s="3">
        <v>45875</v>
      </c>
      <c r="BT142" s="4">
        <v>0.33611111111111114</v>
      </c>
      <c r="BU142" t="s">
        <v>565</v>
      </c>
      <c r="BV142" t="s">
        <v>90</v>
      </c>
      <c r="BW142" t="s">
        <v>134</v>
      </c>
      <c r="BX142" t="s">
        <v>135</v>
      </c>
      <c r="BY142">
        <v>1200</v>
      </c>
      <c r="CA142" t="s">
        <v>566</v>
      </c>
      <c r="CC142" t="s">
        <v>218</v>
      </c>
      <c r="CD142">
        <v>4051</v>
      </c>
      <c r="CE142" t="s">
        <v>109</v>
      </c>
      <c r="CF142" s="3">
        <v>45875</v>
      </c>
      <c r="CI142">
        <v>1</v>
      </c>
      <c r="CJ142">
        <v>2</v>
      </c>
      <c r="CK142">
        <v>21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"080066991513"</f>
        <v>080066991513</v>
      </c>
      <c r="F143" s="3">
        <v>45873</v>
      </c>
      <c r="G143">
        <v>202605</v>
      </c>
      <c r="H143" t="s">
        <v>75</v>
      </c>
      <c r="I143" t="s">
        <v>76</v>
      </c>
      <c r="J143" t="s">
        <v>77</v>
      </c>
      <c r="K143" t="s">
        <v>78</v>
      </c>
      <c r="L143" t="s">
        <v>123</v>
      </c>
      <c r="M143" t="s">
        <v>124</v>
      </c>
      <c r="N143" t="s">
        <v>462</v>
      </c>
      <c r="O143" t="s">
        <v>82</v>
      </c>
      <c r="P143" t="str">
        <f>"4170052529                    "</f>
        <v xml:space="preserve">4170052529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22.6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71.2</v>
      </c>
      <c r="BM143">
        <v>10.68</v>
      </c>
      <c r="BN143">
        <v>81.88</v>
      </c>
      <c r="BO143">
        <v>81.88</v>
      </c>
      <c r="BQ143" t="s">
        <v>463</v>
      </c>
      <c r="BR143" t="s">
        <v>84</v>
      </c>
      <c r="BS143" s="3">
        <v>45874</v>
      </c>
      <c r="BT143" s="4">
        <v>0.39374999999999999</v>
      </c>
      <c r="BU143" t="s">
        <v>536</v>
      </c>
      <c r="BV143" t="s">
        <v>86</v>
      </c>
      <c r="BY143">
        <v>1200</v>
      </c>
      <c r="CA143" t="s">
        <v>465</v>
      </c>
      <c r="CC143" t="s">
        <v>124</v>
      </c>
      <c r="CD143">
        <v>7500</v>
      </c>
      <c r="CE143" t="s">
        <v>109</v>
      </c>
      <c r="CF143" s="3">
        <v>45875</v>
      </c>
      <c r="CI143">
        <v>1</v>
      </c>
      <c r="CJ143">
        <v>1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"080066991749"</f>
        <v>080066991749</v>
      </c>
      <c r="F144" s="3">
        <v>45873</v>
      </c>
      <c r="G144">
        <v>202605</v>
      </c>
      <c r="H144" t="s">
        <v>75</v>
      </c>
      <c r="I144" t="s">
        <v>76</v>
      </c>
      <c r="J144" t="s">
        <v>77</v>
      </c>
      <c r="K144" t="s">
        <v>78</v>
      </c>
      <c r="L144" t="s">
        <v>123</v>
      </c>
      <c r="M144" t="s">
        <v>124</v>
      </c>
      <c r="N144" t="s">
        <v>567</v>
      </c>
      <c r="O144" t="s">
        <v>82</v>
      </c>
      <c r="P144" t="str">
        <f>"4170052566                    "</f>
        <v xml:space="preserve">4170052566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79.05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16.739999999999998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5</v>
      </c>
      <c r="BJ144">
        <v>6.8</v>
      </c>
      <c r="BK144">
        <v>7</v>
      </c>
      <c r="BL144">
        <v>265.79000000000002</v>
      </c>
      <c r="BM144">
        <v>39.869999999999997</v>
      </c>
      <c r="BN144">
        <v>305.66000000000003</v>
      </c>
      <c r="BO144">
        <v>305.66000000000003</v>
      </c>
      <c r="BQ144" t="s">
        <v>568</v>
      </c>
      <c r="BR144" t="s">
        <v>84</v>
      </c>
      <c r="BS144" s="3">
        <v>45874</v>
      </c>
      <c r="BT144" s="4">
        <v>0.36805555555555558</v>
      </c>
      <c r="BU144" t="s">
        <v>569</v>
      </c>
      <c r="BV144" t="s">
        <v>86</v>
      </c>
      <c r="BY144">
        <v>34200</v>
      </c>
      <c r="BZ144" t="s">
        <v>30</v>
      </c>
      <c r="CA144" t="s">
        <v>570</v>
      </c>
      <c r="CC144" t="s">
        <v>124</v>
      </c>
      <c r="CD144">
        <v>7781</v>
      </c>
      <c r="CE144" t="s">
        <v>117</v>
      </c>
      <c r="CF144" s="3">
        <v>45875</v>
      </c>
      <c r="CI144">
        <v>1</v>
      </c>
      <c r="CJ144">
        <v>1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"080066991626"</f>
        <v>080066991626</v>
      </c>
      <c r="F145" s="3">
        <v>45873</v>
      </c>
      <c r="G145">
        <v>202605</v>
      </c>
      <c r="H145" t="s">
        <v>75</v>
      </c>
      <c r="I145" t="s">
        <v>76</v>
      </c>
      <c r="J145" t="s">
        <v>77</v>
      </c>
      <c r="K145" t="s">
        <v>78</v>
      </c>
      <c r="L145" t="s">
        <v>137</v>
      </c>
      <c r="M145" t="s">
        <v>138</v>
      </c>
      <c r="N145" t="s">
        <v>261</v>
      </c>
      <c r="O145" t="s">
        <v>82</v>
      </c>
      <c r="P145" t="str">
        <f>"4170052573                    "</f>
        <v xml:space="preserve">4170052573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22.6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71.2</v>
      </c>
      <c r="BM145">
        <v>10.68</v>
      </c>
      <c r="BN145">
        <v>81.88</v>
      </c>
      <c r="BO145">
        <v>81.88</v>
      </c>
      <c r="BQ145" t="s">
        <v>262</v>
      </c>
      <c r="BR145" t="s">
        <v>84</v>
      </c>
      <c r="BS145" s="3">
        <v>45874</v>
      </c>
      <c r="BT145" s="4">
        <v>0.6958333333333333</v>
      </c>
      <c r="BU145" t="s">
        <v>571</v>
      </c>
      <c r="BV145" t="s">
        <v>90</v>
      </c>
      <c r="BW145" t="s">
        <v>134</v>
      </c>
      <c r="BX145" t="s">
        <v>135</v>
      </c>
      <c r="BY145">
        <v>1200</v>
      </c>
      <c r="CC145" t="s">
        <v>138</v>
      </c>
      <c r="CD145">
        <v>3608</v>
      </c>
      <c r="CE145" t="s">
        <v>109</v>
      </c>
      <c r="CF145" s="3">
        <v>45875</v>
      </c>
      <c r="CI145">
        <v>1</v>
      </c>
      <c r="CJ145">
        <v>1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"080066989170"</f>
        <v>080066989170</v>
      </c>
      <c r="F146" s="3">
        <v>45873</v>
      </c>
      <c r="G146">
        <v>202605</v>
      </c>
      <c r="H146" t="s">
        <v>75</v>
      </c>
      <c r="I146" t="s">
        <v>76</v>
      </c>
      <c r="J146" t="s">
        <v>77</v>
      </c>
      <c r="K146" t="s">
        <v>78</v>
      </c>
      <c r="L146" t="s">
        <v>223</v>
      </c>
      <c r="M146" t="s">
        <v>224</v>
      </c>
      <c r="N146" t="s">
        <v>498</v>
      </c>
      <c r="O146" t="s">
        <v>82</v>
      </c>
      <c r="P146" t="str">
        <f>"4170052606                    "</f>
        <v xml:space="preserve">4170052606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22.6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71.2</v>
      </c>
      <c r="BM146">
        <v>10.68</v>
      </c>
      <c r="BN146">
        <v>81.88</v>
      </c>
      <c r="BO146">
        <v>81.88</v>
      </c>
      <c r="BQ146" t="s">
        <v>499</v>
      </c>
      <c r="BR146" t="s">
        <v>84</v>
      </c>
      <c r="BS146" s="3">
        <v>45874</v>
      </c>
      <c r="BT146" s="4">
        <v>0.64097222222222228</v>
      </c>
      <c r="BU146" t="s">
        <v>572</v>
      </c>
      <c r="BV146" t="s">
        <v>86</v>
      </c>
      <c r="BY146">
        <v>1200</v>
      </c>
      <c r="CA146" t="s">
        <v>268</v>
      </c>
      <c r="CC146" t="s">
        <v>224</v>
      </c>
      <c r="CD146">
        <v>5201</v>
      </c>
      <c r="CE146" t="s">
        <v>109</v>
      </c>
      <c r="CF146" s="3">
        <v>45874</v>
      </c>
      <c r="CI146">
        <v>5</v>
      </c>
      <c r="CJ146">
        <v>1</v>
      </c>
      <c r="CK146">
        <v>21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"080066991594"</f>
        <v>080066991594</v>
      </c>
      <c r="F147" s="3">
        <v>45873</v>
      </c>
      <c r="G147">
        <v>202605</v>
      </c>
      <c r="H147" t="s">
        <v>75</v>
      </c>
      <c r="I147" t="s">
        <v>76</v>
      </c>
      <c r="J147" t="s">
        <v>77</v>
      </c>
      <c r="K147" t="s">
        <v>78</v>
      </c>
      <c r="L147" t="s">
        <v>241</v>
      </c>
      <c r="M147" t="s">
        <v>242</v>
      </c>
      <c r="N147" t="s">
        <v>573</v>
      </c>
      <c r="O147" t="s">
        <v>82</v>
      </c>
      <c r="P147" t="str">
        <f>"4170052579                    "</f>
        <v xml:space="preserve">4170052579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17.649999999999999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55.61</v>
      </c>
      <c r="BM147">
        <v>8.34</v>
      </c>
      <c r="BN147">
        <v>63.95</v>
      </c>
      <c r="BO147">
        <v>63.95</v>
      </c>
      <c r="BQ147" t="s">
        <v>574</v>
      </c>
      <c r="BR147" t="s">
        <v>84</v>
      </c>
      <c r="BS147" s="3">
        <v>45874</v>
      </c>
      <c r="BT147" s="4">
        <v>0.38472222222222224</v>
      </c>
      <c r="BU147" t="s">
        <v>575</v>
      </c>
      <c r="BV147" t="s">
        <v>86</v>
      </c>
      <c r="BY147">
        <v>1200</v>
      </c>
      <c r="CA147" t="s">
        <v>576</v>
      </c>
      <c r="CC147" t="s">
        <v>242</v>
      </c>
      <c r="CD147">
        <v>1459</v>
      </c>
      <c r="CE147" t="s">
        <v>109</v>
      </c>
      <c r="CF147" s="3">
        <v>45875</v>
      </c>
      <c r="CI147">
        <v>1</v>
      </c>
      <c r="CJ147">
        <v>1</v>
      </c>
      <c r="CK147">
        <v>22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"080066993783"</f>
        <v>080066993783</v>
      </c>
      <c r="F148" s="3">
        <v>45873</v>
      </c>
      <c r="G148">
        <v>202605</v>
      </c>
      <c r="H148" t="s">
        <v>75</v>
      </c>
      <c r="I148" t="s">
        <v>76</v>
      </c>
      <c r="J148" t="s">
        <v>77</v>
      </c>
      <c r="K148" t="s">
        <v>78</v>
      </c>
      <c r="L148" t="s">
        <v>207</v>
      </c>
      <c r="M148" t="s">
        <v>208</v>
      </c>
      <c r="N148" t="s">
        <v>209</v>
      </c>
      <c r="O148" t="s">
        <v>82</v>
      </c>
      <c r="P148" t="str">
        <f>"4170052565                    "</f>
        <v xml:space="preserve">4170052565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43.78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137.94</v>
      </c>
      <c r="BM148">
        <v>20.69</v>
      </c>
      <c r="BN148">
        <v>158.63</v>
      </c>
      <c r="BO148">
        <v>158.63</v>
      </c>
      <c r="BQ148" t="s">
        <v>313</v>
      </c>
      <c r="BR148" t="s">
        <v>84</v>
      </c>
      <c r="BS148" s="3">
        <v>45874</v>
      </c>
      <c r="BT148" s="4">
        <v>0.53263888888888888</v>
      </c>
      <c r="BU148" t="s">
        <v>211</v>
      </c>
      <c r="BV148" t="s">
        <v>86</v>
      </c>
      <c r="BY148">
        <v>1200</v>
      </c>
      <c r="CA148" t="s">
        <v>212</v>
      </c>
      <c r="CC148" t="s">
        <v>208</v>
      </c>
      <c r="CD148">
        <v>7299</v>
      </c>
      <c r="CE148" t="s">
        <v>109</v>
      </c>
      <c r="CF148" s="3">
        <v>45875</v>
      </c>
      <c r="CI148">
        <v>1</v>
      </c>
      <c r="CJ148">
        <v>1</v>
      </c>
      <c r="CK148">
        <v>23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"080066993142"</f>
        <v>080066993142</v>
      </c>
      <c r="F149" s="3">
        <v>45873</v>
      </c>
      <c r="G149">
        <v>202605</v>
      </c>
      <c r="H149" t="s">
        <v>75</v>
      </c>
      <c r="I149" t="s">
        <v>76</v>
      </c>
      <c r="J149" t="s">
        <v>77</v>
      </c>
      <c r="K149" t="s">
        <v>78</v>
      </c>
      <c r="L149" t="s">
        <v>123</v>
      </c>
      <c r="M149" t="s">
        <v>124</v>
      </c>
      <c r="N149" t="s">
        <v>577</v>
      </c>
      <c r="O149" t="s">
        <v>82</v>
      </c>
      <c r="P149" t="str">
        <f>"4170052562                    "</f>
        <v xml:space="preserve">4170052562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22.6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71.2</v>
      </c>
      <c r="BM149">
        <v>10.68</v>
      </c>
      <c r="BN149">
        <v>81.88</v>
      </c>
      <c r="BO149">
        <v>81.88</v>
      </c>
      <c r="BQ149" t="s">
        <v>578</v>
      </c>
      <c r="BR149" t="s">
        <v>84</v>
      </c>
      <c r="BS149" s="3">
        <v>45874</v>
      </c>
      <c r="BT149" s="4">
        <v>0.42222222222222222</v>
      </c>
      <c r="BU149" t="s">
        <v>561</v>
      </c>
      <c r="BV149" t="s">
        <v>86</v>
      </c>
      <c r="BY149">
        <v>1200</v>
      </c>
      <c r="CA149" t="s">
        <v>192</v>
      </c>
      <c r="CC149" t="s">
        <v>124</v>
      </c>
      <c r="CD149">
        <v>8001</v>
      </c>
      <c r="CE149" t="s">
        <v>109</v>
      </c>
      <c r="CF149" s="3">
        <v>45875</v>
      </c>
      <c r="CI149">
        <v>1</v>
      </c>
      <c r="CJ149">
        <v>1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"R080066953684"</f>
        <v>R080066953684</v>
      </c>
      <c r="F150" s="3">
        <v>45873</v>
      </c>
      <c r="G150">
        <v>202605</v>
      </c>
      <c r="H150" t="s">
        <v>472</v>
      </c>
      <c r="I150" t="s">
        <v>473</v>
      </c>
      <c r="J150" t="s">
        <v>474</v>
      </c>
      <c r="K150" t="s">
        <v>78</v>
      </c>
      <c r="L150" t="s">
        <v>579</v>
      </c>
      <c r="M150" t="s">
        <v>580</v>
      </c>
      <c r="N150" t="s">
        <v>474</v>
      </c>
      <c r="O150" t="s">
        <v>95</v>
      </c>
      <c r="P150" t="str">
        <f>"4170052466                    "</f>
        <v xml:space="preserve">4170052466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61.64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11</v>
      </c>
      <c r="BJ150">
        <v>8.9</v>
      </c>
      <c r="BK150">
        <v>11</v>
      </c>
      <c r="BL150">
        <v>200.06</v>
      </c>
      <c r="BM150">
        <v>30.01</v>
      </c>
      <c r="BN150">
        <v>230.07</v>
      </c>
      <c r="BO150">
        <v>230.07</v>
      </c>
      <c r="BQ150" t="s">
        <v>475</v>
      </c>
      <c r="BR150" t="s">
        <v>475</v>
      </c>
      <c r="BS150" s="3">
        <v>45876</v>
      </c>
      <c r="BT150" s="4">
        <v>0.58680555555555558</v>
      </c>
      <c r="BU150" t="s">
        <v>581</v>
      </c>
      <c r="BV150" t="s">
        <v>90</v>
      </c>
      <c r="BY150">
        <v>44415</v>
      </c>
      <c r="BZ150" t="s">
        <v>35</v>
      </c>
      <c r="CA150" t="s">
        <v>582</v>
      </c>
      <c r="CC150" t="s">
        <v>580</v>
      </c>
      <c r="CD150">
        <v>1150</v>
      </c>
      <c r="CE150" t="s">
        <v>147</v>
      </c>
      <c r="CF150" s="3">
        <v>45876</v>
      </c>
      <c r="CI150">
        <v>2</v>
      </c>
      <c r="CJ150">
        <v>3</v>
      </c>
      <c r="CK150">
        <v>43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"080066989336"</f>
        <v>080066989336</v>
      </c>
      <c r="F151" s="3">
        <v>45873</v>
      </c>
      <c r="G151">
        <v>202605</v>
      </c>
      <c r="H151" t="s">
        <v>75</v>
      </c>
      <c r="I151" t="s">
        <v>76</v>
      </c>
      <c r="J151" t="s">
        <v>77</v>
      </c>
      <c r="K151" t="s">
        <v>78</v>
      </c>
      <c r="L151" t="s">
        <v>118</v>
      </c>
      <c r="M151" t="s">
        <v>118</v>
      </c>
      <c r="N151" t="s">
        <v>119</v>
      </c>
      <c r="O151" t="s">
        <v>82</v>
      </c>
      <c r="P151" t="str">
        <f>"4170052514                    "</f>
        <v xml:space="preserve">4170052514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63.56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</v>
      </c>
      <c r="BJ151">
        <v>1.1000000000000001</v>
      </c>
      <c r="BK151">
        <v>3</v>
      </c>
      <c r="BL151">
        <v>200.24</v>
      </c>
      <c r="BM151">
        <v>30.04</v>
      </c>
      <c r="BN151">
        <v>230.28</v>
      </c>
      <c r="BO151">
        <v>230.28</v>
      </c>
      <c r="BQ151" t="s">
        <v>120</v>
      </c>
      <c r="BR151" t="s">
        <v>84</v>
      </c>
      <c r="BS151" s="3">
        <v>45874</v>
      </c>
      <c r="BT151" s="4">
        <v>0.52500000000000002</v>
      </c>
      <c r="BU151" t="s">
        <v>583</v>
      </c>
      <c r="BV151" t="s">
        <v>86</v>
      </c>
      <c r="BY151">
        <v>5320</v>
      </c>
      <c r="CC151" t="s">
        <v>118</v>
      </c>
      <c r="CD151">
        <v>7646</v>
      </c>
      <c r="CE151" t="s">
        <v>147</v>
      </c>
      <c r="CF151" s="3">
        <v>45875</v>
      </c>
      <c r="CI151">
        <v>1</v>
      </c>
      <c r="CJ151">
        <v>1</v>
      </c>
      <c r="CK151">
        <v>23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"080066994578"</f>
        <v>080066994578</v>
      </c>
      <c r="F152" s="3">
        <v>45873</v>
      </c>
      <c r="G152">
        <v>202605</v>
      </c>
      <c r="H152" t="s">
        <v>75</v>
      </c>
      <c r="I152" t="s">
        <v>76</v>
      </c>
      <c r="J152" t="s">
        <v>77</v>
      </c>
      <c r="K152" t="s">
        <v>78</v>
      </c>
      <c r="L152" t="s">
        <v>129</v>
      </c>
      <c r="M152" t="s">
        <v>130</v>
      </c>
      <c r="N152" t="s">
        <v>131</v>
      </c>
      <c r="O152" t="s">
        <v>82</v>
      </c>
      <c r="P152" t="str">
        <f>"4170052608                    "</f>
        <v xml:space="preserve">4170052608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22.6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71.2</v>
      </c>
      <c r="BM152">
        <v>10.68</v>
      </c>
      <c r="BN152">
        <v>81.88</v>
      </c>
      <c r="BO152">
        <v>81.88</v>
      </c>
      <c r="BQ152" t="s">
        <v>132</v>
      </c>
      <c r="BR152" t="s">
        <v>84</v>
      </c>
      <c r="BS152" s="3">
        <v>45875</v>
      </c>
      <c r="BT152" s="4">
        <v>0.77708333333333335</v>
      </c>
      <c r="BU152" t="s">
        <v>133</v>
      </c>
      <c r="BV152" t="s">
        <v>90</v>
      </c>
      <c r="BW152" t="s">
        <v>134</v>
      </c>
      <c r="BX152" t="s">
        <v>135</v>
      </c>
      <c r="BY152">
        <v>1200</v>
      </c>
      <c r="CA152" t="s">
        <v>136</v>
      </c>
      <c r="CC152" t="s">
        <v>130</v>
      </c>
      <c r="CD152">
        <v>4133</v>
      </c>
      <c r="CE152" t="s">
        <v>109</v>
      </c>
      <c r="CF152" s="3">
        <v>45875</v>
      </c>
      <c r="CI152">
        <v>1</v>
      </c>
      <c r="CJ152">
        <v>2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"R080066953871"</f>
        <v>R080066953871</v>
      </c>
      <c r="F153" s="3">
        <v>45873</v>
      </c>
      <c r="G153">
        <v>202605</v>
      </c>
      <c r="H153" t="s">
        <v>472</v>
      </c>
      <c r="I153" t="s">
        <v>473</v>
      </c>
      <c r="J153" t="s">
        <v>474</v>
      </c>
      <c r="K153" t="s">
        <v>78</v>
      </c>
      <c r="L153" t="s">
        <v>579</v>
      </c>
      <c r="M153" t="s">
        <v>580</v>
      </c>
      <c r="N153" t="s">
        <v>474</v>
      </c>
      <c r="O153" t="s">
        <v>95</v>
      </c>
      <c r="P153" t="str">
        <f>"4170052465                    "</f>
        <v xml:space="preserve">4170052465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61.64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9</v>
      </c>
      <c r="BJ153">
        <v>5.9</v>
      </c>
      <c r="BK153">
        <v>9</v>
      </c>
      <c r="BL153">
        <v>200.06</v>
      </c>
      <c r="BM153">
        <v>30.01</v>
      </c>
      <c r="BN153">
        <v>230.07</v>
      </c>
      <c r="BO153">
        <v>230.07</v>
      </c>
      <c r="BQ153" t="s">
        <v>475</v>
      </c>
      <c r="BR153" t="s">
        <v>475</v>
      </c>
      <c r="BS153" s="3">
        <v>45876</v>
      </c>
      <c r="BT153" s="4">
        <v>0.58750000000000002</v>
      </c>
      <c r="BU153" t="s">
        <v>581</v>
      </c>
      <c r="BV153" t="s">
        <v>90</v>
      </c>
      <c r="BY153">
        <v>29568</v>
      </c>
      <c r="BZ153" t="s">
        <v>35</v>
      </c>
      <c r="CA153" t="s">
        <v>582</v>
      </c>
      <c r="CC153" t="s">
        <v>580</v>
      </c>
      <c r="CD153">
        <v>1150</v>
      </c>
      <c r="CE153" t="s">
        <v>147</v>
      </c>
      <c r="CF153" s="3">
        <v>45876</v>
      </c>
      <c r="CI153">
        <v>2</v>
      </c>
      <c r="CJ153">
        <v>3</v>
      </c>
      <c r="CK153">
        <v>43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"080011584616"</f>
        <v>080011584616</v>
      </c>
      <c r="F154" s="3">
        <v>45873</v>
      </c>
      <c r="G154">
        <v>202605</v>
      </c>
      <c r="H154" t="s">
        <v>75</v>
      </c>
      <c r="I154" t="s">
        <v>76</v>
      </c>
      <c r="J154" t="s">
        <v>584</v>
      </c>
      <c r="K154" t="s">
        <v>78</v>
      </c>
      <c r="L154" t="s">
        <v>75</v>
      </c>
      <c r="M154" t="s">
        <v>76</v>
      </c>
      <c r="N154" t="s">
        <v>94</v>
      </c>
      <c r="O154" t="s">
        <v>95</v>
      </c>
      <c r="P154" t="str">
        <f>"ZA1001401689                  "</f>
        <v xml:space="preserve">ZA1001401689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33.72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0.8</v>
      </c>
      <c r="BJ154">
        <v>1.9</v>
      </c>
      <c r="BK154">
        <v>2</v>
      </c>
      <c r="BL154">
        <v>112.11</v>
      </c>
      <c r="BM154">
        <v>16.82</v>
      </c>
      <c r="BN154">
        <v>128.93</v>
      </c>
      <c r="BO154">
        <v>128.93</v>
      </c>
      <c r="BP154" t="s">
        <v>96</v>
      </c>
      <c r="BQ154" t="s">
        <v>97</v>
      </c>
      <c r="BR154" t="s">
        <v>585</v>
      </c>
      <c r="BS154" s="3">
        <v>45874</v>
      </c>
      <c r="BT154" s="4">
        <v>0.375</v>
      </c>
      <c r="BU154" t="s">
        <v>99</v>
      </c>
      <c r="BV154" t="s">
        <v>86</v>
      </c>
      <c r="BY154">
        <v>9555</v>
      </c>
      <c r="BZ154" t="s">
        <v>100</v>
      </c>
      <c r="CA154" t="s">
        <v>101</v>
      </c>
      <c r="CC154" t="s">
        <v>76</v>
      </c>
      <c r="CD154">
        <v>1619</v>
      </c>
      <c r="CE154" t="s">
        <v>102</v>
      </c>
      <c r="CF154" s="3">
        <v>45874</v>
      </c>
      <c r="CI154">
        <v>1</v>
      </c>
      <c r="CJ154">
        <v>1</v>
      </c>
      <c r="CK154">
        <v>42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"080011584312"</f>
        <v>080011584312</v>
      </c>
      <c r="F155" s="3">
        <v>45873</v>
      </c>
      <c r="G155">
        <v>202605</v>
      </c>
      <c r="H155" t="s">
        <v>123</v>
      </c>
      <c r="I155" t="s">
        <v>124</v>
      </c>
      <c r="J155" t="s">
        <v>586</v>
      </c>
      <c r="K155" t="s">
        <v>78</v>
      </c>
      <c r="L155" t="s">
        <v>75</v>
      </c>
      <c r="M155" t="s">
        <v>76</v>
      </c>
      <c r="N155" t="s">
        <v>94</v>
      </c>
      <c r="O155" t="s">
        <v>95</v>
      </c>
      <c r="P155" t="str">
        <f>"ZA1001398330                  "</f>
        <v xml:space="preserve">ZA1001398330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303.51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17</v>
      </c>
      <c r="BI155">
        <v>91.8</v>
      </c>
      <c r="BJ155">
        <v>158.4</v>
      </c>
      <c r="BK155">
        <v>159</v>
      </c>
      <c r="BL155">
        <v>962.08</v>
      </c>
      <c r="BM155">
        <v>144.31</v>
      </c>
      <c r="BN155">
        <v>1106.3900000000001</v>
      </c>
      <c r="BO155">
        <v>1106.3900000000001</v>
      </c>
      <c r="BP155" t="s">
        <v>96</v>
      </c>
      <c r="BQ155" t="s">
        <v>97</v>
      </c>
      <c r="BR155" t="s">
        <v>587</v>
      </c>
      <c r="BS155" s="3">
        <v>45875</v>
      </c>
      <c r="BT155" s="4">
        <v>0.69513888888888886</v>
      </c>
      <c r="BU155" t="s">
        <v>588</v>
      </c>
      <c r="BV155" t="s">
        <v>86</v>
      </c>
      <c r="BY155">
        <v>792125.84</v>
      </c>
      <c r="BZ155" t="s">
        <v>100</v>
      </c>
      <c r="CA155" t="s">
        <v>589</v>
      </c>
      <c r="CC155" t="s">
        <v>76</v>
      </c>
      <c r="CD155">
        <v>1619</v>
      </c>
      <c r="CE155" t="s">
        <v>102</v>
      </c>
      <c r="CF155" s="3">
        <v>45875</v>
      </c>
      <c r="CI155">
        <v>3</v>
      </c>
      <c r="CJ155">
        <v>2</v>
      </c>
      <c r="CK155">
        <v>41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"080066994555"</f>
        <v>080066994555</v>
      </c>
      <c r="F156" s="3">
        <v>45873</v>
      </c>
      <c r="G156">
        <v>202605</v>
      </c>
      <c r="H156" t="s">
        <v>75</v>
      </c>
      <c r="I156" t="s">
        <v>76</v>
      </c>
      <c r="J156" t="s">
        <v>77</v>
      </c>
      <c r="K156" t="s">
        <v>78</v>
      </c>
      <c r="L156" t="s">
        <v>162</v>
      </c>
      <c r="M156" t="s">
        <v>163</v>
      </c>
      <c r="N156" t="s">
        <v>590</v>
      </c>
      <c r="O156" t="s">
        <v>82</v>
      </c>
      <c r="P156" t="str">
        <f>"4170052594                    "</f>
        <v xml:space="preserve">4170052594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22.6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16.739999999999998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87.94</v>
      </c>
      <c r="BM156">
        <v>13.19</v>
      </c>
      <c r="BN156">
        <v>101.13</v>
      </c>
      <c r="BO156">
        <v>101.13</v>
      </c>
      <c r="BQ156" t="s">
        <v>591</v>
      </c>
      <c r="BR156" t="s">
        <v>84</v>
      </c>
      <c r="BS156" s="3">
        <v>45874</v>
      </c>
      <c r="BT156" s="4">
        <v>0.41666666666666669</v>
      </c>
      <c r="BU156" t="s">
        <v>592</v>
      </c>
      <c r="BV156" t="s">
        <v>86</v>
      </c>
      <c r="BY156">
        <v>1200</v>
      </c>
      <c r="BZ156" t="s">
        <v>30</v>
      </c>
      <c r="CA156" t="s">
        <v>593</v>
      </c>
      <c r="CC156" t="s">
        <v>163</v>
      </c>
      <c r="CD156">
        <v>3699</v>
      </c>
      <c r="CE156" t="s">
        <v>109</v>
      </c>
      <c r="CF156" s="3">
        <v>45874</v>
      </c>
      <c r="CI156">
        <v>1</v>
      </c>
      <c r="CJ156">
        <v>1</v>
      </c>
      <c r="CK156">
        <v>21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"080066989873"</f>
        <v>080066989873</v>
      </c>
      <c r="F157" s="3">
        <v>45873</v>
      </c>
      <c r="G157">
        <v>202605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594</v>
      </c>
      <c r="O157" t="s">
        <v>82</v>
      </c>
      <c r="P157" t="str">
        <f>"4170052505                    "</f>
        <v xml:space="preserve">4170052505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17.649999999999999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55.61</v>
      </c>
      <c r="BM157">
        <v>8.34</v>
      </c>
      <c r="BN157">
        <v>63.95</v>
      </c>
      <c r="BO157">
        <v>63.95</v>
      </c>
      <c r="BQ157" t="s">
        <v>595</v>
      </c>
      <c r="BR157" t="s">
        <v>84</v>
      </c>
      <c r="BS157" s="3">
        <v>45874</v>
      </c>
      <c r="BT157" s="4">
        <v>0.375</v>
      </c>
      <c r="BU157" t="s">
        <v>596</v>
      </c>
      <c r="BV157" t="s">
        <v>86</v>
      </c>
      <c r="BY157">
        <v>1200</v>
      </c>
      <c r="BZ157" t="s">
        <v>330</v>
      </c>
      <c r="CC157" t="s">
        <v>76</v>
      </c>
      <c r="CD157">
        <v>1666</v>
      </c>
      <c r="CE157" t="s">
        <v>597</v>
      </c>
      <c r="CF157" s="3">
        <v>45874</v>
      </c>
      <c r="CI157">
        <v>1</v>
      </c>
      <c r="CJ157">
        <v>1</v>
      </c>
      <c r="CK157">
        <v>22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"080066989843"</f>
        <v>080066989843</v>
      </c>
      <c r="F158" s="3">
        <v>45873</v>
      </c>
      <c r="G158">
        <v>202605</v>
      </c>
      <c r="H158" t="s">
        <v>75</v>
      </c>
      <c r="I158" t="s">
        <v>76</v>
      </c>
      <c r="J158" t="s">
        <v>77</v>
      </c>
      <c r="K158" t="s">
        <v>78</v>
      </c>
      <c r="L158" t="s">
        <v>229</v>
      </c>
      <c r="M158" t="s">
        <v>230</v>
      </c>
      <c r="N158" t="s">
        <v>231</v>
      </c>
      <c r="O158" t="s">
        <v>82</v>
      </c>
      <c r="P158" t="str">
        <f>"4170052560                    "</f>
        <v xml:space="preserve">4170052560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43.78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137.94</v>
      </c>
      <c r="BM158">
        <v>20.69</v>
      </c>
      <c r="BN158">
        <v>158.63</v>
      </c>
      <c r="BO158">
        <v>158.63</v>
      </c>
      <c r="BQ158" t="s">
        <v>232</v>
      </c>
      <c r="BR158" t="s">
        <v>84</v>
      </c>
      <c r="BS158" s="3">
        <v>45874</v>
      </c>
      <c r="BT158" s="4">
        <v>0.30902777777777779</v>
      </c>
      <c r="BU158" t="s">
        <v>233</v>
      </c>
      <c r="BV158" t="s">
        <v>86</v>
      </c>
      <c r="BY158">
        <v>1200</v>
      </c>
      <c r="BZ158" t="s">
        <v>330</v>
      </c>
      <c r="CC158" t="s">
        <v>230</v>
      </c>
      <c r="CD158">
        <v>2740</v>
      </c>
      <c r="CE158" t="s">
        <v>597</v>
      </c>
      <c r="CF158" s="3">
        <v>45875</v>
      </c>
      <c r="CI158">
        <v>1</v>
      </c>
      <c r="CJ158">
        <v>1</v>
      </c>
      <c r="CK158">
        <v>23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"080066994526"</f>
        <v>080066994526</v>
      </c>
      <c r="F159" s="3">
        <v>45873</v>
      </c>
      <c r="G159">
        <v>202605</v>
      </c>
      <c r="H159" t="s">
        <v>75</v>
      </c>
      <c r="I159" t="s">
        <v>76</v>
      </c>
      <c r="J159" t="s">
        <v>77</v>
      </c>
      <c r="K159" t="s">
        <v>78</v>
      </c>
      <c r="L159" t="s">
        <v>198</v>
      </c>
      <c r="M159" t="s">
        <v>199</v>
      </c>
      <c r="N159" t="s">
        <v>598</v>
      </c>
      <c r="O159" t="s">
        <v>82</v>
      </c>
      <c r="P159" t="str">
        <f>"4170052540                    "</f>
        <v xml:space="preserve">4170052540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22.6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71.2</v>
      </c>
      <c r="BM159">
        <v>10.68</v>
      </c>
      <c r="BN159">
        <v>81.88</v>
      </c>
      <c r="BO159">
        <v>81.88</v>
      </c>
      <c r="BQ159" t="s">
        <v>599</v>
      </c>
      <c r="BR159" t="s">
        <v>84</v>
      </c>
      <c r="BS159" s="3">
        <v>45874</v>
      </c>
      <c r="BT159" s="4">
        <v>0.3527777777777778</v>
      </c>
      <c r="BU159" t="s">
        <v>600</v>
      </c>
      <c r="BV159" t="s">
        <v>86</v>
      </c>
      <c r="BY159">
        <v>1200</v>
      </c>
      <c r="CA159" t="s">
        <v>601</v>
      </c>
      <c r="CC159" t="s">
        <v>199</v>
      </c>
      <c r="CD159">
        <v>6001</v>
      </c>
      <c r="CE159" t="s">
        <v>178</v>
      </c>
      <c r="CF159" s="3">
        <v>45874</v>
      </c>
      <c r="CI159">
        <v>1</v>
      </c>
      <c r="CJ159">
        <v>1</v>
      </c>
      <c r="CK159">
        <v>21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"080066989770"</f>
        <v>080066989770</v>
      </c>
      <c r="F160" s="3">
        <v>45873</v>
      </c>
      <c r="G160">
        <v>202605</v>
      </c>
      <c r="H160" t="s">
        <v>75</v>
      </c>
      <c r="I160" t="s">
        <v>76</v>
      </c>
      <c r="J160" t="s">
        <v>77</v>
      </c>
      <c r="K160" t="s">
        <v>78</v>
      </c>
      <c r="L160" t="s">
        <v>75</v>
      </c>
      <c r="M160" t="s">
        <v>76</v>
      </c>
      <c r="N160" t="s">
        <v>602</v>
      </c>
      <c r="O160" t="s">
        <v>82</v>
      </c>
      <c r="P160" t="str">
        <f>"4170052596                    "</f>
        <v xml:space="preserve">4170052596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17.649999999999999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55.61</v>
      </c>
      <c r="BM160">
        <v>8.34</v>
      </c>
      <c r="BN160">
        <v>63.95</v>
      </c>
      <c r="BO160">
        <v>63.95</v>
      </c>
      <c r="BQ160" t="s">
        <v>603</v>
      </c>
      <c r="BR160" t="s">
        <v>84</v>
      </c>
      <c r="BS160" s="3">
        <v>45874</v>
      </c>
      <c r="BT160" s="4">
        <v>0.38194444444444442</v>
      </c>
      <c r="BU160" t="s">
        <v>604</v>
      </c>
      <c r="BV160" t="s">
        <v>86</v>
      </c>
      <c r="BY160">
        <v>1200</v>
      </c>
      <c r="BZ160" t="s">
        <v>330</v>
      </c>
      <c r="CC160" t="s">
        <v>76</v>
      </c>
      <c r="CD160">
        <v>1665</v>
      </c>
      <c r="CE160" t="s">
        <v>109</v>
      </c>
      <c r="CF160" s="3">
        <v>45874</v>
      </c>
      <c r="CI160">
        <v>1</v>
      </c>
      <c r="CJ160">
        <v>1</v>
      </c>
      <c r="CK160">
        <v>22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"080066995833"</f>
        <v>080066995833</v>
      </c>
      <c r="F161" s="3">
        <v>45873</v>
      </c>
      <c r="G161">
        <v>202605</v>
      </c>
      <c r="H161" t="s">
        <v>75</v>
      </c>
      <c r="I161" t="s">
        <v>76</v>
      </c>
      <c r="J161" t="s">
        <v>77</v>
      </c>
      <c r="K161" t="s">
        <v>78</v>
      </c>
      <c r="L161" t="s">
        <v>123</v>
      </c>
      <c r="M161" t="s">
        <v>124</v>
      </c>
      <c r="N161" t="s">
        <v>125</v>
      </c>
      <c r="O161" t="s">
        <v>95</v>
      </c>
      <c r="P161" t="str">
        <f>"4170052623                    "</f>
        <v xml:space="preserve">4170052623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72.569999999999993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11</v>
      </c>
      <c r="BJ161">
        <v>30.9</v>
      </c>
      <c r="BK161">
        <v>31</v>
      </c>
      <c r="BL161">
        <v>234.5</v>
      </c>
      <c r="BM161">
        <v>35.18</v>
      </c>
      <c r="BN161">
        <v>269.68</v>
      </c>
      <c r="BO161">
        <v>269.68</v>
      </c>
      <c r="BQ161" t="s">
        <v>126</v>
      </c>
      <c r="BR161" t="s">
        <v>84</v>
      </c>
      <c r="BS161" s="3">
        <v>45875</v>
      </c>
      <c r="BT161" s="4">
        <v>0.33750000000000002</v>
      </c>
      <c r="BU161" t="s">
        <v>605</v>
      </c>
      <c r="BV161" t="s">
        <v>86</v>
      </c>
      <c r="BY161">
        <v>154560</v>
      </c>
      <c r="CA161" t="s">
        <v>128</v>
      </c>
      <c r="CC161" t="s">
        <v>124</v>
      </c>
      <c r="CD161">
        <v>7530</v>
      </c>
      <c r="CE161" t="s">
        <v>147</v>
      </c>
      <c r="CF161" s="3">
        <v>45876</v>
      </c>
      <c r="CI161">
        <v>3</v>
      </c>
      <c r="CJ161">
        <v>2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"080066993184"</f>
        <v>080066993184</v>
      </c>
      <c r="F162" s="3">
        <v>45873</v>
      </c>
      <c r="G162">
        <v>202605</v>
      </c>
      <c r="H162" t="s">
        <v>75</v>
      </c>
      <c r="I162" t="s">
        <v>76</v>
      </c>
      <c r="J162" t="s">
        <v>77</v>
      </c>
      <c r="K162" t="s">
        <v>78</v>
      </c>
      <c r="L162" t="s">
        <v>123</v>
      </c>
      <c r="M162" t="s">
        <v>124</v>
      </c>
      <c r="N162" t="s">
        <v>534</v>
      </c>
      <c r="O162" t="s">
        <v>82</v>
      </c>
      <c r="P162" t="str">
        <f>"4170052543                    "</f>
        <v xml:space="preserve">4170052543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22.6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71.2</v>
      </c>
      <c r="BM162">
        <v>10.68</v>
      </c>
      <c r="BN162">
        <v>81.88</v>
      </c>
      <c r="BO162">
        <v>81.88</v>
      </c>
      <c r="BQ162" t="s">
        <v>535</v>
      </c>
      <c r="BR162" t="s">
        <v>84</v>
      </c>
      <c r="BS162" s="3">
        <v>45874</v>
      </c>
      <c r="BT162" s="4">
        <v>0.39930555555555558</v>
      </c>
      <c r="BU162" t="s">
        <v>536</v>
      </c>
      <c r="BV162" t="s">
        <v>86</v>
      </c>
      <c r="BY162">
        <v>1200</v>
      </c>
      <c r="CC162" t="s">
        <v>124</v>
      </c>
      <c r="CD162">
        <v>7480</v>
      </c>
      <c r="CE162" t="s">
        <v>109</v>
      </c>
      <c r="CF162" s="3">
        <v>45875</v>
      </c>
      <c r="CI162">
        <v>1</v>
      </c>
      <c r="CJ162">
        <v>1</v>
      </c>
      <c r="CK162">
        <v>21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"080066993110"</f>
        <v>080066993110</v>
      </c>
      <c r="F163" s="3">
        <v>45873</v>
      </c>
      <c r="G163">
        <v>202605</v>
      </c>
      <c r="H163" t="s">
        <v>75</v>
      </c>
      <c r="I163" t="s">
        <v>76</v>
      </c>
      <c r="J163" t="s">
        <v>77</v>
      </c>
      <c r="K163" t="s">
        <v>78</v>
      </c>
      <c r="L163" t="s">
        <v>555</v>
      </c>
      <c r="M163" t="s">
        <v>556</v>
      </c>
      <c r="N163" t="s">
        <v>557</v>
      </c>
      <c r="O163" t="s">
        <v>82</v>
      </c>
      <c r="P163" t="str">
        <f>"4170052558                    "</f>
        <v xml:space="preserve">4170052558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43.78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137.94</v>
      </c>
      <c r="BM163">
        <v>20.69</v>
      </c>
      <c r="BN163">
        <v>158.63</v>
      </c>
      <c r="BO163">
        <v>158.63</v>
      </c>
      <c r="BQ163" t="s">
        <v>558</v>
      </c>
      <c r="BR163" t="s">
        <v>84</v>
      </c>
      <c r="BS163" s="3">
        <v>45874</v>
      </c>
      <c r="BT163" s="4">
        <v>0.51388888888888884</v>
      </c>
      <c r="BU163" t="s">
        <v>559</v>
      </c>
      <c r="BV163" t="s">
        <v>86</v>
      </c>
      <c r="BY163">
        <v>1200</v>
      </c>
      <c r="BZ163" t="s">
        <v>330</v>
      </c>
      <c r="CA163" t="s">
        <v>560</v>
      </c>
      <c r="CC163" t="s">
        <v>556</v>
      </c>
      <c r="CD163">
        <v>6850</v>
      </c>
      <c r="CE163" t="s">
        <v>597</v>
      </c>
      <c r="CF163" s="3">
        <v>45875</v>
      </c>
      <c r="CI163">
        <v>2</v>
      </c>
      <c r="CJ163">
        <v>1</v>
      </c>
      <c r="CK163">
        <v>23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"080066989265"</f>
        <v>080066989265</v>
      </c>
      <c r="F164" s="3">
        <v>45873</v>
      </c>
      <c r="G164">
        <v>202605</v>
      </c>
      <c r="H164" t="s">
        <v>75</v>
      </c>
      <c r="I164" t="s">
        <v>76</v>
      </c>
      <c r="J164" t="s">
        <v>77</v>
      </c>
      <c r="K164" t="s">
        <v>78</v>
      </c>
      <c r="L164" t="s">
        <v>162</v>
      </c>
      <c r="M164" t="s">
        <v>163</v>
      </c>
      <c r="N164" t="s">
        <v>246</v>
      </c>
      <c r="O164" t="s">
        <v>82</v>
      </c>
      <c r="P164" t="str">
        <f>"4170052554                    "</f>
        <v xml:space="preserve">4170052554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79.05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7</v>
      </c>
      <c r="BJ164">
        <v>2.6</v>
      </c>
      <c r="BK164">
        <v>7</v>
      </c>
      <c r="BL164">
        <v>249.05</v>
      </c>
      <c r="BM164">
        <v>37.36</v>
      </c>
      <c r="BN164">
        <v>286.41000000000003</v>
      </c>
      <c r="BO164">
        <v>286.41000000000003</v>
      </c>
      <c r="BQ164" t="s">
        <v>247</v>
      </c>
      <c r="BR164" t="s">
        <v>84</v>
      </c>
      <c r="BS164" s="3">
        <v>45874</v>
      </c>
      <c r="BT164" s="4">
        <v>0.41666666666666669</v>
      </c>
      <c r="BU164" t="s">
        <v>485</v>
      </c>
      <c r="BV164" t="s">
        <v>86</v>
      </c>
      <c r="BY164">
        <v>12880</v>
      </c>
      <c r="CC164" t="s">
        <v>163</v>
      </c>
      <c r="CD164">
        <v>3201</v>
      </c>
      <c r="CE164" t="s">
        <v>147</v>
      </c>
      <c r="CF164" s="3">
        <v>45875</v>
      </c>
      <c r="CI164">
        <v>1</v>
      </c>
      <c r="CJ164">
        <v>1</v>
      </c>
      <c r="CK164">
        <v>21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"080066998882"</f>
        <v>080066998882</v>
      </c>
      <c r="F165" s="3">
        <v>45873</v>
      </c>
      <c r="G165">
        <v>202605</v>
      </c>
      <c r="H165" t="s">
        <v>75</v>
      </c>
      <c r="I165" t="s">
        <v>76</v>
      </c>
      <c r="J165" t="s">
        <v>77</v>
      </c>
      <c r="K165" t="s">
        <v>78</v>
      </c>
      <c r="L165" t="s">
        <v>606</v>
      </c>
      <c r="M165" t="s">
        <v>607</v>
      </c>
      <c r="N165" t="s">
        <v>608</v>
      </c>
      <c r="O165" t="s">
        <v>82</v>
      </c>
      <c r="P165" t="str">
        <f>"4170052681                    "</f>
        <v xml:space="preserve">4170052681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43.78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1.1000000000000001</v>
      </c>
      <c r="BK165">
        <v>1.5</v>
      </c>
      <c r="BL165">
        <v>137.94</v>
      </c>
      <c r="BM165">
        <v>20.69</v>
      </c>
      <c r="BN165">
        <v>158.63</v>
      </c>
      <c r="BO165">
        <v>158.63</v>
      </c>
      <c r="BQ165" t="s">
        <v>609</v>
      </c>
      <c r="BR165" t="s">
        <v>84</v>
      </c>
      <c r="BS165" s="3">
        <v>45874</v>
      </c>
      <c r="BT165" s="4">
        <v>0.65347222222222223</v>
      </c>
      <c r="BU165" t="s">
        <v>610</v>
      </c>
      <c r="BV165" t="s">
        <v>86</v>
      </c>
      <c r="BY165">
        <v>5320</v>
      </c>
      <c r="CA165" t="s">
        <v>611</v>
      </c>
      <c r="CC165" t="s">
        <v>607</v>
      </c>
      <c r="CD165">
        <v>1390</v>
      </c>
      <c r="CE165" t="s">
        <v>147</v>
      </c>
      <c r="CF165" s="3">
        <v>45874</v>
      </c>
      <c r="CI165">
        <v>1</v>
      </c>
      <c r="CJ165">
        <v>1</v>
      </c>
      <c r="CK165">
        <v>23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"080066989090"</f>
        <v>080066989090</v>
      </c>
      <c r="F166" s="3">
        <v>45873</v>
      </c>
      <c r="G166">
        <v>202605</v>
      </c>
      <c r="H166" t="s">
        <v>75</v>
      </c>
      <c r="I166" t="s">
        <v>76</v>
      </c>
      <c r="J166" t="s">
        <v>77</v>
      </c>
      <c r="K166" t="s">
        <v>78</v>
      </c>
      <c r="L166" t="s">
        <v>123</v>
      </c>
      <c r="M166" t="s">
        <v>124</v>
      </c>
      <c r="N166" t="s">
        <v>612</v>
      </c>
      <c r="O166" t="s">
        <v>82</v>
      </c>
      <c r="P166" t="str">
        <f>"4170052559                    "</f>
        <v xml:space="preserve">4170052559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22.6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71.2</v>
      </c>
      <c r="BM166">
        <v>10.68</v>
      </c>
      <c r="BN166">
        <v>81.88</v>
      </c>
      <c r="BO166">
        <v>81.88</v>
      </c>
      <c r="BQ166" t="s">
        <v>613</v>
      </c>
      <c r="BR166" t="s">
        <v>84</v>
      </c>
      <c r="BS166" s="3">
        <v>45874</v>
      </c>
      <c r="BT166" s="4">
        <v>0.3888888888888889</v>
      </c>
      <c r="BU166" t="s">
        <v>614</v>
      </c>
      <c r="BV166" t="s">
        <v>86</v>
      </c>
      <c r="BY166">
        <v>1200</v>
      </c>
      <c r="BZ166" t="s">
        <v>330</v>
      </c>
      <c r="CA166" t="s">
        <v>128</v>
      </c>
      <c r="CC166" t="s">
        <v>124</v>
      </c>
      <c r="CD166">
        <v>7561</v>
      </c>
      <c r="CE166" t="s">
        <v>597</v>
      </c>
      <c r="CF166" s="3">
        <v>45875</v>
      </c>
      <c r="CI166">
        <v>1</v>
      </c>
      <c r="CJ166">
        <v>1</v>
      </c>
      <c r="CK166">
        <v>21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"080066995415"</f>
        <v>080066995415</v>
      </c>
      <c r="F167" s="3">
        <v>45873</v>
      </c>
      <c r="G167">
        <v>202605</v>
      </c>
      <c r="H167" t="s">
        <v>75</v>
      </c>
      <c r="I167" t="s">
        <v>76</v>
      </c>
      <c r="J167" t="s">
        <v>77</v>
      </c>
      <c r="K167" t="s">
        <v>78</v>
      </c>
      <c r="L167" t="s">
        <v>118</v>
      </c>
      <c r="M167" t="s">
        <v>118</v>
      </c>
      <c r="N167" t="s">
        <v>119</v>
      </c>
      <c r="O167" t="s">
        <v>82</v>
      </c>
      <c r="P167" t="str">
        <f>"4170052588                    "</f>
        <v xml:space="preserve">4170052588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43.78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137.94</v>
      </c>
      <c r="BM167">
        <v>20.69</v>
      </c>
      <c r="BN167">
        <v>158.63</v>
      </c>
      <c r="BO167">
        <v>158.63</v>
      </c>
      <c r="BQ167" t="s">
        <v>120</v>
      </c>
      <c r="BR167" t="s">
        <v>84</v>
      </c>
      <c r="BS167" s="3">
        <v>45874</v>
      </c>
      <c r="BT167" s="4">
        <v>0.52500000000000002</v>
      </c>
      <c r="BU167" t="s">
        <v>615</v>
      </c>
      <c r="BV167" t="s">
        <v>86</v>
      </c>
      <c r="BY167">
        <v>1200</v>
      </c>
      <c r="CA167" t="s">
        <v>122</v>
      </c>
      <c r="CC167" t="s">
        <v>118</v>
      </c>
      <c r="CD167">
        <v>7646</v>
      </c>
      <c r="CE167" t="s">
        <v>109</v>
      </c>
      <c r="CF167" s="3">
        <v>45875</v>
      </c>
      <c r="CI167">
        <v>1</v>
      </c>
      <c r="CJ167">
        <v>1</v>
      </c>
      <c r="CK167">
        <v>23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"080066993647"</f>
        <v>080066993647</v>
      </c>
      <c r="F168" s="3">
        <v>45873</v>
      </c>
      <c r="G168">
        <v>202605</v>
      </c>
      <c r="H168" t="s">
        <v>75</v>
      </c>
      <c r="I168" t="s">
        <v>76</v>
      </c>
      <c r="J168" t="s">
        <v>77</v>
      </c>
      <c r="K168" t="s">
        <v>78</v>
      </c>
      <c r="L168" t="s">
        <v>325</v>
      </c>
      <c r="M168" t="s">
        <v>326</v>
      </c>
      <c r="N168" t="s">
        <v>616</v>
      </c>
      <c r="O168" t="s">
        <v>82</v>
      </c>
      <c r="P168" t="str">
        <f>"4170052548                    "</f>
        <v xml:space="preserve">4170052548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17.649999999999999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</v>
      </c>
      <c r="BJ168">
        <v>4.0999999999999996</v>
      </c>
      <c r="BK168">
        <v>5</v>
      </c>
      <c r="BL168">
        <v>55.61</v>
      </c>
      <c r="BM168">
        <v>8.34</v>
      </c>
      <c r="BN168">
        <v>63.95</v>
      </c>
      <c r="BO168">
        <v>63.95</v>
      </c>
      <c r="BQ168" t="s">
        <v>617</v>
      </c>
      <c r="BR168" t="s">
        <v>84</v>
      </c>
      <c r="BS168" s="3">
        <v>45874</v>
      </c>
      <c r="BT168" s="4">
        <v>0.44861111111111113</v>
      </c>
      <c r="BU168" t="s">
        <v>618</v>
      </c>
      <c r="BV168" t="s">
        <v>90</v>
      </c>
      <c r="BY168">
        <v>20358</v>
      </c>
      <c r="BZ168" t="s">
        <v>330</v>
      </c>
      <c r="CA168" t="s">
        <v>619</v>
      </c>
      <c r="CC168" t="s">
        <v>326</v>
      </c>
      <c r="CD168">
        <v>2169</v>
      </c>
      <c r="CE168" t="s">
        <v>89</v>
      </c>
      <c r="CF168" s="3">
        <v>45874</v>
      </c>
      <c r="CI168">
        <v>1</v>
      </c>
      <c r="CJ168">
        <v>1</v>
      </c>
      <c r="CK168">
        <v>22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"080066991561"</f>
        <v>080066991561</v>
      </c>
      <c r="F169" s="3">
        <v>45873</v>
      </c>
      <c r="G169">
        <v>202605</v>
      </c>
      <c r="H169" t="s">
        <v>75</v>
      </c>
      <c r="I169" t="s">
        <v>76</v>
      </c>
      <c r="J169" t="s">
        <v>77</v>
      </c>
      <c r="K169" t="s">
        <v>78</v>
      </c>
      <c r="L169" t="s">
        <v>241</v>
      </c>
      <c r="M169" t="s">
        <v>242</v>
      </c>
      <c r="N169" t="s">
        <v>620</v>
      </c>
      <c r="O169" t="s">
        <v>82</v>
      </c>
      <c r="P169" t="str">
        <f>"4170052504                    "</f>
        <v xml:space="preserve">4170052504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17.649999999999999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55.61</v>
      </c>
      <c r="BM169">
        <v>8.34</v>
      </c>
      <c r="BN169">
        <v>63.95</v>
      </c>
      <c r="BO169">
        <v>63.95</v>
      </c>
      <c r="BQ169" t="s">
        <v>621</v>
      </c>
      <c r="BR169" t="s">
        <v>84</v>
      </c>
      <c r="BS169" s="3">
        <v>45874</v>
      </c>
      <c r="BT169" s="4">
        <v>0.39930555555555558</v>
      </c>
      <c r="BU169" t="s">
        <v>622</v>
      </c>
      <c r="BV169" t="s">
        <v>86</v>
      </c>
      <c r="BY169">
        <v>1200</v>
      </c>
      <c r="CA169" t="s">
        <v>623</v>
      </c>
      <c r="CC169" t="s">
        <v>242</v>
      </c>
      <c r="CD169">
        <v>1459</v>
      </c>
      <c r="CE169" t="s">
        <v>109</v>
      </c>
      <c r="CF169" s="3">
        <v>45875</v>
      </c>
      <c r="CI169">
        <v>1</v>
      </c>
      <c r="CJ169">
        <v>1</v>
      </c>
      <c r="CK169">
        <v>22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"080066993683"</f>
        <v>080066993683</v>
      </c>
      <c r="F170" s="3">
        <v>45873</v>
      </c>
      <c r="G170">
        <v>202605</v>
      </c>
      <c r="H170" t="s">
        <v>75</v>
      </c>
      <c r="I170" t="s">
        <v>76</v>
      </c>
      <c r="J170" t="s">
        <v>77</v>
      </c>
      <c r="K170" t="s">
        <v>78</v>
      </c>
      <c r="L170" t="s">
        <v>217</v>
      </c>
      <c r="M170" t="s">
        <v>218</v>
      </c>
      <c r="N170" t="s">
        <v>624</v>
      </c>
      <c r="O170" t="s">
        <v>82</v>
      </c>
      <c r="P170" t="str">
        <f>"4170052620                    "</f>
        <v xml:space="preserve">4170052620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22.6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</v>
      </c>
      <c r="BJ170">
        <v>0.3</v>
      </c>
      <c r="BK170">
        <v>2</v>
      </c>
      <c r="BL170">
        <v>71.2</v>
      </c>
      <c r="BM170">
        <v>10.68</v>
      </c>
      <c r="BN170">
        <v>81.88</v>
      </c>
      <c r="BO170">
        <v>81.88</v>
      </c>
      <c r="BQ170" t="s">
        <v>625</v>
      </c>
      <c r="BR170" t="s">
        <v>84</v>
      </c>
      <c r="BS170" s="3">
        <v>45874</v>
      </c>
      <c r="BT170" s="4">
        <v>0.67361111111111116</v>
      </c>
      <c r="BU170" t="s">
        <v>626</v>
      </c>
      <c r="BV170" t="s">
        <v>90</v>
      </c>
      <c r="BW170" t="s">
        <v>134</v>
      </c>
      <c r="BX170" t="s">
        <v>440</v>
      </c>
      <c r="BY170">
        <v>1520</v>
      </c>
      <c r="CA170" t="s">
        <v>627</v>
      </c>
      <c r="CC170" t="s">
        <v>218</v>
      </c>
      <c r="CD170">
        <v>4052</v>
      </c>
      <c r="CE170" t="s">
        <v>147</v>
      </c>
      <c r="CF170" s="3">
        <v>45875</v>
      </c>
      <c r="CI170">
        <v>1</v>
      </c>
      <c r="CJ170">
        <v>1</v>
      </c>
      <c r="CK170">
        <v>21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"080066993712"</f>
        <v>080066993712</v>
      </c>
      <c r="F171" s="3">
        <v>45873</v>
      </c>
      <c r="G171">
        <v>202605</v>
      </c>
      <c r="H171" t="s">
        <v>75</v>
      </c>
      <c r="I171" t="s">
        <v>76</v>
      </c>
      <c r="J171" t="s">
        <v>77</v>
      </c>
      <c r="K171" t="s">
        <v>78</v>
      </c>
      <c r="L171" t="s">
        <v>123</v>
      </c>
      <c r="M171" t="s">
        <v>124</v>
      </c>
      <c r="N171" t="s">
        <v>628</v>
      </c>
      <c r="O171" t="s">
        <v>82</v>
      </c>
      <c r="P171" t="str">
        <f>"4170052550                    "</f>
        <v xml:space="preserve">4170052550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22.6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1.9</v>
      </c>
      <c r="BK171">
        <v>2</v>
      </c>
      <c r="BL171">
        <v>71.2</v>
      </c>
      <c r="BM171">
        <v>10.68</v>
      </c>
      <c r="BN171">
        <v>81.88</v>
      </c>
      <c r="BO171">
        <v>81.88</v>
      </c>
      <c r="BQ171" t="s">
        <v>629</v>
      </c>
      <c r="BR171" t="s">
        <v>84</v>
      </c>
      <c r="BS171" s="3">
        <v>45874</v>
      </c>
      <c r="BT171" s="4">
        <v>0.46180555555555558</v>
      </c>
      <c r="BU171" t="s">
        <v>536</v>
      </c>
      <c r="BV171" t="s">
        <v>90</v>
      </c>
      <c r="BW171" t="s">
        <v>380</v>
      </c>
      <c r="BX171" t="s">
        <v>381</v>
      </c>
      <c r="BY171">
        <v>9600</v>
      </c>
      <c r="BZ171" t="s">
        <v>330</v>
      </c>
      <c r="CC171" t="s">
        <v>124</v>
      </c>
      <c r="CD171">
        <v>7475</v>
      </c>
      <c r="CE171" t="s">
        <v>89</v>
      </c>
      <c r="CF171" s="3">
        <v>45875</v>
      </c>
      <c r="CI171">
        <v>1</v>
      </c>
      <c r="CJ171">
        <v>1</v>
      </c>
      <c r="CK171">
        <v>21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"080066996627"</f>
        <v>080066996627</v>
      </c>
      <c r="F172" s="3">
        <v>45873</v>
      </c>
      <c r="G172">
        <v>202605</v>
      </c>
      <c r="H172" t="s">
        <v>75</v>
      </c>
      <c r="I172" t="s">
        <v>76</v>
      </c>
      <c r="J172" t="s">
        <v>77</v>
      </c>
      <c r="K172" t="s">
        <v>78</v>
      </c>
      <c r="L172" t="s">
        <v>319</v>
      </c>
      <c r="M172" t="s">
        <v>320</v>
      </c>
      <c r="N172" t="s">
        <v>321</v>
      </c>
      <c r="O172" t="s">
        <v>82</v>
      </c>
      <c r="P172" t="str">
        <f>"4170052665                    "</f>
        <v xml:space="preserve">4170052665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43.78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137.94</v>
      </c>
      <c r="BM172">
        <v>20.69</v>
      </c>
      <c r="BN172">
        <v>158.63</v>
      </c>
      <c r="BO172">
        <v>158.63</v>
      </c>
      <c r="BQ172" t="s">
        <v>322</v>
      </c>
      <c r="BR172" t="s">
        <v>84</v>
      </c>
      <c r="BS172" s="3">
        <v>45874</v>
      </c>
      <c r="BT172" s="4">
        <v>0.41666666666666669</v>
      </c>
      <c r="BU172" t="s">
        <v>630</v>
      </c>
      <c r="BV172" t="s">
        <v>86</v>
      </c>
      <c r="BY172">
        <v>1200</v>
      </c>
      <c r="CA172" t="s">
        <v>324</v>
      </c>
      <c r="CC172" t="s">
        <v>320</v>
      </c>
      <c r="CD172">
        <v>2531</v>
      </c>
      <c r="CE172" t="s">
        <v>178</v>
      </c>
      <c r="CF172" s="3">
        <v>45875</v>
      </c>
      <c r="CI172">
        <v>1</v>
      </c>
      <c r="CJ172">
        <v>1</v>
      </c>
      <c r="CK172">
        <v>23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"080066996364"</f>
        <v>080066996364</v>
      </c>
      <c r="F173" s="3">
        <v>45873</v>
      </c>
      <c r="G173">
        <v>202605</v>
      </c>
      <c r="H173" t="s">
        <v>75</v>
      </c>
      <c r="I173" t="s">
        <v>76</v>
      </c>
      <c r="J173" t="s">
        <v>77</v>
      </c>
      <c r="K173" t="s">
        <v>78</v>
      </c>
      <c r="L173" t="s">
        <v>349</v>
      </c>
      <c r="M173" t="s">
        <v>350</v>
      </c>
      <c r="N173" t="s">
        <v>476</v>
      </c>
      <c r="O173" t="s">
        <v>82</v>
      </c>
      <c r="P173" t="str">
        <f>"4170052534                    "</f>
        <v xml:space="preserve">4170052534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43.78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16.739999999999998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1.1000000000000001</v>
      </c>
      <c r="BK173">
        <v>1.5</v>
      </c>
      <c r="BL173">
        <v>154.68</v>
      </c>
      <c r="BM173">
        <v>23.2</v>
      </c>
      <c r="BN173">
        <v>177.88</v>
      </c>
      <c r="BO173">
        <v>177.88</v>
      </c>
      <c r="BQ173" t="s">
        <v>477</v>
      </c>
      <c r="BR173" t="s">
        <v>84</v>
      </c>
      <c r="BS173" s="3">
        <v>45874</v>
      </c>
      <c r="BT173" s="4">
        <v>0.53680555555555554</v>
      </c>
      <c r="BU173" t="s">
        <v>631</v>
      </c>
      <c r="BV173" t="s">
        <v>86</v>
      </c>
      <c r="BY173">
        <v>5320</v>
      </c>
      <c r="BZ173" t="s">
        <v>30</v>
      </c>
      <c r="CC173" t="s">
        <v>350</v>
      </c>
      <c r="CD173" s="5" t="s">
        <v>479</v>
      </c>
      <c r="CE173" t="s">
        <v>147</v>
      </c>
      <c r="CF173" s="3">
        <v>45875</v>
      </c>
      <c r="CI173">
        <v>1</v>
      </c>
      <c r="CJ173">
        <v>1</v>
      </c>
      <c r="CK173">
        <v>23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"080066991690"</f>
        <v>080066991690</v>
      </c>
      <c r="F174" s="3">
        <v>45873</v>
      </c>
      <c r="G174">
        <v>202605</v>
      </c>
      <c r="H174" t="s">
        <v>75</v>
      </c>
      <c r="I174" t="s">
        <v>76</v>
      </c>
      <c r="J174" t="s">
        <v>77</v>
      </c>
      <c r="K174" t="s">
        <v>78</v>
      </c>
      <c r="L174" t="s">
        <v>452</v>
      </c>
      <c r="M174" t="s">
        <v>453</v>
      </c>
      <c r="N174" t="s">
        <v>454</v>
      </c>
      <c r="O174" t="s">
        <v>82</v>
      </c>
      <c r="P174" t="str">
        <f>"4170052602                    "</f>
        <v xml:space="preserve">4170052602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43.78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137.94</v>
      </c>
      <c r="BM174">
        <v>20.69</v>
      </c>
      <c r="BN174">
        <v>158.63</v>
      </c>
      <c r="BO174">
        <v>158.63</v>
      </c>
      <c r="BQ174" t="s">
        <v>455</v>
      </c>
      <c r="BR174" t="s">
        <v>84</v>
      </c>
      <c r="BS174" s="3">
        <v>45874</v>
      </c>
      <c r="BT174" s="4">
        <v>0.34097222222222223</v>
      </c>
      <c r="BU174" t="s">
        <v>483</v>
      </c>
      <c r="BV174" t="s">
        <v>86</v>
      </c>
      <c r="BY174">
        <v>1200</v>
      </c>
      <c r="CA174" t="s">
        <v>484</v>
      </c>
      <c r="CC174" t="s">
        <v>453</v>
      </c>
      <c r="CD174">
        <v>1947</v>
      </c>
      <c r="CE174" t="s">
        <v>109</v>
      </c>
      <c r="CF174" s="3">
        <v>45874</v>
      </c>
      <c r="CI174">
        <v>1</v>
      </c>
      <c r="CJ174">
        <v>1</v>
      </c>
      <c r="CK174">
        <v>23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"080066994057"</f>
        <v>080066994057</v>
      </c>
      <c r="F175" s="3">
        <v>45873</v>
      </c>
      <c r="G175">
        <v>202605</v>
      </c>
      <c r="H175" t="s">
        <v>75</v>
      </c>
      <c r="I175" t="s">
        <v>76</v>
      </c>
      <c r="J175" t="s">
        <v>77</v>
      </c>
      <c r="K175" t="s">
        <v>78</v>
      </c>
      <c r="L175" t="s">
        <v>325</v>
      </c>
      <c r="M175" t="s">
        <v>326</v>
      </c>
      <c r="N175" t="s">
        <v>632</v>
      </c>
      <c r="O175" t="s">
        <v>82</v>
      </c>
      <c r="P175" t="str">
        <f>"4170052539                    "</f>
        <v xml:space="preserve">4170052539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17.649999999999999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55.61</v>
      </c>
      <c r="BM175">
        <v>8.34</v>
      </c>
      <c r="BN175">
        <v>63.95</v>
      </c>
      <c r="BO175">
        <v>63.95</v>
      </c>
      <c r="BQ175" t="s">
        <v>633</v>
      </c>
      <c r="BR175" t="s">
        <v>84</v>
      </c>
      <c r="BS175" s="3">
        <v>45874</v>
      </c>
      <c r="BT175" s="4">
        <v>0.37847222222222221</v>
      </c>
      <c r="BU175" t="s">
        <v>634</v>
      </c>
      <c r="BV175" t="s">
        <v>86</v>
      </c>
      <c r="BY175">
        <v>1200</v>
      </c>
      <c r="CA175" t="s">
        <v>272</v>
      </c>
      <c r="CC175" t="s">
        <v>326</v>
      </c>
      <c r="CD175">
        <v>2042</v>
      </c>
      <c r="CE175" t="s">
        <v>109</v>
      </c>
      <c r="CF175" s="3">
        <v>45875</v>
      </c>
      <c r="CI175">
        <v>1</v>
      </c>
      <c r="CJ175">
        <v>1</v>
      </c>
      <c r="CK175">
        <v>22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"080066991792"</f>
        <v>080066991792</v>
      </c>
      <c r="F176" s="3">
        <v>45873</v>
      </c>
      <c r="G176">
        <v>202605</v>
      </c>
      <c r="H176" t="s">
        <v>75</v>
      </c>
      <c r="I176" t="s">
        <v>76</v>
      </c>
      <c r="J176" t="s">
        <v>77</v>
      </c>
      <c r="K176" t="s">
        <v>78</v>
      </c>
      <c r="L176" t="s">
        <v>162</v>
      </c>
      <c r="M176" t="s">
        <v>163</v>
      </c>
      <c r="N176" t="s">
        <v>246</v>
      </c>
      <c r="O176" t="s">
        <v>82</v>
      </c>
      <c r="P176" t="str">
        <f>"4170052544                    "</f>
        <v xml:space="preserve">4170052544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90.34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8</v>
      </c>
      <c r="BJ176">
        <v>3</v>
      </c>
      <c r="BK176">
        <v>8</v>
      </c>
      <c r="BL176">
        <v>284.62</v>
      </c>
      <c r="BM176">
        <v>42.69</v>
      </c>
      <c r="BN176">
        <v>327.31</v>
      </c>
      <c r="BO176">
        <v>327.31</v>
      </c>
      <c r="BQ176" t="s">
        <v>247</v>
      </c>
      <c r="BR176" t="s">
        <v>84</v>
      </c>
      <c r="BS176" s="3">
        <v>45874</v>
      </c>
      <c r="BT176" s="4">
        <v>0.50069444444444444</v>
      </c>
      <c r="BU176" t="s">
        <v>485</v>
      </c>
      <c r="BV176" t="s">
        <v>86</v>
      </c>
      <c r="BY176">
        <v>15120</v>
      </c>
      <c r="BZ176" t="s">
        <v>330</v>
      </c>
      <c r="CC176" t="s">
        <v>163</v>
      </c>
      <c r="CD176">
        <v>3201</v>
      </c>
      <c r="CE176" t="s">
        <v>89</v>
      </c>
      <c r="CF176" s="3">
        <v>45875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"080066995883"</f>
        <v>080066995883</v>
      </c>
      <c r="F177" s="3">
        <v>45873</v>
      </c>
      <c r="G177">
        <v>202605</v>
      </c>
      <c r="H177" t="s">
        <v>75</v>
      </c>
      <c r="I177" t="s">
        <v>76</v>
      </c>
      <c r="J177" t="s">
        <v>77</v>
      </c>
      <c r="K177" t="s">
        <v>78</v>
      </c>
      <c r="L177" t="s">
        <v>385</v>
      </c>
      <c r="M177" t="s">
        <v>386</v>
      </c>
      <c r="N177" t="s">
        <v>635</v>
      </c>
      <c r="O177" t="s">
        <v>82</v>
      </c>
      <c r="P177" t="str">
        <f>"4170052648                    "</f>
        <v xml:space="preserve">4170052648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17.649999999999999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0.9</v>
      </c>
      <c r="BK177">
        <v>1</v>
      </c>
      <c r="BL177">
        <v>55.61</v>
      </c>
      <c r="BM177">
        <v>8.34</v>
      </c>
      <c r="BN177">
        <v>63.95</v>
      </c>
      <c r="BO177">
        <v>63.95</v>
      </c>
      <c r="BQ177" t="s">
        <v>636</v>
      </c>
      <c r="BR177" t="s">
        <v>84</v>
      </c>
      <c r="BS177" s="3">
        <v>45874</v>
      </c>
      <c r="BT177" s="4">
        <v>0.43472222222222223</v>
      </c>
      <c r="BU177" t="s">
        <v>637</v>
      </c>
      <c r="BV177" t="s">
        <v>86</v>
      </c>
      <c r="BY177">
        <v>4400</v>
      </c>
      <c r="CC177" t="s">
        <v>386</v>
      </c>
      <c r="CD177">
        <v>1559</v>
      </c>
      <c r="CE177" t="s">
        <v>117</v>
      </c>
      <c r="CF177" s="3">
        <v>45874</v>
      </c>
      <c r="CI177">
        <v>1</v>
      </c>
      <c r="CJ177">
        <v>1</v>
      </c>
      <c r="CK177">
        <v>22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"080066993852"</f>
        <v>080066993852</v>
      </c>
      <c r="F178" s="3">
        <v>45873</v>
      </c>
      <c r="G178">
        <v>202605</v>
      </c>
      <c r="H178" t="s">
        <v>75</v>
      </c>
      <c r="I178" t="s">
        <v>76</v>
      </c>
      <c r="J178" t="s">
        <v>77</v>
      </c>
      <c r="K178" t="s">
        <v>78</v>
      </c>
      <c r="L178" t="s">
        <v>137</v>
      </c>
      <c r="M178" t="s">
        <v>138</v>
      </c>
      <c r="N178" t="s">
        <v>638</v>
      </c>
      <c r="O178" t="s">
        <v>82</v>
      </c>
      <c r="P178" t="str">
        <f>"4170052586                    "</f>
        <v xml:space="preserve">4170052586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22.6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71.2</v>
      </c>
      <c r="BM178">
        <v>10.68</v>
      </c>
      <c r="BN178">
        <v>81.88</v>
      </c>
      <c r="BO178">
        <v>81.88</v>
      </c>
      <c r="BQ178" t="s">
        <v>639</v>
      </c>
      <c r="BR178" t="s">
        <v>84</v>
      </c>
      <c r="BS178" s="3">
        <v>45874</v>
      </c>
      <c r="BT178" s="4">
        <v>0.61944444444444446</v>
      </c>
      <c r="BU178" t="s">
        <v>640</v>
      </c>
      <c r="BV178" t="s">
        <v>90</v>
      </c>
      <c r="BW178" t="s">
        <v>134</v>
      </c>
      <c r="BX178" t="s">
        <v>641</v>
      </c>
      <c r="BY178">
        <v>1200</v>
      </c>
      <c r="CC178" t="s">
        <v>138</v>
      </c>
      <c r="CD178">
        <v>3620</v>
      </c>
      <c r="CE178" t="s">
        <v>109</v>
      </c>
      <c r="CF178" s="3">
        <v>45874</v>
      </c>
      <c r="CI178">
        <v>1</v>
      </c>
      <c r="CJ178">
        <v>1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"080066998765"</f>
        <v>080066998765</v>
      </c>
      <c r="F179" s="3">
        <v>45873</v>
      </c>
      <c r="G179">
        <v>202605</v>
      </c>
      <c r="H179" t="s">
        <v>75</v>
      </c>
      <c r="I179" t="s">
        <v>76</v>
      </c>
      <c r="J179" t="s">
        <v>77</v>
      </c>
      <c r="K179" t="s">
        <v>78</v>
      </c>
      <c r="L179" t="s">
        <v>123</v>
      </c>
      <c r="M179" t="s">
        <v>124</v>
      </c>
      <c r="N179" t="s">
        <v>125</v>
      </c>
      <c r="O179" t="s">
        <v>82</v>
      </c>
      <c r="P179" t="str">
        <f>"4170052685                    "</f>
        <v xml:space="preserve">4170052685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22.6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71.2</v>
      </c>
      <c r="BM179">
        <v>10.68</v>
      </c>
      <c r="BN179">
        <v>81.88</v>
      </c>
      <c r="BO179">
        <v>81.88</v>
      </c>
      <c r="BQ179" t="s">
        <v>126</v>
      </c>
      <c r="BR179" t="s">
        <v>84</v>
      </c>
      <c r="BS179" s="3">
        <v>45874</v>
      </c>
      <c r="BT179" s="4">
        <v>0.34791666666666665</v>
      </c>
      <c r="BU179" t="s">
        <v>642</v>
      </c>
      <c r="BV179" t="s">
        <v>86</v>
      </c>
      <c r="BY179">
        <v>1200</v>
      </c>
      <c r="CA179" t="s">
        <v>128</v>
      </c>
      <c r="CC179" t="s">
        <v>124</v>
      </c>
      <c r="CD179">
        <v>7530</v>
      </c>
      <c r="CE179" t="s">
        <v>109</v>
      </c>
      <c r="CF179" s="3">
        <v>45875</v>
      </c>
      <c r="CI179">
        <v>1</v>
      </c>
      <c r="CJ179">
        <v>1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"080066993378"</f>
        <v>080066993378</v>
      </c>
      <c r="F180" s="3">
        <v>45873</v>
      </c>
      <c r="G180">
        <v>202605</v>
      </c>
      <c r="H180" t="s">
        <v>75</v>
      </c>
      <c r="I180" t="s">
        <v>76</v>
      </c>
      <c r="J180" t="s">
        <v>77</v>
      </c>
      <c r="K180" t="s">
        <v>78</v>
      </c>
      <c r="L180" t="s">
        <v>278</v>
      </c>
      <c r="M180" t="s">
        <v>279</v>
      </c>
      <c r="N180" t="s">
        <v>280</v>
      </c>
      <c r="O180" t="s">
        <v>82</v>
      </c>
      <c r="P180" t="str">
        <f>"4170052622                    "</f>
        <v xml:space="preserve">4170052622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22.6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71.2</v>
      </c>
      <c r="BM180">
        <v>10.68</v>
      </c>
      <c r="BN180">
        <v>81.88</v>
      </c>
      <c r="BO180">
        <v>81.88</v>
      </c>
      <c r="BQ180" t="s">
        <v>281</v>
      </c>
      <c r="BR180" t="s">
        <v>84</v>
      </c>
      <c r="BS180" s="3">
        <v>45876</v>
      </c>
      <c r="BT180" s="4">
        <v>0.68611111111111112</v>
      </c>
      <c r="BU180" t="s">
        <v>643</v>
      </c>
      <c r="BV180" t="s">
        <v>90</v>
      </c>
      <c r="BW180" t="s">
        <v>380</v>
      </c>
      <c r="BX180" t="s">
        <v>644</v>
      </c>
      <c r="BY180">
        <v>1200</v>
      </c>
      <c r="BZ180" t="s">
        <v>330</v>
      </c>
      <c r="CA180" t="s">
        <v>283</v>
      </c>
      <c r="CC180" t="s">
        <v>279</v>
      </c>
      <c r="CD180" s="5" t="s">
        <v>284</v>
      </c>
      <c r="CE180" t="s">
        <v>597</v>
      </c>
      <c r="CF180" s="3">
        <v>45876</v>
      </c>
      <c r="CI180">
        <v>1</v>
      </c>
      <c r="CJ180">
        <v>3</v>
      </c>
      <c r="CK180">
        <v>21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"080066996035"</f>
        <v>080066996035</v>
      </c>
      <c r="F181" s="3">
        <v>45873</v>
      </c>
      <c r="G181">
        <v>202605</v>
      </c>
      <c r="H181" t="s">
        <v>75</v>
      </c>
      <c r="I181" t="s">
        <v>76</v>
      </c>
      <c r="J181" t="s">
        <v>77</v>
      </c>
      <c r="K181" t="s">
        <v>78</v>
      </c>
      <c r="L181" t="s">
        <v>123</v>
      </c>
      <c r="M181" t="s">
        <v>124</v>
      </c>
      <c r="N181" t="s">
        <v>406</v>
      </c>
      <c r="O181" t="s">
        <v>82</v>
      </c>
      <c r="P181" t="str">
        <f>"4170052614                    "</f>
        <v xml:space="preserve">4170052614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22.6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</v>
      </c>
      <c r="BJ181">
        <v>1.7</v>
      </c>
      <c r="BK181">
        <v>2</v>
      </c>
      <c r="BL181">
        <v>71.2</v>
      </c>
      <c r="BM181">
        <v>10.68</v>
      </c>
      <c r="BN181">
        <v>81.88</v>
      </c>
      <c r="BO181">
        <v>81.88</v>
      </c>
      <c r="BQ181" t="s">
        <v>407</v>
      </c>
      <c r="BR181" t="s">
        <v>84</v>
      </c>
      <c r="BS181" s="3">
        <v>45874</v>
      </c>
      <c r="BT181" s="4">
        <v>0.38611111111111113</v>
      </c>
      <c r="BU181" t="s">
        <v>408</v>
      </c>
      <c r="BV181" t="s">
        <v>86</v>
      </c>
      <c r="BY181">
        <v>8624</v>
      </c>
      <c r="CA181" t="s">
        <v>192</v>
      </c>
      <c r="CC181" t="s">
        <v>124</v>
      </c>
      <c r="CD181">
        <v>7441</v>
      </c>
      <c r="CE181" t="s">
        <v>117</v>
      </c>
      <c r="CF181" s="3">
        <v>45875</v>
      </c>
      <c r="CI181">
        <v>1</v>
      </c>
      <c r="CJ181">
        <v>1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"080066994676"</f>
        <v>080066994676</v>
      </c>
      <c r="F182" s="3">
        <v>45873</v>
      </c>
      <c r="G182">
        <v>202605</v>
      </c>
      <c r="H182" t="s">
        <v>75</v>
      </c>
      <c r="I182" t="s">
        <v>76</v>
      </c>
      <c r="J182" t="s">
        <v>77</v>
      </c>
      <c r="K182" t="s">
        <v>78</v>
      </c>
      <c r="L182" t="s">
        <v>198</v>
      </c>
      <c r="M182" t="s">
        <v>199</v>
      </c>
      <c r="N182" t="s">
        <v>200</v>
      </c>
      <c r="O182" t="s">
        <v>82</v>
      </c>
      <c r="P182" t="str">
        <f>"4170052508                    "</f>
        <v xml:space="preserve">4170052508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22.6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71.2</v>
      </c>
      <c r="BM182">
        <v>10.68</v>
      </c>
      <c r="BN182">
        <v>81.88</v>
      </c>
      <c r="BO182">
        <v>81.88</v>
      </c>
      <c r="BQ182" t="s">
        <v>201</v>
      </c>
      <c r="BR182" t="s">
        <v>84</v>
      </c>
      <c r="BS182" s="3">
        <v>45874</v>
      </c>
      <c r="BT182" s="4">
        <v>0.39444444444444443</v>
      </c>
      <c r="BU182" t="s">
        <v>645</v>
      </c>
      <c r="BV182" t="s">
        <v>86</v>
      </c>
      <c r="BY182">
        <v>1200</v>
      </c>
      <c r="CA182" t="s">
        <v>345</v>
      </c>
      <c r="CC182" t="s">
        <v>199</v>
      </c>
      <c r="CD182">
        <v>6001</v>
      </c>
      <c r="CE182" t="s">
        <v>109</v>
      </c>
      <c r="CF182" s="3">
        <v>45874</v>
      </c>
      <c r="CI182">
        <v>1</v>
      </c>
      <c r="CJ182">
        <v>1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"080066992793"</f>
        <v>080066992793</v>
      </c>
      <c r="F183" s="3">
        <v>45873</v>
      </c>
      <c r="G183">
        <v>202605</v>
      </c>
      <c r="H183" t="s">
        <v>75</v>
      </c>
      <c r="I183" t="s">
        <v>76</v>
      </c>
      <c r="J183" t="s">
        <v>77</v>
      </c>
      <c r="K183" t="s">
        <v>78</v>
      </c>
      <c r="L183" t="s">
        <v>198</v>
      </c>
      <c r="M183" t="s">
        <v>199</v>
      </c>
      <c r="N183" t="s">
        <v>200</v>
      </c>
      <c r="O183" t="s">
        <v>82</v>
      </c>
      <c r="P183" t="str">
        <f>"4170052512                    "</f>
        <v xml:space="preserve">4170052512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22.6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71.2</v>
      </c>
      <c r="BM183">
        <v>10.68</v>
      </c>
      <c r="BN183">
        <v>81.88</v>
      </c>
      <c r="BO183">
        <v>81.88</v>
      </c>
      <c r="BQ183" t="s">
        <v>201</v>
      </c>
      <c r="BR183" t="s">
        <v>84</v>
      </c>
      <c r="BS183" s="3">
        <v>45874</v>
      </c>
      <c r="BT183" s="4">
        <v>0.39444444444444443</v>
      </c>
      <c r="BU183" t="s">
        <v>646</v>
      </c>
      <c r="BV183" t="s">
        <v>86</v>
      </c>
      <c r="BY183">
        <v>1200</v>
      </c>
      <c r="CC183" t="s">
        <v>199</v>
      </c>
      <c r="CD183">
        <v>6001</v>
      </c>
      <c r="CE183" t="s">
        <v>109</v>
      </c>
      <c r="CF183" s="3">
        <v>45874</v>
      </c>
      <c r="CI183">
        <v>1</v>
      </c>
      <c r="CJ183">
        <v>1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"080066993957"</f>
        <v>080066993957</v>
      </c>
      <c r="F184" s="3">
        <v>45873</v>
      </c>
      <c r="G184">
        <v>202605</v>
      </c>
      <c r="H184" t="s">
        <v>75</v>
      </c>
      <c r="I184" t="s">
        <v>76</v>
      </c>
      <c r="J184" t="s">
        <v>77</v>
      </c>
      <c r="K184" t="s">
        <v>78</v>
      </c>
      <c r="L184" t="s">
        <v>229</v>
      </c>
      <c r="M184" t="s">
        <v>230</v>
      </c>
      <c r="N184" t="s">
        <v>231</v>
      </c>
      <c r="O184" t="s">
        <v>82</v>
      </c>
      <c r="P184" t="str">
        <f>"4170052626                    "</f>
        <v xml:space="preserve">4170052626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43.78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137.94</v>
      </c>
      <c r="BM184">
        <v>20.69</v>
      </c>
      <c r="BN184">
        <v>158.63</v>
      </c>
      <c r="BO184">
        <v>158.63</v>
      </c>
      <c r="BQ184" t="s">
        <v>232</v>
      </c>
      <c r="BR184" t="s">
        <v>84</v>
      </c>
      <c r="BS184" s="3">
        <v>45874</v>
      </c>
      <c r="BT184" s="4">
        <v>0.30902777777777779</v>
      </c>
      <c r="BU184" t="s">
        <v>233</v>
      </c>
      <c r="BV184" t="s">
        <v>86</v>
      </c>
      <c r="BY184">
        <v>1200</v>
      </c>
      <c r="BZ184" t="s">
        <v>330</v>
      </c>
      <c r="CC184" t="s">
        <v>230</v>
      </c>
      <c r="CD184">
        <v>2740</v>
      </c>
      <c r="CE184" t="s">
        <v>597</v>
      </c>
      <c r="CF184" s="3">
        <v>45875</v>
      </c>
      <c r="CI184">
        <v>1</v>
      </c>
      <c r="CJ184">
        <v>1</v>
      </c>
      <c r="CK184">
        <v>23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"080066995627"</f>
        <v>080066995627</v>
      </c>
      <c r="F185" s="3">
        <v>45873</v>
      </c>
      <c r="G185">
        <v>202605</v>
      </c>
      <c r="H185" t="s">
        <v>75</v>
      </c>
      <c r="I185" t="s">
        <v>76</v>
      </c>
      <c r="J185" t="s">
        <v>77</v>
      </c>
      <c r="K185" t="s">
        <v>78</v>
      </c>
      <c r="L185" t="s">
        <v>123</v>
      </c>
      <c r="M185" t="s">
        <v>124</v>
      </c>
      <c r="N185" t="s">
        <v>125</v>
      </c>
      <c r="O185" t="s">
        <v>82</v>
      </c>
      <c r="P185" t="str">
        <f>"4170052625                    "</f>
        <v xml:space="preserve">4170052625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56.47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5</v>
      </c>
      <c r="BJ185">
        <v>1.4</v>
      </c>
      <c r="BK185">
        <v>5</v>
      </c>
      <c r="BL185">
        <v>177.91</v>
      </c>
      <c r="BM185">
        <v>26.69</v>
      </c>
      <c r="BN185">
        <v>204.6</v>
      </c>
      <c r="BO185">
        <v>204.6</v>
      </c>
      <c r="BQ185" t="s">
        <v>126</v>
      </c>
      <c r="BR185" t="s">
        <v>84</v>
      </c>
      <c r="BS185" s="3">
        <v>45874</v>
      </c>
      <c r="BT185" s="4">
        <v>0.34791666666666665</v>
      </c>
      <c r="BU185" t="s">
        <v>642</v>
      </c>
      <c r="BV185" t="s">
        <v>86</v>
      </c>
      <c r="BY185">
        <v>7000</v>
      </c>
      <c r="CA185" t="s">
        <v>128</v>
      </c>
      <c r="CC185" t="s">
        <v>124</v>
      </c>
      <c r="CD185">
        <v>7530</v>
      </c>
      <c r="CE185" t="s">
        <v>147</v>
      </c>
      <c r="CF185" s="3">
        <v>45875</v>
      </c>
      <c r="CI185">
        <v>1</v>
      </c>
      <c r="CJ185">
        <v>1</v>
      </c>
      <c r="CK185">
        <v>21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"080066993346"</f>
        <v>080066993346</v>
      </c>
      <c r="F186" s="3">
        <v>45873</v>
      </c>
      <c r="G186">
        <v>202605</v>
      </c>
      <c r="H186" t="s">
        <v>75</v>
      </c>
      <c r="I186" t="s">
        <v>76</v>
      </c>
      <c r="J186" t="s">
        <v>77</v>
      </c>
      <c r="K186" t="s">
        <v>78</v>
      </c>
      <c r="L186" t="s">
        <v>162</v>
      </c>
      <c r="M186" t="s">
        <v>163</v>
      </c>
      <c r="N186" t="s">
        <v>246</v>
      </c>
      <c r="O186" t="s">
        <v>82</v>
      </c>
      <c r="P186" t="str">
        <f>"4170052547                    "</f>
        <v xml:space="preserve">4170052547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22.6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71.2</v>
      </c>
      <c r="BM186">
        <v>10.68</v>
      </c>
      <c r="BN186">
        <v>81.88</v>
      </c>
      <c r="BO186">
        <v>81.88</v>
      </c>
      <c r="BQ186" t="s">
        <v>247</v>
      </c>
      <c r="BR186" t="s">
        <v>84</v>
      </c>
      <c r="BS186" s="3">
        <v>45874</v>
      </c>
      <c r="BT186" s="4">
        <v>0.41666666666666669</v>
      </c>
      <c r="BU186" t="s">
        <v>493</v>
      </c>
      <c r="BV186" t="s">
        <v>86</v>
      </c>
      <c r="BY186">
        <v>1200</v>
      </c>
      <c r="BZ186" t="s">
        <v>330</v>
      </c>
      <c r="CC186" t="s">
        <v>163</v>
      </c>
      <c r="CD186">
        <v>3201</v>
      </c>
      <c r="CE186" t="s">
        <v>597</v>
      </c>
      <c r="CF186" s="3">
        <v>45875</v>
      </c>
      <c r="CI186">
        <v>1</v>
      </c>
      <c r="CJ186">
        <v>1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"080066998737"</f>
        <v>080066998737</v>
      </c>
      <c r="F187" s="3">
        <v>45873</v>
      </c>
      <c r="G187">
        <v>202605</v>
      </c>
      <c r="H187" t="s">
        <v>75</v>
      </c>
      <c r="I187" t="s">
        <v>76</v>
      </c>
      <c r="J187" t="s">
        <v>77</v>
      </c>
      <c r="K187" t="s">
        <v>78</v>
      </c>
      <c r="L187" t="s">
        <v>278</v>
      </c>
      <c r="M187" t="s">
        <v>279</v>
      </c>
      <c r="N187" t="s">
        <v>285</v>
      </c>
      <c r="O187" t="s">
        <v>82</v>
      </c>
      <c r="P187" t="str">
        <f>"4170052679                    "</f>
        <v xml:space="preserve">4170052679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33.89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3</v>
      </c>
      <c r="BJ187">
        <v>1.7</v>
      </c>
      <c r="BK187">
        <v>3</v>
      </c>
      <c r="BL187">
        <v>106.77</v>
      </c>
      <c r="BM187">
        <v>16.02</v>
      </c>
      <c r="BN187">
        <v>122.79</v>
      </c>
      <c r="BO187">
        <v>122.79</v>
      </c>
      <c r="BQ187" t="s">
        <v>286</v>
      </c>
      <c r="BR187" t="s">
        <v>84</v>
      </c>
      <c r="BS187" s="3">
        <v>45874</v>
      </c>
      <c r="BT187" s="4">
        <v>0.41111111111111109</v>
      </c>
      <c r="BU187" t="s">
        <v>647</v>
      </c>
      <c r="BV187" t="s">
        <v>86</v>
      </c>
      <c r="BY187">
        <v>8512</v>
      </c>
      <c r="CA187" t="s">
        <v>288</v>
      </c>
      <c r="CC187" t="s">
        <v>279</v>
      </c>
      <c r="CD187" s="5" t="s">
        <v>289</v>
      </c>
      <c r="CE187" t="s">
        <v>147</v>
      </c>
      <c r="CF187" s="3">
        <v>45874</v>
      </c>
      <c r="CI187">
        <v>1</v>
      </c>
      <c r="CJ187">
        <v>1</v>
      </c>
      <c r="CK187">
        <v>21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"080066997060"</f>
        <v>080066997060</v>
      </c>
      <c r="F188" s="3">
        <v>45873</v>
      </c>
      <c r="G188">
        <v>202605</v>
      </c>
      <c r="H188" t="s">
        <v>75</v>
      </c>
      <c r="I188" t="s">
        <v>76</v>
      </c>
      <c r="J188" t="s">
        <v>77</v>
      </c>
      <c r="K188" t="s">
        <v>78</v>
      </c>
      <c r="L188" t="s">
        <v>278</v>
      </c>
      <c r="M188" t="s">
        <v>279</v>
      </c>
      <c r="N188" t="s">
        <v>648</v>
      </c>
      <c r="O188" t="s">
        <v>95</v>
      </c>
      <c r="P188" t="str">
        <f>"4170052652                    "</f>
        <v xml:space="preserve">4170052652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43.7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12</v>
      </c>
      <c r="BJ188">
        <v>4.0999999999999996</v>
      </c>
      <c r="BK188">
        <v>12</v>
      </c>
      <c r="BL188">
        <v>143.55000000000001</v>
      </c>
      <c r="BM188">
        <v>21.53</v>
      </c>
      <c r="BN188">
        <v>165.08</v>
      </c>
      <c r="BO188">
        <v>165.08</v>
      </c>
      <c r="BQ188" t="s">
        <v>649</v>
      </c>
      <c r="BR188" t="s">
        <v>84</v>
      </c>
      <c r="BS188" s="3">
        <v>45874</v>
      </c>
      <c r="BT188" s="4">
        <v>0.45416666666666666</v>
      </c>
      <c r="BU188" t="s">
        <v>650</v>
      </c>
      <c r="BV188" t="s">
        <v>86</v>
      </c>
      <c r="BY188">
        <v>20358</v>
      </c>
      <c r="CA188" t="s">
        <v>651</v>
      </c>
      <c r="CC188" t="s">
        <v>279</v>
      </c>
      <c r="CD188" s="5" t="s">
        <v>652</v>
      </c>
      <c r="CE188" t="s">
        <v>178</v>
      </c>
      <c r="CF188" s="3">
        <v>45874</v>
      </c>
      <c r="CI188">
        <v>1</v>
      </c>
      <c r="CJ188">
        <v>1</v>
      </c>
      <c r="CK188">
        <v>41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"080066995481"</f>
        <v>080066995481</v>
      </c>
      <c r="F189" s="3">
        <v>45873</v>
      </c>
      <c r="G189">
        <v>202605</v>
      </c>
      <c r="H189" t="s">
        <v>75</v>
      </c>
      <c r="I189" t="s">
        <v>76</v>
      </c>
      <c r="J189" t="s">
        <v>77</v>
      </c>
      <c r="K189" t="s">
        <v>78</v>
      </c>
      <c r="L189" t="s">
        <v>234</v>
      </c>
      <c r="M189" t="s">
        <v>235</v>
      </c>
      <c r="N189" t="s">
        <v>236</v>
      </c>
      <c r="O189" t="s">
        <v>82</v>
      </c>
      <c r="P189" t="str">
        <f>"4170052636                    "</f>
        <v xml:space="preserve">4170052636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22.6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71.2</v>
      </c>
      <c r="BM189">
        <v>10.68</v>
      </c>
      <c r="BN189">
        <v>81.88</v>
      </c>
      <c r="BO189">
        <v>81.88</v>
      </c>
      <c r="BQ189" t="s">
        <v>237</v>
      </c>
      <c r="BR189" t="s">
        <v>84</v>
      </c>
      <c r="BS189" s="3">
        <v>45873</v>
      </c>
      <c r="BT189" s="4">
        <v>0.41666666666666669</v>
      </c>
      <c r="BU189" t="s">
        <v>653</v>
      </c>
      <c r="BV189" t="s">
        <v>86</v>
      </c>
      <c r="BY189">
        <v>1200</v>
      </c>
      <c r="CC189" t="s">
        <v>235</v>
      </c>
      <c r="CD189" s="5" t="s">
        <v>240</v>
      </c>
      <c r="CE189" t="s">
        <v>109</v>
      </c>
      <c r="CF189" s="3">
        <v>45875</v>
      </c>
      <c r="CI189">
        <v>1</v>
      </c>
      <c r="CJ189">
        <v>0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"080066995442"</f>
        <v>080066995442</v>
      </c>
      <c r="F190" s="3">
        <v>45873</v>
      </c>
      <c r="G190">
        <v>202605</v>
      </c>
      <c r="H190" t="s">
        <v>75</v>
      </c>
      <c r="I190" t="s">
        <v>76</v>
      </c>
      <c r="J190" t="s">
        <v>77</v>
      </c>
      <c r="K190" t="s">
        <v>78</v>
      </c>
      <c r="L190" t="s">
        <v>129</v>
      </c>
      <c r="M190" t="s">
        <v>130</v>
      </c>
      <c r="N190" t="s">
        <v>131</v>
      </c>
      <c r="O190" t="s">
        <v>82</v>
      </c>
      <c r="P190" t="str">
        <f>"4170052592                    "</f>
        <v xml:space="preserve">4170052592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22.6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71.2</v>
      </c>
      <c r="BM190">
        <v>10.68</v>
      </c>
      <c r="BN190">
        <v>81.88</v>
      </c>
      <c r="BO190">
        <v>81.88</v>
      </c>
      <c r="BQ190" t="s">
        <v>132</v>
      </c>
      <c r="BR190" t="s">
        <v>84</v>
      </c>
      <c r="BS190" s="3">
        <v>45875</v>
      </c>
      <c r="BT190" s="4">
        <v>0.77777777777777779</v>
      </c>
      <c r="BU190" t="s">
        <v>133</v>
      </c>
      <c r="BV190" t="s">
        <v>90</v>
      </c>
      <c r="BW190" t="s">
        <v>134</v>
      </c>
      <c r="BX190" t="s">
        <v>135</v>
      </c>
      <c r="BY190">
        <v>1200</v>
      </c>
      <c r="CA190" t="s">
        <v>136</v>
      </c>
      <c r="CC190" t="s">
        <v>130</v>
      </c>
      <c r="CD190">
        <v>4133</v>
      </c>
      <c r="CE190" t="s">
        <v>109</v>
      </c>
      <c r="CF190" s="3">
        <v>45875</v>
      </c>
      <c r="CI190">
        <v>1</v>
      </c>
      <c r="CJ190">
        <v>2</v>
      </c>
      <c r="CK190">
        <v>21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"080066994712"</f>
        <v>080066994712</v>
      </c>
      <c r="F191" s="3">
        <v>45873</v>
      </c>
      <c r="G191">
        <v>202605</v>
      </c>
      <c r="H191" t="s">
        <v>75</v>
      </c>
      <c r="I191" t="s">
        <v>76</v>
      </c>
      <c r="J191" t="s">
        <v>77</v>
      </c>
      <c r="K191" t="s">
        <v>78</v>
      </c>
      <c r="L191" t="s">
        <v>123</v>
      </c>
      <c r="M191" t="s">
        <v>124</v>
      </c>
      <c r="N191" t="s">
        <v>406</v>
      </c>
      <c r="O191" t="s">
        <v>82</v>
      </c>
      <c r="P191" t="str">
        <f>"4170052571                    "</f>
        <v xml:space="preserve">4170052571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22.6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71.2</v>
      </c>
      <c r="BM191">
        <v>10.68</v>
      </c>
      <c r="BN191">
        <v>81.88</v>
      </c>
      <c r="BO191">
        <v>81.88</v>
      </c>
      <c r="BQ191" t="s">
        <v>407</v>
      </c>
      <c r="BR191" t="s">
        <v>84</v>
      </c>
      <c r="BS191" s="3">
        <v>45874</v>
      </c>
      <c r="BT191" s="4">
        <v>0.38611111111111113</v>
      </c>
      <c r="BU191" t="s">
        <v>408</v>
      </c>
      <c r="BV191" t="s">
        <v>86</v>
      </c>
      <c r="BY191">
        <v>1200</v>
      </c>
      <c r="CA191" t="s">
        <v>192</v>
      </c>
      <c r="CC191" t="s">
        <v>124</v>
      </c>
      <c r="CD191">
        <v>7441</v>
      </c>
      <c r="CE191" t="s">
        <v>109</v>
      </c>
      <c r="CF191" s="3">
        <v>45875</v>
      </c>
      <c r="CI191">
        <v>1</v>
      </c>
      <c r="CJ191">
        <v>1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"080066993879"</f>
        <v>080066993879</v>
      </c>
      <c r="F192" s="3">
        <v>45873</v>
      </c>
      <c r="G192">
        <v>202605</v>
      </c>
      <c r="H192" t="s">
        <v>75</v>
      </c>
      <c r="I192" t="s">
        <v>76</v>
      </c>
      <c r="J192" t="s">
        <v>77</v>
      </c>
      <c r="K192" t="s">
        <v>78</v>
      </c>
      <c r="L192" t="s">
        <v>654</v>
      </c>
      <c r="M192" t="s">
        <v>655</v>
      </c>
      <c r="N192" t="s">
        <v>656</v>
      </c>
      <c r="O192" t="s">
        <v>82</v>
      </c>
      <c r="P192" t="str">
        <f>"4170052533                    "</f>
        <v xml:space="preserve">4170052533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22.6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71.2</v>
      </c>
      <c r="BM192">
        <v>10.68</v>
      </c>
      <c r="BN192">
        <v>81.88</v>
      </c>
      <c r="BO192">
        <v>81.88</v>
      </c>
      <c r="BQ192" t="s">
        <v>657</v>
      </c>
      <c r="BR192" t="s">
        <v>84</v>
      </c>
      <c r="BS192" s="3">
        <v>45875</v>
      </c>
      <c r="BT192" s="4">
        <v>0.41180555555555554</v>
      </c>
      <c r="BU192" t="s">
        <v>658</v>
      </c>
      <c r="BV192" t="s">
        <v>90</v>
      </c>
      <c r="BW192" t="s">
        <v>134</v>
      </c>
      <c r="BX192" t="s">
        <v>659</v>
      </c>
      <c r="BY192">
        <v>1200</v>
      </c>
      <c r="BZ192" t="s">
        <v>330</v>
      </c>
      <c r="CA192" t="s">
        <v>660</v>
      </c>
      <c r="CC192" t="s">
        <v>655</v>
      </c>
      <c r="CD192">
        <v>4120</v>
      </c>
      <c r="CE192" t="s">
        <v>597</v>
      </c>
      <c r="CF192" s="3">
        <v>45876</v>
      </c>
      <c r="CI192">
        <v>1</v>
      </c>
      <c r="CJ192">
        <v>2</v>
      </c>
      <c r="CK192">
        <v>21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"080067002883"</f>
        <v>080067002883</v>
      </c>
      <c r="F193" s="3">
        <v>45873</v>
      </c>
      <c r="G193">
        <v>202605</v>
      </c>
      <c r="H193" t="s">
        <v>75</v>
      </c>
      <c r="I193" t="s">
        <v>76</v>
      </c>
      <c r="J193" t="s">
        <v>77</v>
      </c>
      <c r="K193" t="s">
        <v>78</v>
      </c>
      <c r="L193" t="s">
        <v>198</v>
      </c>
      <c r="M193" t="s">
        <v>199</v>
      </c>
      <c r="N193" t="s">
        <v>430</v>
      </c>
      <c r="O193" t="s">
        <v>82</v>
      </c>
      <c r="P193" t="str">
        <f>"4170052701                    "</f>
        <v xml:space="preserve">4170052701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141.15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12.5</v>
      </c>
      <c r="BJ193">
        <v>8.8000000000000007</v>
      </c>
      <c r="BK193">
        <v>12.5</v>
      </c>
      <c r="BL193">
        <v>444.69</v>
      </c>
      <c r="BM193">
        <v>66.7</v>
      </c>
      <c r="BN193">
        <v>511.39</v>
      </c>
      <c r="BO193">
        <v>511.39</v>
      </c>
      <c r="BQ193" t="s">
        <v>431</v>
      </c>
      <c r="BR193" t="s">
        <v>84</v>
      </c>
      <c r="BS193" s="3">
        <v>45874</v>
      </c>
      <c r="BT193" s="4">
        <v>0.35</v>
      </c>
      <c r="BU193" t="s">
        <v>432</v>
      </c>
      <c r="BV193" t="s">
        <v>86</v>
      </c>
      <c r="BY193">
        <v>43972.5</v>
      </c>
      <c r="CA193" t="s">
        <v>433</v>
      </c>
      <c r="CC193" t="s">
        <v>199</v>
      </c>
      <c r="CD193">
        <v>6001</v>
      </c>
      <c r="CE193" t="s">
        <v>147</v>
      </c>
      <c r="CF193" s="3">
        <v>45874</v>
      </c>
      <c r="CI193">
        <v>1</v>
      </c>
      <c r="CJ193">
        <v>1</v>
      </c>
      <c r="CK193">
        <v>21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"080066992742"</f>
        <v>080066992742</v>
      </c>
      <c r="F194" s="3">
        <v>45873</v>
      </c>
      <c r="G194">
        <v>202605</v>
      </c>
      <c r="H194" t="s">
        <v>75</v>
      </c>
      <c r="I194" t="s">
        <v>76</v>
      </c>
      <c r="J194" t="s">
        <v>77</v>
      </c>
      <c r="K194" t="s">
        <v>78</v>
      </c>
      <c r="L194" t="s">
        <v>520</v>
      </c>
      <c r="M194" t="s">
        <v>521</v>
      </c>
      <c r="N194" t="s">
        <v>661</v>
      </c>
      <c r="O194" t="s">
        <v>82</v>
      </c>
      <c r="P194" t="str">
        <f>"4170052618                    "</f>
        <v xml:space="preserve">4170052618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43.78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137.94</v>
      </c>
      <c r="BM194">
        <v>20.69</v>
      </c>
      <c r="BN194">
        <v>158.63</v>
      </c>
      <c r="BO194">
        <v>158.63</v>
      </c>
      <c r="BQ194" t="s">
        <v>662</v>
      </c>
      <c r="BR194" t="s">
        <v>84</v>
      </c>
      <c r="BS194" s="3">
        <v>45874</v>
      </c>
      <c r="BT194" s="4">
        <v>0.4375</v>
      </c>
      <c r="BU194" t="s">
        <v>325</v>
      </c>
      <c r="BV194" t="s">
        <v>86</v>
      </c>
      <c r="BY194">
        <v>1200</v>
      </c>
      <c r="CC194" t="s">
        <v>521</v>
      </c>
      <c r="CD194">
        <v>1873</v>
      </c>
      <c r="CE194" t="s">
        <v>109</v>
      </c>
      <c r="CF194" s="3">
        <v>45875</v>
      </c>
      <c r="CI194">
        <v>1</v>
      </c>
      <c r="CJ194">
        <v>1</v>
      </c>
      <c r="CK194">
        <v>23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"080066994714"</f>
        <v>080066994714</v>
      </c>
      <c r="F195" s="3">
        <v>45873</v>
      </c>
      <c r="G195">
        <v>202605</v>
      </c>
      <c r="H195" t="s">
        <v>75</v>
      </c>
      <c r="I195" t="s">
        <v>76</v>
      </c>
      <c r="J195" t="s">
        <v>77</v>
      </c>
      <c r="K195" t="s">
        <v>78</v>
      </c>
      <c r="L195" t="s">
        <v>123</v>
      </c>
      <c r="M195" t="s">
        <v>124</v>
      </c>
      <c r="N195" t="s">
        <v>663</v>
      </c>
      <c r="O195" t="s">
        <v>82</v>
      </c>
      <c r="P195" t="str">
        <f>"4170052635                    "</f>
        <v xml:space="preserve">4170052635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79.05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4</v>
      </c>
      <c r="BJ195">
        <v>6.7</v>
      </c>
      <c r="BK195">
        <v>7</v>
      </c>
      <c r="BL195">
        <v>249.05</v>
      </c>
      <c r="BM195">
        <v>37.36</v>
      </c>
      <c r="BN195">
        <v>286.41000000000003</v>
      </c>
      <c r="BO195">
        <v>286.41000000000003</v>
      </c>
      <c r="BQ195" t="s">
        <v>664</v>
      </c>
      <c r="BR195" t="s">
        <v>84</v>
      </c>
      <c r="BS195" s="3">
        <v>45874</v>
      </c>
      <c r="BT195" s="4">
        <v>0.51527777777777772</v>
      </c>
      <c r="BU195" t="s">
        <v>665</v>
      </c>
      <c r="BV195" t="s">
        <v>86</v>
      </c>
      <c r="BY195">
        <v>33670</v>
      </c>
      <c r="CA195" t="s">
        <v>666</v>
      </c>
      <c r="CC195" t="s">
        <v>124</v>
      </c>
      <c r="CD195">
        <v>7975</v>
      </c>
      <c r="CE195" t="s">
        <v>117</v>
      </c>
      <c r="CF195" s="3">
        <v>45875</v>
      </c>
      <c r="CI195">
        <v>1</v>
      </c>
      <c r="CJ195">
        <v>1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"080066995312"</f>
        <v>080066995312</v>
      </c>
      <c r="F196" s="3">
        <v>45873</v>
      </c>
      <c r="G196">
        <v>202605</v>
      </c>
      <c r="H196" t="s">
        <v>75</v>
      </c>
      <c r="I196" t="s">
        <v>76</v>
      </c>
      <c r="J196" t="s">
        <v>77</v>
      </c>
      <c r="K196" t="s">
        <v>78</v>
      </c>
      <c r="L196" t="s">
        <v>198</v>
      </c>
      <c r="M196" t="s">
        <v>199</v>
      </c>
      <c r="N196" t="s">
        <v>667</v>
      </c>
      <c r="O196" t="s">
        <v>82</v>
      </c>
      <c r="P196" t="str">
        <f>"4170052590                    "</f>
        <v xml:space="preserve">4170052590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22.6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71.2</v>
      </c>
      <c r="BM196">
        <v>10.68</v>
      </c>
      <c r="BN196">
        <v>81.88</v>
      </c>
      <c r="BO196">
        <v>81.88</v>
      </c>
      <c r="BQ196" t="s">
        <v>668</v>
      </c>
      <c r="BR196" t="s">
        <v>84</v>
      </c>
      <c r="BS196" s="3">
        <v>45874</v>
      </c>
      <c r="BT196" s="4">
        <v>0.35069444444444442</v>
      </c>
      <c r="BU196" t="s">
        <v>432</v>
      </c>
      <c r="BV196" t="s">
        <v>86</v>
      </c>
      <c r="BY196">
        <v>1200</v>
      </c>
      <c r="CA196" t="s">
        <v>433</v>
      </c>
      <c r="CC196" t="s">
        <v>199</v>
      </c>
      <c r="CD196">
        <v>6001</v>
      </c>
      <c r="CE196" t="s">
        <v>109</v>
      </c>
      <c r="CF196" s="3">
        <v>45874</v>
      </c>
      <c r="CI196">
        <v>1</v>
      </c>
      <c r="CJ196">
        <v>1</v>
      </c>
      <c r="CK196">
        <v>21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"080066993820"</f>
        <v>080066993820</v>
      </c>
      <c r="F197" s="3">
        <v>45873</v>
      </c>
      <c r="G197">
        <v>202605</v>
      </c>
      <c r="H197" t="s">
        <v>75</v>
      </c>
      <c r="I197" t="s">
        <v>76</v>
      </c>
      <c r="J197" t="s">
        <v>77</v>
      </c>
      <c r="K197" t="s">
        <v>78</v>
      </c>
      <c r="L197" t="s">
        <v>118</v>
      </c>
      <c r="M197" t="s">
        <v>118</v>
      </c>
      <c r="N197" t="s">
        <v>669</v>
      </c>
      <c r="O197" t="s">
        <v>82</v>
      </c>
      <c r="P197" t="str">
        <f>"4170052536                    "</f>
        <v xml:space="preserve">4170052536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43.78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137.94</v>
      </c>
      <c r="BM197">
        <v>20.69</v>
      </c>
      <c r="BN197">
        <v>158.63</v>
      </c>
      <c r="BO197">
        <v>158.63</v>
      </c>
      <c r="BQ197" t="s">
        <v>670</v>
      </c>
      <c r="BR197" t="s">
        <v>84</v>
      </c>
      <c r="BS197" s="3">
        <v>45874</v>
      </c>
      <c r="BT197" s="4">
        <v>0.52013888888888893</v>
      </c>
      <c r="BU197" t="s">
        <v>671</v>
      </c>
      <c r="BV197" t="s">
        <v>86</v>
      </c>
      <c r="BY197">
        <v>1200</v>
      </c>
      <c r="CC197" t="s">
        <v>118</v>
      </c>
      <c r="CD197">
        <v>7646</v>
      </c>
      <c r="CE197" t="s">
        <v>109</v>
      </c>
      <c r="CF197" s="3">
        <v>45875</v>
      </c>
      <c r="CI197">
        <v>1</v>
      </c>
      <c r="CJ197">
        <v>1</v>
      </c>
      <c r="CK197">
        <v>23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"080066995164"</f>
        <v>080066995164</v>
      </c>
      <c r="F198" s="3">
        <v>45873</v>
      </c>
      <c r="G198">
        <v>202605</v>
      </c>
      <c r="H198" t="s">
        <v>75</v>
      </c>
      <c r="I198" t="s">
        <v>76</v>
      </c>
      <c r="J198" t="s">
        <v>77</v>
      </c>
      <c r="K198" t="s">
        <v>78</v>
      </c>
      <c r="L198" t="s">
        <v>123</v>
      </c>
      <c r="M198" t="s">
        <v>124</v>
      </c>
      <c r="N198" t="s">
        <v>406</v>
      </c>
      <c r="O198" t="s">
        <v>82</v>
      </c>
      <c r="P198" t="str">
        <f>"4170052616                    "</f>
        <v xml:space="preserve">4170052616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22.6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</v>
      </c>
      <c r="BJ198">
        <v>1.9</v>
      </c>
      <c r="BK198">
        <v>2</v>
      </c>
      <c r="BL198">
        <v>71.2</v>
      </c>
      <c r="BM198">
        <v>10.68</v>
      </c>
      <c r="BN198">
        <v>81.88</v>
      </c>
      <c r="BO198">
        <v>81.88</v>
      </c>
      <c r="BQ198" t="s">
        <v>407</v>
      </c>
      <c r="BR198" t="s">
        <v>84</v>
      </c>
      <c r="BS198" s="3">
        <v>45874</v>
      </c>
      <c r="BT198" s="4">
        <v>0.38611111111111113</v>
      </c>
      <c r="BU198" t="s">
        <v>408</v>
      </c>
      <c r="BV198" t="s">
        <v>86</v>
      </c>
      <c r="BY198">
        <v>9728</v>
      </c>
      <c r="CA198" t="s">
        <v>192</v>
      </c>
      <c r="CC198" t="s">
        <v>124</v>
      </c>
      <c r="CD198">
        <v>7441</v>
      </c>
      <c r="CE198" t="s">
        <v>117</v>
      </c>
      <c r="CF198" s="3">
        <v>45875</v>
      </c>
      <c r="CI198">
        <v>1</v>
      </c>
      <c r="CJ198">
        <v>1</v>
      </c>
      <c r="CK198">
        <v>21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"080066993319"</f>
        <v>080066993319</v>
      </c>
      <c r="F199" s="3">
        <v>45873</v>
      </c>
      <c r="G199">
        <v>202605</v>
      </c>
      <c r="H199" t="s">
        <v>75</v>
      </c>
      <c r="I199" t="s">
        <v>76</v>
      </c>
      <c r="J199" t="s">
        <v>77</v>
      </c>
      <c r="K199" t="s">
        <v>78</v>
      </c>
      <c r="L199" t="s">
        <v>672</v>
      </c>
      <c r="M199" t="s">
        <v>673</v>
      </c>
      <c r="N199" t="s">
        <v>674</v>
      </c>
      <c r="O199" t="s">
        <v>82</v>
      </c>
      <c r="P199" t="str">
        <f>"4170052538                    "</f>
        <v xml:space="preserve">4170052538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43.78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137.94</v>
      </c>
      <c r="BM199">
        <v>20.69</v>
      </c>
      <c r="BN199">
        <v>158.63</v>
      </c>
      <c r="BO199">
        <v>158.63</v>
      </c>
      <c r="BQ199" t="s">
        <v>675</v>
      </c>
      <c r="BR199" t="s">
        <v>84</v>
      </c>
      <c r="BS199" s="3">
        <v>45874</v>
      </c>
      <c r="BT199" s="4">
        <v>0.53472222222222221</v>
      </c>
      <c r="BU199" t="s">
        <v>676</v>
      </c>
      <c r="BV199" t="s">
        <v>86</v>
      </c>
      <c r="BY199">
        <v>1200</v>
      </c>
      <c r="BZ199" t="s">
        <v>330</v>
      </c>
      <c r="CC199" t="s">
        <v>673</v>
      </c>
      <c r="CD199">
        <v>3370</v>
      </c>
      <c r="CE199" t="s">
        <v>597</v>
      </c>
      <c r="CF199" s="3">
        <v>45875</v>
      </c>
      <c r="CI199">
        <v>2</v>
      </c>
      <c r="CJ199">
        <v>1</v>
      </c>
      <c r="CK199">
        <v>23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"080067003698"</f>
        <v>080067003698</v>
      </c>
      <c r="F200" s="3">
        <v>45873</v>
      </c>
      <c r="G200">
        <v>202605</v>
      </c>
      <c r="H200" t="s">
        <v>75</v>
      </c>
      <c r="I200" t="s">
        <v>76</v>
      </c>
      <c r="J200" t="s">
        <v>77</v>
      </c>
      <c r="K200" t="s">
        <v>78</v>
      </c>
      <c r="L200" t="s">
        <v>123</v>
      </c>
      <c r="M200" t="s">
        <v>124</v>
      </c>
      <c r="N200" t="s">
        <v>677</v>
      </c>
      <c r="O200" t="s">
        <v>82</v>
      </c>
      <c r="P200" t="str">
        <f>"4170052725                    "</f>
        <v xml:space="preserve">4170052725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50.82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2</v>
      </c>
      <c r="BI200">
        <v>4</v>
      </c>
      <c r="BJ200">
        <v>4.3</v>
      </c>
      <c r="BK200">
        <v>4.5</v>
      </c>
      <c r="BL200">
        <v>160.12</v>
      </c>
      <c r="BM200">
        <v>24.02</v>
      </c>
      <c r="BN200">
        <v>184.14</v>
      </c>
      <c r="BO200">
        <v>184.14</v>
      </c>
      <c r="BQ200" t="s">
        <v>678</v>
      </c>
      <c r="BR200" t="s">
        <v>84</v>
      </c>
      <c r="BS200" s="3">
        <v>45874</v>
      </c>
      <c r="BT200" s="4">
        <v>0.42916666666666664</v>
      </c>
      <c r="BU200" t="s">
        <v>679</v>
      </c>
      <c r="BV200" t="s">
        <v>86</v>
      </c>
      <c r="BY200">
        <v>21744</v>
      </c>
      <c r="CA200" t="s">
        <v>171</v>
      </c>
      <c r="CC200" t="s">
        <v>124</v>
      </c>
      <c r="CD200">
        <v>7530</v>
      </c>
      <c r="CE200" t="s">
        <v>147</v>
      </c>
      <c r="CF200" s="3">
        <v>45875</v>
      </c>
      <c r="CI200">
        <v>1</v>
      </c>
      <c r="CJ200">
        <v>1</v>
      </c>
      <c r="CK200">
        <v>21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"080067003468"</f>
        <v>080067003468</v>
      </c>
      <c r="F201" s="3">
        <v>45873</v>
      </c>
      <c r="G201">
        <v>202605</v>
      </c>
      <c r="H201" t="s">
        <v>75</v>
      </c>
      <c r="I201" t="s">
        <v>76</v>
      </c>
      <c r="J201" t="s">
        <v>77</v>
      </c>
      <c r="K201" t="s">
        <v>78</v>
      </c>
      <c r="L201" t="s">
        <v>198</v>
      </c>
      <c r="M201" t="s">
        <v>199</v>
      </c>
      <c r="N201" t="s">
        <v>680</v>
      </c>
      <c r="O201" t="s">
        <v>82</v>
      </c>
      <c r="P201" t="str">
        <f>"4170052709                    "</f>
        <v xml:space="preserve">4170052709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50.82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</v>
      </c>
      <c r="BJ201">
        <v>4.5</v>
      </c>
      <c r="BK201">
        <v>4.5</v>
      </c>
      <c r="BL201">
        <v>160.12</v>
      </c>
      <c r="BM201">
        <v>24.02</v>
      </c>
      <c r="BN201">
        <v>184.14</v>
      </c>
      <c r="BO201">
        <v>184.14</v>
      </c>
      <c r="BQ201" t="s">
        <v>681</v>
      </c>
      <c r="BR201" t="s">
        <v>84</v>
      </c>
      <c r="BS201" s="3">
        <v>45874</v>
      </c>
      <c r="BT201" s="4">
        <v>0.37361111111111112</v>
      </c>
      <c r="BU201" t="s">
        <v>682</v>
      </c>
      <c r="BV201" t="s">
        <v>86</v>
      </c>
      <c r="BY201">
        <v>22620</v>
      </c>
      <c r="CA201" t="s">
        <v>413</v>
      </c>
      <c r="CC201" t="s">
        <v>199</v>
      </c>
      <c r="CD201">
        <v>6001</v>
      </c>
      <c r="CE201" t="s">
        <v>147</v>
      </c>
      <c r="CF201" s="3">
        <v>45874</v>
      </c>
      <c r="CI201">
        <v>1</v>
      </c>
      <c r="CJ201">
        <v>1</v>
      </c>
      <c r="CK201">
        <v>21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"080066993406"</f>
        <v>080066993406</v>
      </c>
      <c r="F202" s="3">
        <v>45873</v>
      </c>
      <c r="G202">
        <v>202605</v>
      </c>
      <c r="H202" t="s">
        <v>75</v>
      </c>
      <c r="I202" t="s">
        <v>76</v>
      </c>
      <c r="J202" t="s">
        <v>77</v>
      </c>
      <c r="K202" t="s">
        <v>78</v>
      </c>
      <c r="L202" t="s">
        <v>234</v>
      </c>
      <c r="M202" t="s">
        <v>235</v>
      </c>
      <c r="N202" t="s">
        <v>683</v>
      </c>
      <c r="O202" t="s">
        <v>82</v>
      </c>
      <c r="P202" t="str">
        <f>"4170052518                    "</f>
        <v xml:space="preserve">4170052518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22.6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71.2</v>
      </c>
      <c r="BM202">
        <v>10.68</v>
      </c>
      <c r="BN202">
        <v>81.88</v>
      </c>
      <c r="BO202">
        <v>81.88</v>
      </c>
      <c r="BQ202" t="s">
        <v>684</v>
      </c>
      <c r="BR202" t="s">
        <v>84</v>
      </c>
      <c r="BS202" s="3">
        <v>45874</v>
      </c>
      <c r="BT202" s="4">
        <v>0.39652777777777776</v>
      </c>
      <c r="BU202" t="s">
        <v>685</v>
      </c>
      <c r="BV202" t="s">
        <v>86</v>
      </c>
      <c r="BY202">
        <v>1200</v>
      </c>
      <c r="CA202" t="s">
        <v>239</v>
      </c>
      <c r="CC202" t="s">
        <v>235</v>
      </c>
      <c r="CD202" s="5" t="s">
        <v>240</v>
      </c>
      <c r="CE202" t="s">
        <v>109</v>
      </c>
      <c r="CF202" s="3">
        <v>45874</v>
      </c>
      <c r="CI202">
        <v>1</v>
      </c>
      <c r="CJ202">
        <v>1</v>
      </c>
      <c r="CK202">
        <v>21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"080067004537"</f>
        <v>080067004537</v>
      </c>
      <c r="F203" s="3">
        <v>45873</v>
      </c>
      <c r="G203">
        <v>202605</v>
      </c>
      <c r="H203" t="s">
        <v>75</v>
      </c>
      <c r="I203" t="s">
        <v>76</v>
      </c>
      <c r="J203" t="s">
        <v>77</v>
      </c>
      <c r="K203" t="s">
        <v>78</v>
      </c>
      <c r="L203" t="s">
        <v>162</v>
      </c>
      <c r="M203" t="s">
        <v>163</v>
      </c>
      <c r="N203" t="s">
        <v>246</v>
      </c>
      <c r="O203" t="s">
        <v>82</v>
      </c>
      <c r="P203" t="str">
        <f>"4170052730                    "</f>
        <v xml:space="preserve">4170052730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112.92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</v>
      </c>
      <c r="BJ203">
        <v>9.6</v>
      </c>
      <c r="BK203">
        <v>10</v>
      </c>
      <c r="BL203">
        <v>355.76</v>
      </c>
      <c r="BM203">
        <v>53.36</v>
      </c>
      <c r="BN203">
        <v>409.12</v>
      </c>
      <c r="BO203">
        <v>409.12</v>
      </c>
      <c r="BQ203" t="s">
        <v>247</v>
      </c>
      <c r="BR203" t="s">
        <v>84</v>
      </c>
      <c r="BS203" s="3">
        <v>45874</v>
      </c>
      <c r="BT203" s="4">
        <v>0.41666666666666669</v>
      </c>
      <c r="BU203" t="s">
        <v>493</v>
      </c>
      <c r="BV203" t="s">
        <v>86</v>
      </c>
      <c r="BY203">
        <v>48000</v>
      </c>
      <c r="CC203" t="s">
        <v>163</v>
      </c>
      <c r="CD203">
        <v>3201</v>
      </c>
      <c r="CE203" t="s">
        <v>147</v>
      </c>
      <c r="CF203" s="3">
        <v>45875</v>
      </c>
      <c r="CI203">
        <v>1</v>
      </c>
      <c r="CJ203">
        <v>1</v>
      </c>
      <c r="CK203">
        <v>21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"080066994695"</f>
        <v>080066994695</v>
      </c>
      <c r="F204" s="3">
        <v>45873</v>
      </c>
      <c r="G204">
        <v>202605</v>
      </c>
      <c r="H204" t="s">
        <v>75</v>
      </c>
      <c r="I204" t="s">
        <v>76</v>
      </c>
      <c r="J204" t="s">
        <v>77</v>
      </c>
      <c r="K204" t="s">
        <v>78</v>
      </c>
      <c r="L204" t="s">
        <v>198</v>
      </c>
      <c r="M204" t="s">
        <v>199</v>
      </c>
      <c r="N204" t="s">
        <v>686</v>
      </c>
      <c r="O204" t="s">
        <v>82</v>
      </c>
      <c r="P204" t="str">
        <f>"4170052501                    "</f>
        <v xml:space="preserve">4170052501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22.6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71.2</v>
      </c>
      <c r="BM204">
        <v>10.68</v>
      </c>
      <c r="BN204">
        <v>81.88</v>
      </c>
      <c r="BO204">
        <v>81.88</v>
      </c>
      <c r="BQ204" t="s">
        <v>687</v>
      </c>
      <c r="BR204" t="s">
        <v>84</v>
      </c>
      <c r="BS204" s="3">
        <v>45874</v>
      </c>
      <c r="BT204" s="4">
        <v>0.37152777777777779</v>
      </c>
      <c r="BU204" t="s">
        <v>688</v>
      </c>
      <c r="BV204" t="s">
        <v>86</v>
      </c>
      <c r="BY204">
        <v>1200</v>
      </c>
      <c r="CA204" t="s">
        <v>689</v>
      </c>
      <c r="CC204" t="s">
        <v>199</v>
      </c>
      <c r="CD204">
        <v>6020</v>
      </c>
      <c r="CE204" t="s">
        <v>109</v>
      </c>
      <c r="CF204" s="3">
        <v>45874</v>
      </c>
      <c r="CI204">
        <v>1</v>
      </c>
      <c r="CJ204">
        <v>1</v>
      </c>
      <c r="CK204">
        <v>21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"080066996269"</f>
        <v>080066996269</v>
      </c>
      <c r="F205" s="3">
        <v>45873</v>
      </c>
      <c r="G205">
        <v>202605</v>
      </c>
      <c r="H205" t="s">
        <v>75</v>
      </c>
      <c r="I205" t="s">
        <v>76</v>
      </c>
      <c r="J205" t="s">
        <v>77</v>
      </c>
      <c r="K205" t="s">
        <v>78</v>
      </c>
      <c r="L205" t="s">
        <v>278</v>
      </c>
      <c r="M205" t="s">
        <v>279</v>
      </c>
      <c r="N205" t="s">
        <v>690</v>
      </c>
      <c r="O205" t="s">
        <v>95</v>
      </c>
      <c r="P205" t="str">
        <f>"4170052639                    "</f>
        <v xml:space="preserve">4170052639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43.7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9</v>
      </c>
      <c r="BJ205">
        <v>8.9</v>
      </c>
      <c r="BK205">
        <v>9</v>
      </c>
      <c r="BL205">
        <v>143.55000000000001</v>
      </c>
      <c r="BM205">
        <v>21.53</v>
      </c>
      <c r="BN205">
        <v>165.08</v>
      </c>
      <c r="BO205">
        <v>165.08</v>
      </c>
      <c r="BQ205" t="s">
        <v>691</v>
      </c>
      <c r="BR205" t="s">
        <v>84</v>
      </c>
      <c r="BS205" s="3">
        <v>45874</v>
      </c>
      <c r="BT205" s="4">
        <v>0.35069444444444442</v>
      </c>
      <c r="BU205" t="s">
        <v>692</v>
      </c>
      <c r="BV205" t="s">
        <v>86</v>
      </c>
      <c r="BY205">
        <v>44640</v>
      </c>
      <c r="CA205" t="s">
        <v>693</v>
      </c>
      <c r="CC205" t="s">
        <v>279</v>
      </c>
      <c r="CD205" s="5" t="s">
        <v>289</v>
      </c>
      <c r="CE205" t="s">
        <v>147</v>
      </c>
      <c r="CF205" s="3">
        <v>45874</v>
      </c>
      <c r="CI205">
        <v>1</v>
      </c>
      <c r="CJ205">
        <v>1</v>
      </c>
      <c r="CK205">
        <v>41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"080066994748"</f>
        <v>080066994748</v>
      </c>
      <c r="F206" s="3">
        <v>45873</v>
      </c>
      <c r="G206">
        <v>202605</v>
      </c>
      <c r="H206" t="s">
        <v>75</v>
      </c>
      <c r="I206" t="s">
        <v>76</v>
      </c>
      <c r="J206" t="s">
        <v>77</v>
      </c>
      <c r="K206" t="s">
        <v>78</v>
      </c>
      <c r="L206" t="s">
        <v>400</v>
      </c>
      <c r="M206" t="s">
        <v>401</v>
      </c>
      <c r="N206" t="s">
        <v>694</v>
      </c>
      <c r="O206" t="s">
        <v>82</v>
      </c>
      <c r="P206" t="str">
        <f>"4170052506                    "</f>
        <v xml:space="preserve">4170052506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22.6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71.2</v>
      </c>
      <c r="BM206">
        <v>10.68</v>
      </c>
      <c r="BN206">
        <v>81.88</v>
      </c>
      <c r="BO206">
        <v>81.88</v>
      </c>
      <c r="BQ206" t="s">
        <v>695</v>
      </c>
      <c r="BR206" t="s">
        <v>84</v>
      </c>
      <c r="BS206" s="3">
        <v>45874</v>
      </c>
      <c r="BT206" s="4">
        <v>0.33750000000000002</v>
      </c>
      <c r="BU206" t="s">
        <v>696</v>
      </c>
      <c r="BV206" t="s">
        <v>86</v>
      </c>
      <c r="BY206">
        <v>1200</v>
      </c>
      <c r="CA206" t="s">
        <v>405</v>
      </c>
      <c r="CC206" t="s">
        <v>401</v>
      </c>
      <c r="CD206">
        <v>6229</v>
      </c>
      <c r="CE206" t="s">
        <v>109</v>
      </c>
      <c r="CF206" s="3">
        <v>45874</v>
      </c>
      <c r="CI206">
        <v>1</v>
      </c>
      <c r="CJ206">
        <v>1</v>
      </c>
      <c r="CK206">
        <v>21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"080066994747"</f>
        <v>080066994747</v>
      </c>
      <c r="F207" s="3">
        <v>45873</v>
      </c>
      <c r="G207">
        <v>202605</v>
      </c>
      <c r="H207" t="s">
        <v>75</v>
      </c>
      <c r="I207" t="s">
        <v>76</v>
      </c>
      <c r="J207" t="s">
        <v>77</v>
      </c>
      <c r="K207" t="s">
        <v>78</v>
      </c>
      <c r="L207" t="s">
        <v>129</v>
      </c>
      <c r="M207" t="s">
        <v>130</v>
      </c>
      <c r="N207" t="s">
        <v>697</v>
      </c>
      <c r="O207" t="s">
        <v>82</v>
      </c>
      <c r="P207" t="str">
        <f>"4170052634                    "</f>
        <v xml:space="preserve">4170052634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33.89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16.739999999999998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3</v>
      </c>
      <c r="BJ207">
        <v>1.9</v>
      </c>
      <c r="BK207">
        <v>3</v>
      </c>
      <c r="BL207">
        <v>123.51</v>
      </c>
      <c r="BM207">
        <v>18.53</v>
      </c>
      <c r="BN207">
        <v>142.04</v>
      </c>
      <c r="BO207">
        <v>142.04</v>
      </c>
      <c r="BQ207" t="s">
        <v>698</v>
      </c>
      <c r="BR207" t="s">
        <v>84</v>
      </c>
      <c r="BS207" s="3">
        <v>45874</v>
      </c>
      <c r="BT207" s="4">
        <v>0.47916666666666669</v>
      </c>
      <c r="BU207" t="s">
        <v>699</v>
      </c>
      <c r="BV207" t="s">
        <v>90</v>
      </c>
      <c r="BW207" t="s">
        <v>134</v>
      </c>
      <c r="BX207" t="s">
        <v>440</v>
      </c>
      <c r="BY207">
        <v>9600</v>
      </c>
      <c r="BZ207" t="s">
        <v>30</v>
      </c>
      <c r="CA207" t="s">
        <v>627</v>
      </c>
      <c r="CC207" t="s">
        <v>130</v>
      </c>
      <c r="CD207">
        <v>4133</v>
      </c>
      <c r="CE207" t="s">
        <v>147</v>
      </c>
      <c r="CF207" s="3">
        <v>45875</v>
      </c>
      <c r="CI207">
        <v>1</v>
      </c>
      <c r="CJ207">
        <v>1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"080066998988"</f>
        <v>080066998988</v>
      </c>
      <c r="F208" s="3">
        <v>45873</v>
      </c>
      <c r="G208">
        <v>202605</v>
      </c>
      <c r="H208" t="s">
        <v>75</v>
      </c>
      <c r="I208" t="s">
        <v>76</v>
      </c>
      <c r="J208" t="s">
        <v>77</v>
      </c>
      <c r="K208" t="s">
        <v>78</v>
      </c>
      <c r="L208" t="s">
        <v>234</v>
      </c>
      <c r="M208" t="s">
        <v>235</v>
      </c>
      <c r="N208" t="s">
        <v>236</v>
      </c>
      <c r="O208" t="s">
        <v>82</v>
      </c>
      <c r="P208" t="str">
        <f>"4170052687                    "</f>
        <v xml:space="preserve">4170052687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22.6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71.2</v>
      </c>
      <c r="BM208">
        <v>10.68</v>
      </c>
      <c r="BN208">
        <v>81.88</v>
      </c>
      <c r="BO208">
        <v>81.88</v>
      </c>
      <c r="BQ208" t="s">
        <v>237</v>
      </c>
      <c r="BR208" t="s">
        <v>84</v>
      </c>
      <c r="BS208" s="3">
        <v>45874</v>
      </c>
      <c r="BT208" s="4">
        <v>0.3888888888888889</v>
      </c>
      <c r="BU208" t="s">
        <v>650</v>
      </c>
      <c r="BV208" t="s">
        <v>86</v>
      </c>
      <c r="BY208">
        <v>1200</v>
      </c>
      <c r="CA208" t="s">
        <v>239</v>
      </c>
      <c r="CC208" t="s">
        <v>235</v>
      </c>
      <c r="CD208" s="5" t="s">
        <v>240</v>
      </c>
      <c r="CE208" t="s">
        <v>109</v>
      </c>
      <c r="CF208" s="3">
        <v>45874</v>
      </c>
      <c r="CI208">
        <v>1</v>
      </c>
      <c r="CJ208">
        <v>1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"080066994244"</f>
        <v>080066994244</v>
      </c>
      <c r="F209" s="3">
        <v>45873</v>
      </c>
      <c r="G209">
        <v>202605</v>
      </c>
      <c r="H209" t="s">
        <v>75</v>
      </c>
      <c r="I209" t="s">
        <v>76</v>
      </c>
      <c r="J209" t="s">
        <v>77</v>
      </c>
      <c r="K209" t="s">
        <v>78</v>
      </c>
      <c r="L209" t="s">
        <v>700</v>
      </c>
      <c r="M209" t="s">
        <v>701</v>
      </c>
      <c r="N209" t="s">
        <v>702</v>
      </c>
      <c r="O209" t="s">
        <v>95</v>
      </c>
      <c r="P209" t="str">
        <f>"4170052667                    "</f>
        <v xml:space="preserve">4170052667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237.93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42</v>
      </c>
      <c r="BJ209">
        <v>71</v>
      </c>
      <c r="BK209">
        <v>71</v>
      </c>
      <c r="BL209">
        <v>755.47</v>
      </c>
      <c r="BM209">
        <v>113.32</v>
      </c>
      <c r="BN209">
        <v>868.79</v>
      </c>
      <c r="BO209">
        <v>868.79</v>
      </c>
      <c r="BQ209" t="s">
        <v>703</v>
      </c>
      <c r="BR209" t="s">
        <v>84</v>
      </c>
      <c r="BS209" s="3">
        <v>45876</v>
      </c>
      <c r="BT209" s="4">
        <v>0.51388888888888884</v>
      </c>
      <c r="BU209" t="s">
        <v>704</v>
      </c>
      <c r="BV209" t="s">
        <v>90</v>
      </c>
      <c r="BW209" t="s">
        <v>705</v>
      </c>
      <c r="BX209" t="s">
        <v>706</v>
      </c>
      <c r="BY209">
        <v>355200</v>
      </c>
      <c r="CA209" t="s">
        <v>457</v>
      </c>
      <c r="CC209" t="s">
        <v>701</v>
      </c>
      <c r="CD209" s="5" t="s">
        <v>707</v>
      </c>
      <c r="CE209" t="s">
        <v>708</v>
      </c>
      <c r="CF209" s="3">
        <v>45877</v>
      </c>
      <c r="CI209">
        <v>1</v>
      </c>
      <c r="CJ209">
        <v>3</v>
      </c>
      <c r="CK209">
        <v>43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"080066993751"</f>
        <v>080066993751</v>
      </c>
      <c r="F210" s="3">
        <v>45873</v>
      </c>
      <c r="G210">
        <v>202605</v>
      </c>
      <c r="H210" t="s">
        <v>75</v>
      </c>
      <c r="I210" t="s">
        <v>76</v>
      </c>
      <c r="J210" t="s">
        <v>77</v>
      </c>
      <c r="K210" t="s">
        <v>78</v>
      </c>
      <c r="L210" t="s">
        <v>513</v>
      </c>
      <c r="M210" t="s">
        <v>514</v>
      </c>
      <c r="N210" t="s">
        <v>709</v>
      </c>
      <c r="O210" t="s">
        <v>82</v>
      </c>
      <c r="P210" t="str">
        <f>"4170052542                    "</f>
        <v xml:space="preserve">4170052542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43.78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2</v>
      </c>
      <c r="BJ210">
        <v>1.1000000000000001</v>
      </c>
      <c r="BK210">
        <v>2</v>
      </c>
      <c r="BL210">
        <v>137.94</v>
      </c>
      <c r="BM210">
        <v>20.69</v>
      </c>
      <c r="BN210">
        <v>158.63</v>
      </c>
      <c r="BO210">
        <v>158.63</v>
      </c>
      <c r="BQ210" t="s">
        <v>710</v>
      </c>
      <c r="BR210" t="s">
        <v>84</v>
      </c>
      <c r="BS210" s="3">
        <v>45874</v>
      </c>
      <c r="BT210" s="4">
        <v>0.42708333333333331</v>
      </c>
      <c r="BU210" t="s">
        <v>711</v>
      </c>
      <c r="BV210" t="s">
        <v>86</v>
      </c>
      <c r="BY210">
        <v>5320</v>
      </c>
      <c r="BZ210" t="s">
        <v>330</v>
      </c>
      <c r="CA210" t="s">
        <v>712</v>
      </c>
      <c r="CC210" t="s">
        <v>514</v>
      </c>
      <c r="CD210" s="5" t="s">
        <v>519</v>
      </c>
      <c r="CE210" t="s">
        <v>89</v>
      </c>
      <c r="CF210" s="3">
        <v>45875</v>
      </c>
      <c r="CI210">
        <v>1</v>
      </c>
      <c r="CJ210">
        <v>1</v>
      </c>
      <c r="CK210">
        <v>23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"080066997443"</f>
        <v>080066997443</v>
      </c>
      <c r="F211" s="3">
        <v>45873</v>
      </c>
      <c r="G211">
        <v>202605</v>
      </c>
      <c r="H211" t="s">
        <v>75</v>
      </c>
      <c r="I211" t="s">
        <v>76</v>
      </c>
      <c r="J211" t="s">
        <v>77</v>
      </c>
      <c r="K211" t="s">
        <v>78</v>
      </c>
      <c r="L211" t="s">
        <v>234</v>
      </c>
      <c r="M211" t="s">
        <v>235</v>
      </c>
      <c r="N211" t="s">
        <v>236</v>
      </c>
      <c r="O211" t="s">
        <v>82</v>
      </c>
      <c r="P211" t="str">
        <f>"4170052677                    "</f>
        <v xml:space="preserve">4170052677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22.6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71.2</v>
      </c>
      <c r="BM211">
        <v>10.68</v>
      </c>
      <c r="BN211">
        <v>81.88</v>
      </c>
      <c r="BO211">
        <v>81.88</v>
      </c>
      <c r="BQ211" t="s">
        <v>237</v>
      </c>
      <c r="BR211" t="s">
        <v>84</v>
      </c>
      <c r="BS211" s="3">
        <v>45874</v>
      </c>
      <c r="BT211" s="4">
        <v>0.38819444444444445</v>
      </c>
      <c r="BU211" t="s">
        <v>650</v>
      </c>
      <c r="BV211" t="s">
        <v>86</v>
      </c>
      <c r="BY211">
        <v>1200</v>
      </c>
      <c r="CA211" t="s">
        <v>239</v>
      </c>
      <c r="CC211" t="s">
        <v>235</v>
      </c>
      <c r="CD211" s="5" t="s">
        <v>240</v>
      </c>
      <c r="CE211" t="s">
        <v>109</v>
      </c>
      <c r="CF211" s="3">
        <v>45874</v>
      </c>
      <c r="CI211">
        <v>1</v>
      </c>
      <c r="CJ211">
        <v>1</v>
      </c>
      <c r="CK211">
        <v>21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"080067001915"</f>
        <v>080067001915</v>
      </c>
      <c r="F212" s="3">
        <v>45873</v>
      </c>
      <c r="G212">
        <v>202605</v>
      </c>
      <c r="H212" t="s">
        <v>75</v>
      </c>
      <c r="I212" t="s">
        <v>76</v>
      </c>
      <c r="J212" t="s">
        <v>77</v>
      </c>
      <c r="K212" t="s">
        <v>78</v>
      </c>
      <c r="L212" t="s">
        <v>198</v>
      </c>
      <c r="M212" t="s">
        <v>199</v>
      </c>
      <c r="N212" t="s">
        <v>713</v>
      </c>
      <c r="O212" t="s">
        <v>82</v>
      </c>
      <c r="P212" t="str">
        <f>"4170052698                    "</f>
        <v xml:space="preserve">4170052698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22.6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1.1000000000000001</v>
      </c>
      <c r="BK212">
        <v>1.5</v>
      </c>
      <c r="BL212">
        <v>71.2</v>
      </c>
      <c r="BM212">
        <v>10.68</v>
      </c>
      <c r="BN212">
        <v>81.88</v>
      </c>
      <c r="BO212">
        <v>81.88</v>
      </c>
      <c r="BQ212" t="s">
        <v>714</v>
      </c>
      <c r="BR212" t="s">
        <v>84</v>
      </c>
      <c r="BS212" s="3">
        <v>45874</v>
      </c>
      <c r="BT212" s="4">
        <v>0.37708333333333333</v>
      </c>
      <c r="BU212" t="s">
        <v>715</v>
      </c>
      <c r="BV212" t="s">
        <v>86</v>
      </c>
      <c r="BY212">
        <v>5320</v>
      </c>
      <c r="CA212" t="s">
        <v>433</v>
      </c>
      <c r="CC212" t="s">
        <v>199</v>
      </c>
      <c r="CD212">
        <v>6012</v>
      </c>
      <c r="CE212" t="s">
        <v>147</v>
      </c>
      <c r="CF212" s="3">
        <v>45874</v>
      </c>
      <c r="CI212">
        <v>1</v>
      </c>
      <c r="CJ212">
        <v>1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"080066993068"</f>
        <v>080066993068</v>
      </c>
      <c r="F213" s="3">
        <v>45873</v>
      </c>
      <c r="G213">
        <v>202605</v>
      </c>
      <c r="H213" t="s">
        <v>75</v>
      </c>
      <c r="I213" t="s">
        <v>76</v>
      </c>
      <c r="J213" t="s">
        <v>77</v>
      </c>
      <c r="K213" t="s">
        <v>78</v>
      </c>
      <c r="L213" t="s">
        <v>179</v>
      </c>
      <c r="M213" t="s">
        <v>180</v>
      </c>
      <c r="N213" t="s">
        <v>275</v>
      </c>
      <c r="O213" t="s">
        <v>82</v>
      </c>
      <c r="P213" t="str">
        <f>"4170052577                    "</f>
        <v xml:space="preserve">4170052577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31.78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100.13</v>
      </c>
      <c r="BM213">
        <v>15.02</v>
      </c>
      <c r="BN213">
        <v>115.15</v>
      </c>
      <c r="BO213">
        <v>115.15</v>
      </c>
      <c r="BQ213" t="s">
        <v>276</v>
      </c>
      <c r="BR213" t="s">
        <v>84</v>
      </c>
      <c r="BS213" s="3">
        <v>45874</v>
      </c>
      <c r="BT213" s="4">
        <v>0.32847222222222222</v>
      </c>
      <c r="BU213" t="s">
        <v>716</v>
      </c>
      <c r="BV213" t="s">
        <v>86</v>
      </c>
      <c r="BY213">
        <v>1200</v>
      </c>
      <c r="CA213" t="s">
        <v>184</v>
      </c>
      <c r="CC213" t="s">
        <v>180</v>
      </c>
      <c r="CD213">
        <v>1748</v>
      </c>
      <c r="CE213" t="s">
        <v>109</v>
      </c>
      <c r="CF213" s="3">
        <v>45875</v>
      </c>
      <c r="CI213">
        <v>1</v>
      </c>
      <c r="CJ213">
        <v>1</v>
      </c>
      <c r="CK213">
        <v>24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"080067002557"</f>
        <v>080067002557</v>
      </c>
      <c r="F214" s="3">
        <v>45873</v>
      </c>
      <c r="G214">
        <v>202605</v>
      </c>
      <c r="H214" t="s">
        <v>75</v>
      </c>
      <c r="I214" t="s">
        <v>76</v>
      </c>
      <c r="J214" t="s">
        <v>77</v>
      </c>
      <c r="K214" t="s">
        <v>78</v>
      </c>
      <c r="L214" t="s">
        <v>241</v>
      </c>
      <c r="M214" t="s">
        <v>242</v>
      </c>
      <c r="N214" t="s">
        <v>717</v>
      </c>
      <c r="O214" t="s">
        <v>82</v>
      </c>
      <c r="P214" t="str">
        <f>"4170052194                    "</f>
        <v xml:space="preserve">4170052194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17.649999999999999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55.61</v>
      </c>
      <c r="BM214">
        <v>8.34</v>
      </c>
      <c r="BN214">
        <v>63.95</v>
      </c>
      <c r="BO214">
        <v>63.95</v>
      </c>
      <c r="BQ214" t="s">
        <v>718</v>
      </c>
      <c r="BR214" t="s">
        <v>84</v>
      </c>
      <c r="BS214" s="3">
        <v>45874</v>
      </c>
      <c r="BT214" s="4">
        <v>0.39097222222222222</v>
      </c>
      <c r="BU214" t="s">
        <v>719</v>
      </c>
      <c r="BV214" t="s">
        <v>86</v>
      </c>
      <c r="BY214">
        <v>1200</v>
      </c>
      <c r="CA214" t="s">
        <v>720</v>
      </c>
      <c r="CC214" t="s">
        <v>242</v>
      </c>
      <c r="CD214">
        <v>1459</v>
      </c>
      <c r="CE214" t="s">
        <v>109</v>
      </c>
      <c r="CF214" s="3">
        <v>45875</v>
      </c>
      <c r="CI214">
        <v>1</v>
      </c>
      <c r="CJ214">
        <v>1</v>
      </c>
      <c r="CK214">
        <v>22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"080067003910"</f>
        <v>080067003910</v>
      </c>
      <c r="F215" s="3">
        <v>45873</v>
      </c>
      <c r="G215">
        <v>202605</v>
      </c>
      <c r="H215" t="s">
        <v>75</v>
      </c>
      <c r="I215" t="s">
        <v>76</v>
      </c>
      <c r="J215" t="s">
        <v>77</v>
      </c>
      <c r="K215" t="s">
        <v>78</v>
      </c>
      <c r="L215" t="s">
        <v>162</v>
      </c>
      <c r="M215" t="s">
        <v>163</v>
      </c>
      <c r="N215" t="s">
        <v>246</v>
      </c>
      <c r="O215" t="s">
        <v>82</v>
      </c>
      <c r="P215" t="str">
        <f>"4170052729                    "</f>
        <v xml:space="preserve">4170052729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90.34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6</v>
      </c>
      <c r="BJ215">
        <v>8</v>
      </c>
      <c r="BK215">
        <v>8</v>
      </c>
      <c r="BL215">
        <v>284.62</v>
      </c>
      <c r="BM215">
        <v>42.69</v>
      </c>
      <c r="BN215">
        <v>327.31</v>
      </c>
      <c r="BO215">
        <v>327.31</v>
      </c>
      <c r="BQ215" t="s">
        <v>247</v>
      </c>
      <c r="BR215" t="s">
        <v>84</v>
      </c>
      <c r="BS215" s="3">
        <v>45874</v>
      </c>
      <c r="BT215" s="4">
        <v>0.41666666666666669</v>
      </c>
      <c r="BU215" t="s">
        <v>493</v>
      </c>
      <c r="BV215" t="s">
        <v>86</v>
      </c>
      <c r="BY215">
        <v>39918</v>
      </c>
      <c r="CC215" t="s">
        <v>163</v>
      </c>
      <c r="CD215">
        <v>3201</v>
      </c>
      <c r="CE215" t="s">
        <v>147</v>
      </c>
      <c r="CF215" s="3">
        <v>45875</v>
      </c>
      <c r="CI215">
        <v>1</v>
      </c>
      <c r="CJ215">
        <v>1</v>
      </c>
      <c r="CK215">
        <v>21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"080066989733"</f>
        <v>080066989733</v>
      </c>
      <c r="F216" s="3">
        <v>45873</v>
      </c>
      <c r="G216">
        <v>202605</v>
      </c>
      <c r="H216" t="s">
        <v>75</v>
      </c>
      <c r="I216" t="s">
        <v>76</v>
      </c>
      <c r="J216" t="s">
        <v>77</v>
      </c>
      <c r="K216" t="s">
        <v>78</v>
      </c>
      <c r="L216" t="s">
        <v>373</v>
      </c>
      <c r="M216" t="s">
        <v>374</v>
      </c>
      <c r="N216" t="s">
        <v>131</v>
      </c>
      <c r="O216" t="s">
        <v>82</v>
      </c>
      <c r="P216" t="str">
        <f>"4170052567                    "</f>
        <v xml:space="preserve">4170052567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22.6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71.2</v>
      </c>
      <c r="BM216">
        <v>10.68</v>
      </c>
      <c r="BN216">
        <v>81.88</v>
      </c>
      <c r="BO216">
        <v>81.88</v>
      </c>
      <c r="BQ216" t="s">
        <v>375</v>
      </c>
      <c r="BR216" t="s">
        <v>84</v>
      </c>
      <c r="BS216" s="3">
        <v>45874</v>
      </c>
      <c r="BT216" s="4">
        <v>0.35</v>
      </c>
      <c r="BU216" t="s">
        <v>376</v>
      </c>
      <c r="BV216" t="s">
        <v>86</v>
      </c>
      <c r="BY216">
        <v>1200</v>
      </c>
      <c r="CC216" t="s">
        <v>374</v>
      </c>
      <c r="CD216">
        <v>6220</v>
      </c>
      <c r="CE216" t="s">
        <v>109</v>
      </c>
      <c r="CF216" s="3">
        <v>45874</v>
      </c>
      <c r="CI216">
        <v>1</v>
      </c>
      <c r="CJ216">
        <v>1</v>
      </c>
      <c r="CK216">
        <v>21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"080066996091"</f>
        <v>080066996091</v>
      </c>
      <c r="F217" s="3">
        <v>45873</v>
      </c>
      <c r="G217">
        <v>202605</v>
      </c>
      <c r="H217" t="s">
        <v>75</v>
      </c>
      <c r="I217" t="s">
        <v>76</v>
      </c>
      <c r="J217" t="s">
        <v>77</v>
      </c>
      <c r="K217" t="s">
        <v>78</v>
      </c>
      <c r="L217" t="s">
        <v>721</v>
      </c>
      <c r="M217" t="s">
        <v>722</v>
      </c>
      <c r="N217" t="s">
        <v>723</v>
      </c>
      <c r="O217" t="s">
        <v>82</v>
      </c>
      <c r="P217" t="str">
        <f>"4170052511                    "</f>
        <v xml:space="preserve">4170052511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39.520000000000003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</v>
      </c>
      <c r="BJ217">
        <v>2.4</v>
      </c>
      <c r="BK217">
        <v>2.5</v>
      </c>
      <c r="BL217">
        <v>124.51</v>
      </c>
      <c r="BM217">
        <v>18.68</v>
      </c>
      <c r="BN217">
        <v>143.19</v>
      </c>
      <c r="BO217">
        <v>143.19</v>
      </c>
      <c r="BQ217" t="s">
        <v>724</v>
      </c>
      <c r="BR217" t="s">
        <v>84</v>
      </c>
      <c r="BS217" s="3">
        <v>45874</v>
      </c>
      <c r="BT217" s="4">
        <v>0.42916666666666664</v>
      </c>
      <c r="BU217" t="s">
        <v>725</v>
      </c>
      <c r="BV217" t="s">
        <v>86</v>
      </c>
      <c r="BY217">
        <v>12152</v>
      </c>
      <c r="CA217" t="s">
        <v>726</v>
      </c>
      <c r="CC217" t="s">
        <v>722</v>
      </c>
      <c r="CD217">
        <v>1759</v>
      </c>
      <c r="CE217" t="s">
        <v>117</v>
      </c>
      <c r="CF217" s="3">
        <v>45874</v>
      </c>
      <c r="CI217">
        <v>1</v>
      </c>
      <c r="CJ217">
        <v>1</v>
      </c>
      <c r="CK217">
        <v>24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"080067003838"</f>
        <v>080067003838</v>
      </c>
      <c r="F218" s="3">
        <v>45873</v>
      </c>
      <c r="G218">
        <v>202605</v>
      </c>
      <c r="H218" t="s">
        <v>75</v>
      </c>
      <c r="I218" t="s">
        <v>76</v>
      </c>
      <c r="J218" t="s">
        <v>77</v>
      </c>
      <c r="K218" t="s">
        <v>78</v>
      </c>
      <c r="L218" t="s">
        <v>335</v>
      </c>
      <c r="M218" t="s">
        <v>336</v>
      </c>
      <c r="N218" t="s">
        <v>727</v>
      </c>
      <c r="O218" t="s">
        <v>95</v>
      </c>
      <c r="P218" t="str">
        <f>"4170052700                    "</f>
        <v xml:space="preserve">4170052700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89.97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24</v>
      </c>
      <c r="BJ218">
        <v>9.8000000000000007</v>
      </c>
      <c r="BK218">
        <v>24</v>
      </c>
      <c r="BL218">
        <v>289.32</v>
      </c>
      <c r="BM218">
        <v>43.4</v>
      </c>
      <c r="BN218">
        <v>332.72</v>
      </c>
      <c r="BO218">
        <v>332.72</v>
      </c>
      <c r="BQ218" t="s">
        <v>728</v>
      </c>
      <c r="BR218" t="s">
        <v>84</v>
      </c>
      <c r="BS218" s="3">
        <v>45874</v>
      </c>
      <c r="BT218" s="4">
        <v>0.71666666666666667</v>
      </c>
      <c r="BU218" t="s">
        <v>729</v>
      </c>
      <c r="BV218" t="s">
        <v>86</v>
      </c>
      <c r="BY218">
        <v>49140</v>
      </c>
      <c r="CA218" t="s">
        <v>730</v>
      </c>
      <c r="CC218" t="s">
        <v>336</v>
      </c>
      <c r="CD218" s="5" t="s">
        <v>341</v>
      </c>
      <c r="CE218" t="s">
        <v>147</v>
      </c>
      <c r="CF218" s="3">
        <v>45875</v>
      </c>
      <c r="CI218">
        <v>1</v>
      </c>
      <c r="CJ218">
        <v>1</v>
      </c>
      <c r="CK218">
        <v>43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"080067001870"</f>
        <v>080067001870</v>
      </c>
      <c r="F219" s="3">
        <v>45873</v>
      </c>
      <c r="G219">
        <v>202605</v>
      </c>
      <c r="H219" t="s">
        <v>75</v>
      </c>
      <c r="I219" t="s">
        <v>76</v>
      </c>
      <c r="J219" t="s">
        <v>77</v>
      </c>
      <c r="K219" t="s">
        <v>78</v>
      </c>
      <c r="L219" t="s">
        <v>198</v>
      </c>
      <c r="M219" t="s">
        <v>199</v>
      </c>
      <c r="N219" t="s">
        <v>713</v>
      </c>
      <c r="O219" t="s">
        <v>82</v>
      </c>
      <c r="P219" t="str">
        <f>"4170052697                    "</f>
        <v xml:space="preserve">4170052697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22.6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1.2</v>
      </c>
      <c r="BJ219">
        <v>0.9</v>
      </c>
      <c r="BK219">
        <v>1.5</v>
      </c>
      <c r="BL219">
        <v>71.2</v>
      </c>
      <c r="BM219">
        <v>10.68</v>
      </c>
      <c r="BN219">
        <v>81.88</v>
      </c>
      <c r="BO219">
        <v>81.88</v>
      </c>
      <c r="BQ219" t="s">
        <v>714</v>
      </c>
      <c r="BR219" t="s">
        <v>84</v>
      </c>
      <c r="BS219" s="3">
        <v>45874</v>
      </c>
      <c r="BT219" s="4">
        <v>0.37777777777777777</v>
      </c>
      <c r="BU219" t="s">
        <v>715</v>
      </c>
      <c r="BV219" t="s">
        <v>86</v>
      </c>
      <c r="BY219">
        <v>4485.6000000000004</v>
      </c>
      <c r="CA219" t="s">
        <v>433</v>
      </c>
      <c r="CC219" t="s">
        <v>199</v>
      </c>
      <c r="CD219">
        <v>6012</v>
      </c>
      <c r="CE219" t="s">
        <v>147</v>
      </c>
      <c r="CF219" s="3">
        <v>45874</v>
      </c>
      <c r="CI219">
        <v>1</v>
      </c>
      <c r="CJ219">
        <v>1</v>
      </c>
      <c r="CK219">
        <v>21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"080066996331"</f>
        <v>080066996331</v>
      </c>
      <c r="F220" s="3">
        <v>45873</v>
      </c>
      <c r="G220">
        <v>202605</v>
      </c>
      <c r="H220" t="s">
        <v>75</v>
      </c>
      <c r="I220" t="s">
        <v>76</v>
      </c>
      <c r="J220" t="s">
        <v>77</v>
      </c>
      <c r="K220" t="s">
        <v>78</v>
      </c>
      <c r="L220" t="s">
        <v>278</v>
      </c>
      <c r="M220" t="s">
        <v>279</v>
      </c>
      <c r="N220" t="s">
        <v>508</v>
      </c>
      <c r="O220" t="s">
        <v>82</v>
      </c>
      <c r="P220" t="str">
        <f>"4170052642                    "</f>
        <v xml:space="preserve">4170052642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22.6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71.2</v>
      </c>
      <c r="BM220">
        <v>10.68</v>
      </c>
      <c r="BN220">
        <v>81.88</v>
      </c>
      <c r="BO220">
        <v>81.88</v>
      </c>
      <c r="BQ220" t="s">
        <v>509</v>
      </c>
      <c r="BR220" t="s">
        <v>84</v>
      </c>
      <c r="BS220" s="3">
        <v>45874</v>
      </c>
      <c r="BT220" s="4">
        <v>0.38541666666666669</v>
      </c>
      <c r="BU220" t="s">
        <v>510</v>
      </c>
      <c r="BV220" t="s">
        <v>86</v>
      </c>
      <c r="BY220">
        <v>1200</v>
      </c>
      <c r="CA220" t="s">
        <v>511</v>
      </c>
      <c r="CC220" t="s">
        <v>279</v>
      </c>
      <c r="CD220" s="5" t="s">
        <v>512</v>
      </c>
      <c r="CE220" t="s">
        <v>109</v>
      </c>
      <c r="CF220" s="3">
        <v>45874</v>
      </c>
      <c r="CI220">
        <v>1</v>
      </c>
      <c r="CJ220">
        <v>1</v>
      </c>
      <c r="CK220">
        <v>21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"080066993212"</f>
        <v>080066993212</v>
      </c>
      <c r="F221" s="3">
        <v>45873</v>
      </c>
      <c r="G221">
        <v>202605</v>
      </c>
      <c r="H221" t="s">
        <v>75</v>
      </c>
      <c r="I221" t="s">
        <v>76</v>
      </c>
      <c r="J221" t="s">
        <v>77</v>
      </c>
      <c r="K221" t="s">
        <v>78</v>
      </c>
      <c r="L221" t="s">
        <v>137</v>
      </c>
      <c r="M221" t="s">
        <v>138</v>
      </c>
      <c r="N221" t="s">
        <v>731</v>
      </c>
      <c r="O221" t="s">
        <v>82</v>
      </c>
      <c r="P221" t="str">
        <f>"4170052537                    "</f>
        <v xml:space="preserve">4170052537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22.6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71.2</v>
      </c>
      <c r="BM221">
        <v>10.68</v>
      </c>
      <c r="BN221">
        <v>81.88</v>
      </c>
      <c r="BO221">
        <v>81.88</v>
      </c>
      <c r="BQ221" t="s">
        <v>732</v>
      </c>
      <c r="BR221" t="s">
        <v>84</v>
      </c>
      <c r="BS221" s="3">
        <v>45875</v>
      </c>
      <c r="BT221" s="4">
        <v>0.39791666666666664</v>
      </c>
      <c r="BU221" t="s">
        <v>733</v>
      </c>
      <c r="BV221" t="s">
        <v>90</v>
      </c>
      <c r="BW221" t="s">
        <v>134</v>
      </c>
      <c r="BX221" t="s">
        <v>641</v>
      </c>
      <c r="BY221">
        <v>1200</v>
      </c>
      <c r="CA221" t="s">
        <v>734</v>
      </c>
      <c r="CC221" t="s">
        <v>138</v>
      </c>
      <c r="CD221">
        <v>4037</v>
      </c>
      <c r="CE221" t="s">
        <v>109</v>
      </c>
      <c r="CF221" s="3">
        <v>45875</v>
      </c>
      <c r="CI221">
        <v>1</v>
      </c>
      <c r="CJ221">
        <v>2</v>
      </c>
      <c r="CK221">
        <v>21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"080067004373"</f>
        <v>080067004373</v>
      </c>
      <c r="F222" s="3">
        <v>45873</v>
      </c>
      <c r="G222">
        <v>202605</v>
      </c>
      <c r="H222" t="s">
        <v>75</v>
      </c>
      <c r="I222" t="s">
        <v>76</v>
      </c>
      <c r="J222" t="s">
        <v>77</v>
      </c>
      <c r="K222" t="s">
        <v>78</v>
      </c>
      <c r="L222" t="s">
        <v>278</v>
      </c>
      <c r="M222" t="s">
        <v>279</v>
      </c>
      <c r="N222" t="s">
        <v>735</v>
      </c>
      <c r="O222" t="s">
        <v>95</v>
      </c>
      <c r="P222" t="str">
        <f>"4170052732                    "</f>
        <v xml:space="preserve">4170052732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45.5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15</v>
      </c>
      <c r="BJ222">
        <v>15.2</v>
      </c>
      <c r="BK222">
        <v>16</v>
      </c>
      <c r="BL222">
        <v>149.22999999999999</v>
      </c>
      <c r="BM222">
        <v>22.38</v>
      </c>
      <c r="BN222">
        <v>171.61</v>
      </c>
      <c r="BO222">
        <v>171.61</v>
      </c>
      <c r="BQ222" t="s">
        <v>736</v>
      </c>
      <c r="BR222" t="s">
        <v>84</v>
      </c>
      <c r="BS222" s="3">
        <v>45874</v>
      </c>
      <c r="BT222" s="4">
        <v>0.60347222222222219</v>
      </c>
      <c r="BU222" t="s">
        <v>737</v>
      </c>
      <c r="BV222" t="s">
        <v>86</v>
      </c>
      <c r="BY222">
        <v>76169</v>
      </c>
      <c r="CA222" t="s">
        <v>532</v>
      </c>
      <c r="CC222" t="s">
        <v>279</v>
      </c>
      <c r="CD222" s="5" t="s">
        <v>533</v>
      </c>
      <c r="CE222" t="s">
        <v>147</v>
      </c>
      <c r="CF222" s="3">
        <v>45874</v>
      </c>
      <c r="CI222">
        <v>1</v>
      </c>
      <c r="CJ222">
        <v>1</v>
      </c>
      <c r="CK222">
        <v>41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"080067001790"</f>
        <v>080067001790</v>
      </c>
      <c r="F223" s="3">
        <v>45873</v>
      </c>
      <c r="G223">
        <v>202605</v>
      </c>
      <c r="H223" t="s">
        <v>75</v>
      </c>
      <c r="I223" t="s">
        <v>76</v>
      </c>
      <c r="J223" t="s">
        <v>77</v>
      </c>
      <c r="K223" t="s">
        <v>78</v>
      </c>
      <c r="L223" t="s">
        <v>75</v>
      </c>
      <c r="M223" t="s">
        <v>76</v>
      </c>
      <c r="N223" t="s">
        <v>537</v>
      </c>
      <c r="O223" t="s">
        <v>113</v>
      </c>
      <c r="P223" t="str">
        <f>"4170052699                    "</f>
        <v xml:space="preserve">4170052699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21.62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6</v>
      </c>
      <c r="BJ223">
        <v>9.6</v>
      </c>
      <c r="BK223">
        <v>10</v>
      </c>
      <c r="BL223">
        <v>68.11</v>
      </c>
      <c r="BM223">
        <v>10.220000000000001</v>
      </c>
      <c r="BN223">
        <v>78.33</v>
      </c>
      <c r="BO223">
        <v>78.33</v>
      </c>
      <c r="BQ223" t="s">
        <v>538</v>
      </c>
      <c r="BR223" t="s">
        <v>84</v>
      </c>
      <c r="BS223" s="3">
        <v>45874</v>
      </c>
      <c r="BT223" s="4">
        <v>0.39930555555555558</v>
      </c>
      <c r="BU223" t="s">
        <v>738</v>
      </c>
      <c r="BV223" t="s">
        <v>86</v>
      </c>
      <c r="BY223">
        <v>47804</v>
      </c>
      <c r="CA223" t="s">
        <v>739</v>
      </c>
      <c r="CC223" t="s">
        <v>76</v>
      </c>
      <c r="CD223">
        <v>1619</v>
      </c>
      <c r="CE223" t="s">
        <v>117</v>
      </c>
      <c r="CF223" s="3">
        <v>45874</v>
      </c>
      <c r="CI223">
        <v>1</v>
      </c>
      <c r="CJ223">
        <v>1</v>
      </c>
      <c r="CK223">
        <v>32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"080066995274"</f>
        <v>080066995274</v>
      </c>
      <c r="F224" s="3">
        <v>45873</v>
      </c>
      <c r="G224">
        <v>202605</v>
      </c>
      <c r="H224" t="s">
        <v>75</v>
      </c>
      <c r="I224" t="s">
        <v>76</v>
      </c>
      <c r="J224" t="s">
        <v>77</v>
      </c>
      <c r="K224" t="s">
        <v>78</v>
      </c>
      <c r="L224" t="s">
        <v>75</v>
      </c>
      <c r="M224" t="s">
        <v>76</v>
      </c>
      <c r="N224" t="s">
        <v>740</v>
      </c>
      <c r="O224" t="s">
        <v>82</v>
      </c>
      <c r="P224" t="str">
        <f>"4170052526                    "</f>
        <v xml:space="preserve">4170052526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17.649999999999999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55.61</v>
      </c>
      <c r="BM224">
        <v>8.34</v>
      </c>
      <c r="BN224">
        <v>63.95</v>
      </c>
      <c r="BO224">
        <v>63.95</v>
      </c>
      <c r="BQ224" t="s">
        <v>741</v>
      </c>
      <c r="BR224" t="s">
        <v>84</v>
      </c>
      <c r="BS224" s="3">
        <v>45874</v>
      </c>
      <c r="BT224" s="4">
        <v>0.46041666666666664</v>
      </c>
      <c r="BU224" t="s">
        <v>742</v>
      </c>
      <c r="BV224" t="s">
        <v>90</v>
      </c>
      <c r="BW224" t="s">
        <v>380</v>
      </c>
      <c r="BX224" t="s">
        <v>743</v>
      </c>
      <c r="BY224">
        <v>1200</v>
      </c>
      <c r="CA224" t="s">
        <v>101</v>
      </c>
      <c r="CC224" t="s">
        <v>76</v>
      </c>
      <c r="CD224">
        <v>1600</v>
      </c>
      <c r="CE224" t="s">
        <v>109</v>
      </c>
      <c r="CF224" s="3">
        <v>45874</v>
      </c>
      <c r="CI224">
        <v>1</v>
      </c>
      <c r="CJ224">
        <v>1</v>
      </c>
      <c r="CK224">
        <v>22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"080066991998"</f>
        <v>080066991998</v>
      </c>
      <c r="F225" s="3">
        <v>45873</v>
      </c>
      <c r="G225">
        <v>202605</v>
      </c>
      <c r="H225" t="s">
        <v>75</v>
      </c>
      <c r="I225" t="s">
        <v>76</v>
      </c>
      <c r="J225" t="s">
        <v>77</v>
      </c>
      <c r="K225" t="s">
        <v>78</v>
      </c>
      <c r="L225" t="s">
        <v>198</v>
      </c>
      <c r="M225" t="s">
        <v>199</v>
      </c>
      <c r="N225" t="s">
        <v>744</v>
      </c>
      <c r="O225" t="s">
        <v>82</v>
      </c>
      <c r="P225" t="str">
        <f>"4170052555                    "</f>
        <v xml:space="preserve">4170052555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22.6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1.9</v>
      </c>
      <c r="BJ225">
        <v>0.9</v>
      </c>
      <c r="BK225">
        <v>2</v>
      </c>
      <c r="BL225">
        <v>71.2</v>
      </c>
      <c r="BM225">
        <v>10.68</v>
      </c>
      <c r="BN225">
        <v>81.88</v>
      </c>
      <c r="BO225">
        <v>81.88</v>
      </c>
      <c r="BQ225" t="s">
        <v>745</v>
      </c>
      <c r="BR225" t="s">
        <v>84</v>
      </c>
      <c r="BS225" s="3">
        <v>45874</v>
      </c>
      <c r="BT225" s="4">
        <v>0.83333333333333337</v>
      </c>
      <c r="BU225" t="s">
        <v>746</v>
      </c>
      <c r="BV225" t="s">
        <v>90</v>
      </c>
      <c r="BW225" t="s">
        <v>134</v>
      </c>
      <c r="BX225" t="s">
        <v>747</v>
      </c>
      <c r="BY225">
        <v>4512.78</v>
      </c>
      <c r="CA225" t="s">
        <v>748</v>
      </c>
      <c r="CC225" t="s">
        <v>199</v>
      </c>
      <c r="CD225">
        <v>6100</v>
      </c>
      <c r="CE225" t="s">
        <v>147</v>
      </c>
      <c r="CF225" s="3">
        <v>45874</v>
      </c>
      <c r="CI225">
        <v>1</v>
      </c>
      <c r="CJ225">
        <v>1</v>
      </c>
      <c r="CK225">
        <v>21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"080067004516"</f>
        <v>080067004516</v>
      </c>
      <c r="F226" s="3">
        <v>45873</v>
      </c>
      <c r="G226">
        <v>202605</v>
      </c>
      <c r="H226" t="s">
        <v>75</v>
      </c>
      <c r="I226" t="s">
        <v>76</v>
      </c>
      <c r="J226" t="s">
        <v>77</v>
      </c>
      <c r="K226" t="s">
        <v>78</v>
      </c>
      <c r="L226" t="s">
        <v>278</v>
      </c>
      <c r="M226" t="s">
        <v>279</v>
      </c>
      <c r="N226" t="s">
        <v>749</v>
      </c>
      <c r="O226" t="s">
        <v>95</v>
      </c>
      <c r="P226" t="str">
        <f>"4170052741                    "</f>
        <v xml:space="preserve">4170052741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52.72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20</v>
      </c>
      <c r="BJ226">
        <v>9.1999999999999993</v>
      </c>
      <c r="BK226">
        <v>20</v>
      </c>
      <c r="BL226">
        <v>171.97</v>
      </c>
      <c r="BM226">
        <v>25.8</v>
      </c>
      <c r="BN226">
        <v>197.77</v>
      </c>
      <c r="BO226">
        <v>197.77</v>
      </c>
      <c r="BQ226" t="s">
        <v>750</v>
      </c>
      <c r="BR226" t="s">
        <v>84</v>
      </c>
      <c r="BS226" s="3">
        <v>45874</v>
      </c>
      <c r="BT226" s="4">
        <v>0.35902777777777778</v>
      </c>
      <c r="BU226" t="s">
        <v>751</v>
      </c>
      <c r="BV226" t="s">
        <v>86</v>
      </c>
      <c r="BY226">
        <v>46020</v>
      </c>
      <c r="CA226" t="s">
        <v>752</v>
      </c>
      <c r="CC226" t="s">
        <v>279</v>
      </c>
      <c r="CD226" s="5" t="s">
        <v>753</v>
      </c>
      <c r="CE226" t="s">
        <v>147</v>
      </c>
      <c r="CF226" s="3">
        <v>45883</v>
      </c>
      <c r="CI226">
        <v>1</v>
      </c>
      <c r="CJ226">
        <v>1</v>
      </c>
      <c r="CK226">
        <v>41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"080066995548"</f>
        <v>080066995548</v>
      </c>
      <c r="F227" s="3">
        <v>45873</v>
      </c>
      <c r="G227">
        <v>202605</v>
      </c>
      <c r="H227" t="s">
        <v>75</v>
      </c>
      <c r="I227" t="s">
        <v>76</v>
      </c>
      <c r="J227" t="s">
        <v>77</v>
      </c>
      <c r="K227" t="s">
        <v>78</v>
      </c>
      <c r="L227" t="s">
        <v>325</v>
      </c>
      <c r="M227" t="s">
        <v>326</v>
      </c>
      <c r="N227" t="s">
        <v>754</v>
      </c>
      <c r="O227" t="s">
        <v>82</v>
      </c>
      <c r="P227" t="str">
        <f>"4170052609                    "</f>
        <v xml:space="preserve">4170052609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17.649999999999999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55.61</v>
      </c>
      <c r="BM227">
        <v>8.34</v>
      </c>
      <c r="BN227">
        <v>63.95</v>
      </c>
      <c r="BO227">
        <v>63.95</v>
      </c>
      <c r="BQ227" t="s">
        <v>755</v>
      </c>
      <c r="BR227" t="s">
        <v>84</v>
      </c>
      <c r="BS227" s="3">
        <v>45874</v>
      </c>
      <c r="BT227" s="4">
        <v>0.3659722222222222</v>
      </c>
      <c r="BU227" t="s">
        <v>756</v>
      </c>
      <c r="BV227" t="s">
        <v>86</v>
      </c>
      <c r="BY227">
        <v>1200</v>
      </c>
      <c r="CA227" t="s">
        <v>461</v>
      </c>
      <c r="CC227" t="s">
        <v>326</v>
      </c>
      <c r="CD227">
        <v>2094</v>
      </c>
      <c r="CE227" t="s">
        <v>109</v>
      </c>
      <c r="CF227" s="3">
        <v>45874</v>
      </c>
      <c r="CI227">
        <v>1</v>
      </c>
      <c r="CJ227">
        <v>1</v>
      </c>
      <c r="CK227">
        <v>22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"080011584692"</f>
        <v>080011584692</v>
      </c>
      <c r="F228" s="3">
        <v>45873</v>
      </c>
      <c r="G228">
        <v>202605</v>
      </c>
      <c r="H228" t="s">
        <v>118</v>
      </c>
      <c r="I228" t="s">
        <v>118</v>
      </c>
      <c r="J228" t="s">
        <v>757</v>
      </c>
      <c r="K228" t="s">
        <v>78</v>
      </c>
      <c r="L228" t="s">
        <v>75</v>
      </c>
      <c r="M228" t="s">
        <v>76</v>
      </c>
      <c r="N228" t="s">
        <v>94</v>
      </c>
      <c r="O228" t="s">
        <v>95</v>
      </c>
      <c r="P228" t="str">
        <f>"ZA1001401817                  "</f>
        <v xml:space="preserve">ZA1001401817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61.64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0.6</v>
      </c>
      <c r="BJ228">
        <v>1</v>
      </c>
      <c r="BK228">
        <v>1</v>
      </c>
      <c r="BL228">
        <v>200.06</v>
      </c>
      <c r="BM228">
        <v>30.01</v>
      </c>
      <c r="BN228">
        <v>230.07</v>
      </c>
      <c r="BO228">
        <v>230.07</v>
      </c>
      <c r="BP228" t="s">
        <v>96</v>
      </c>
      <c r="BQ228" t="s">
        <v>97</v>
      </c>
      <c r="BR228" t="s">
        <v>758</v>
      </c>
      <c r="BS228" s="3">
        <v>45876</v>
      </c>
      <c r="BT228" s="4">
        <v>0.59791666666666665</v>
      </c>
      <c r="BU228" t="s">
        <v>759</v>
      </c>
      <c r="BV228" t="s">
        <v>86</v>
      </c>
      <c r="BY228">
        <v>4795.68</v>
      </c>
      <c r="BZ228" t="s">
        <v>100</v>
      </c>
      <c r="CA228" t="s">
        <v>760</v>
      </c>
      <c r="CC228" t="s">
        <v>76</v>
      </c>
      <c r="CD228">
        <v>1619</v>
      </c>
      <c r="CE228" t="s">
        <v>102</v>
      </c>
      <c r="CF228" s="3">
        <v>45876</v>
      </c>
      <c r="CI228">
        <v>3</v>
      </c>
      <c r="CJ228">
        <v>2</v>
      </c>
      <c r="CK228">
        <v>43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"080067004225"</f>
        <v>080067004225</v>
      </c>
      <c r="F229" s="3">
        <v>45873</v>
      </c>
      <c r="G229">
        <v>202605</v>
      </c>
      <c r="H229" t="s">
        <v>75</v>
      </c>
      <c r="I229" t="s">
        <v>76</v>
      </c>
      <c r="J229" t="s">
        <v>77</v>
      </c>
      <c r="K229" t="s">
        <v>78</v>
      </c>
      <c r="L229" t="s">
        <v>75</v>
      </c>
      <c r="M229" t="s">
        <v>76</v>
      </c>
      <c r="N229" t="s">
        <v>761</v>
      </c>
      <c r="O229" t="s">
        <v>113</v>
      </c>
      <c r="P229" t="str">
        <f>"4170052726                    "</f>
        <v xml:space="preserve">4170052726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17.66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3</v>
      </c>
      <c r="BJ229">
        <v>6.3</v>
      </c>
      <c r="BK229">
        <v>7</v>
      </c>
      <c r="BL229">
        <v>55.63</v>
      </c>
      <c r="BM229">
        <v>8.34</v>
      </c>
      <c r="BN229">
        <v>63.97</v>
      </c>
      <c r="BO229">
        <v>63.97</v>
      </c>
      <c r="BQ229" t="s">
        <v>762</v>
      </c>
      <c r="BR229" t="s">
        <v>84</v>
      </c>
      <c r="BS229" s="3">
        <v>45874</v>
      </c>
      <c r="BT229" s="4">
        <v>0.40625</v>
      </c>
      <c r="BU229" t="s">
        <v>763</v>
      </c>
      <c r="BV229" t="s">
        <v>86</v>
      </c>
      <c r="BY229">
        <v>31500</v>
      </c>
      <c r="CA229" t="s">
        <v>155</v>
      </c>
      <c r="CC229" t="s">
        <v>76</v>
      </c>
      <c r="CD229">
        <v>1618</v>
      </c>
      <c r="CE229" t="s">
        <v>147</v>
      </c>
      <c r="CF229" s="3">
        <v>45875</v>
      </c>
      <c r="CI229">
        <v>1</v>
      </c>
      <c r="CJ229">
        <v>1</v>
      </c>
      <c r="CK229">
        <v>32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"080066993256"</f>
        <v>080066993256</v>
      </c>
      <c r="F230" s="3">
        <v>45873</v>
      </c>
      <c r="G230">
        <v>202605</v>
      </c>
      <c r="H230" t="s">
        <v>75</v>
      </c>
      <c r="I230" t="s">
        <v>76</v>
      </c>
      <c r="J230" t="s">
        <v>77</v>
      </c>
      <c r="K230" t="s">
        <v>78</v>
      </c>
      <c r="L230" t="s">
        <v>162</v>
      </c>
      <c r="M230" t="s">
        <v>163</v>
      </c>
      <c r="N230" t="s">
        <v>764</v>
      </c>
      <c r="O230" t="s">
        <v>82</v>
      </c>
      <c r="P230" t="str">
        <f>"4170052532                    "</f>
        <v xml:space="preserve">4170052532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22.6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16.739999999999998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87.94</v>
      </c>
      <c r="BM230">
        <v>13.19</v>
      </c>
      <c r="BN230">
        <v>101.13</v>
      </c>
      <c r="BO230">
        <v>101.13</v>
      </c>
      <c r="BQ230" t="s">
        <v>765</v>
      </c>
      <c r="BR230" t="s">
        <v>84</v>
      </c>
      <c r="BS230" s="3">
        <v>45874</v>
      </c>
      <c r="BT230" s="4">
        <v>0.41666666666666669</v>
      </c>
      <c r="BU230" t="s">
        <v>766</v>
      </c>
      <c r="BV230" t="s">
        <v>86</v>
      </c>
      <c r="BY230">
        <v>1200</v>
      </c>
      <c r="BZ230" t="s">
        <v>30</v>
      </c>
      <c r="CA230" t="s">
        <v>593</v>
      </c>
      <c r="CC230" t="s">
        <v>163</v>
      </c>
      <c r="CD230">
        <v>3699</v>
      </c>
      <c r="CE230" t="s">
        <v>109</v>
      </c>
      <c r="CF230" s="3">
        <v>45874</v>
      </c>
      <c r="CI230">
        <v>1</v>
      </c>
      <c r="CJ230">
        <v>1</v>
      </c>
      <c r="CK230">
        <v>21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"080066996173"</f>
        <v>080066996173</v>
      </c>
      <c r="F231" s="3">
        <v>45873</v>
      </c>
      <c r="G231">
        <v>202605</v>
      </c>
      <c r="H231" t="s">
        <v>75</v>
      </c>
      <c r="I231" t="s">
        <v>76</v>
      </c>
      <c r="J231" t="s">
        <v>77</v>
      </c>
      <c r="K231" t="s">
        <v>78</v>
      </c>
      <c r="L231" t="s">
        <v>217</v>
      </c>
      <c r="M231" t="s">
        <v>218</v>
      </c>
      <c r="N231" t="s">
        <v>767</v>
      </c>
      <c r="O231" t="s">
        <v>82</v>
      </c>
      <c r="P231" t="str">
        <f>"4170052644                    "</f>
        <v xml:space="preserve">4170052644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45.18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</v>
      </c>
      <c r="BJ231">
        <v>3.6</v>
      </c>
      <c r="BK231">
        <v>4</v>
      </c>
      <c r="BL231">
        <v>142.34</v>
      </c>
      <c r="BM231">
        <v>21.35</v>
      </c>
      <c r="BN231">
        <v>163.69</v>
      </c>
      <c r="BO231">
        <v>163.69</v>
      </c>
      <c r="BQ231" t="s">
        <v>768</v>
      </c>
      <c r="BR231" t="s">
        <v>84</v>
      </c>
      <c r="BS231" s="3">
        <v>45875</v>
      </c>
      <c r="BT231" s="4">
        <v>0.44791666666666669</v>
      </c>
      <c r="BU231" t="s">
        <v>769</v>
      </c>
      <c r="BV231" t="s">
        <v>90</v>
      </c>
      <c r="BW231" t="s">
        <v>134</v>
      </c>
      <c r="BX231" t="s">
        <v>135</v>
      </c>
      <c r="BY231">
        <v>18000</v>
      </c>
      <c r="CA231" t="s">
        <v>136</v>
      </c>
      <c r="CC231" t="s">
        <v>218</v>
      </c>
      <c r="CD231">
        <v>4052</v>
      </c>
      <c r="CE231" t="s">
        <v>117</v>
      </c>
      <c r="CF231" s="3">
        <v>45876</v>
      </c>
      <c r="CI231">
        <v>1</v>
      </c>
      <c r="CJ231">
        <v>2</v>
      </c>
      <c r="CK231">
        <v>21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"080066994621"</f>
        <v>080066994621</v>
      </c>
      <c r="F232" s="3">
        <v>45873</v>
      </c>
      <c r="G232">
        <v>202605</v>
      </c>
      <c r="H232" t="s">
        <v>75</v>
      </c>
      <c r="I232" t="s">
        <v>76</v>
      </c>
      <c r="J232" t="s">
        <v>77</v>
      </c>
      <c r="K232" t="s">
        <v>78</v>
      </c>
      <c r="L232" t="s">
        <v>110</v>
      </c>
      <c r="M232" t="s">
        <v>111</v>
      </c>
      <c r="N232" t="s">
        <v>770</v>
      </c>
      <c r="O232" t="s">
        <v>82</v>
      </c>
      <c r="P232" t="str">
        <f>"4170052549                    "</f>
        <v xml:space="preserve">4170052549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17.649999999999999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55.61</v>
      </c>
      <c r="BM232">
        <v>8.34</v>
      </c>
      <c r="BN232">
        <v>63.95</v>
      </c>
      <c r="BO232">
        <v>63.95</v>
      </c>
      <c r="BQ232" t="s">
        <v>771</v>
      </c>
      <c r="BR232" t="s">
        <v>84</v>
      </c>
      <c r="BS232" s="3">
        <v>45874</v>
      </c>
      <c r="BT232" s="4">
        <v>0.41666666666666669</v>
      </c>
      <c r="BU232" t="s">
        <v>772</v>
      </c>
      <c r="BV232" t="s">
        <v>86</v>
      </c>
      <c r="BY232">
        <v>1200</v>
      </c>
      <c r="BZ232" t="s">
        <v>330</v>
      </c>
      <c r="CC232" t="s">
        <v>111</v>
      </c>
      <c r="CD232">
        <v>2163</v>
      </c>
      <c r="CE232" t="s">
        <v>597</v>
      </c>
      <c r="CF232" s="3">
        <v>45875</v>
      </c>
      <c r="CI232">
        <v>1</v>
      </c>
      <c r="CJ232">
        <v>1</v>
      </c>
      <c r="CK232">
        <v>22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"080066990027"</f>
        <v>080066990027</v>
      </c>
      <c r="F233" s="3">
        <v>45873</v>
      </c>
      <c r="G233">
        <v>202605</v>
      </c>
      <c r="H233" t="s">
        <v>75</v>
      </c>
      <c r="I233" t="s">
        <v>76</v>
      </c>
      <c r="J233" t="s">
        <v>77</v>
      </c>
      <c r="K233" t="s">
        <v>78</v>
      </c>
      <c r="L233" t="s">
        <v>123</v>
      </c>
      <c r="M233" t="s">
        <v>124</v>
      </c>
      <c r="N233" t="s">
        <v>406</v>
      </c>
      <c r="O233" t="s">
        <v>82</v>
      </c>
      <c r="P233" t="str">
        <f>"4170052600                    "</f>
        <v xml:space="preserve">4170052600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22.6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71.2</v>
      </c>
      <c r="BM233">
        <v>10.68</v>
      </c>
      <c r="BN233">
        <v>81.88</v>
      </c>
      <c r="BO233">
        <v>81.88</v>
      </c>
      <c r="BQ233" t="s">
        <v>407</v>
      </c>
      <c r="BR233" t="s">
        <v>84</v>
      </c>
      <c r="BS233" s="3">
        <v>45875</v>
      </c>
      <c r="BT233" s="4">
        <v>0.38263888888888886</v>
      </c>
      <c r="BU233" t="s">
        <v>408</v>
      </c>
      <c r="BV233" t="s">
        <v>90</v>
      </c>
      <c r="BW233" t="s">
        <v>773</v>
      </c>
      <c r="BX233" t="s">
        <v>381</v>
      </c>
      <c r="BY233">
        <v>1200</v>
      </c>
      <c r="BZ233" t="s">
        <v>330</v>
      </c>
      <c r="CA233" t="s">
        <v>192</v>
      </c>
      <c r="CC233" t="s">
        <v>124</v>
      </c>
      <c r="CD233">
        <v>7441</v>
      </c>
      <c r="CE233" t="s">
        <v>597</v>
      </c>
      <c r="CF233" s="3">
        <v>45876</v>
      </c>
      <c r="CI233">
        <v>1</v>
      </c>
      <c r="CJ233">
        <v>2</v>
      </c>
      <c r="CK233">
        <v>21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"080067004295"</f>
        <v>080067004295</v>
      </c>
      <c r="F234" s="3">
        <v>45873</v>
      </c>
      <c r="G234">
        <v>202605</v>
      </c>
      <c r="H234" t="s">
        <v>75</v>
      </c>
      <c r="I234" t="s">
        <v>76</v>
      </c>
      <c r="J234" t="s">
        <v>77</v>
      </c>
      <c r="K234" t="s">
        <v>78</v>
      </c>
      <c r="L234" t="s">
        <v>75</v>
      </c>
      <c r="M234" t="s">
        <v>76</v>
      </c>
      <c r="N234" t="s">
        <v>774</v>
      </c>
      <c r="O234" t="s">
        <v>82</v>
      </c>
      <c r="P234" t="str">
        <f>"4170051384                    "</f>
        <v xml:space="preserve">4170051384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17.649999999999999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1.5</v>
      </c>
      <c r="BK234">
        <v>2</v>
      </c>
      <c r="BL234">
        <v>55.61</v>
      </c>
      <c r="BM234">
        <v>8.34</v>
      </c>
      <c r="BN234">
        <v>63.95</v>
      </c>
      <c r="BO234">
        <v>63.95</v>
      </c>
      <c r="BQ234" t="s">
        <v>775</v>
      </c>
      <c r="BR234" t="s">
        <v>84</v>
      </c>
      <c r="BS234" s="3">
        <v>45876</v>
      </c>
      <c r="BT234" s="4">
        <v>0.57152777777777775</v>
      </c>
      <c r="BU234" t="s">
        <v>176</v>
      </c>
      <c r="BV234" t="s">
        <v>90</v>
      </c>
      <c r="BY234">
        <v>7448</v>
      </c>
      <c r="CA234" t="s">
        <v>177</v>
      </c>
      <c r="CC234" t="s">
        <v>76</v>
      </c>
      <c r="CD234">
        <v>1619</v>
      </c>
      <c r="CE234" t="s">
        <v>117</v>
      </c>
      <c r="CI234">
        <v>1</v>
      </c>
      <c r="CJ234">
        <v>3</v>
      </c>
      <c r="CK234">
        <v>22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"080067003641"</f>
        <v>080067003641</v>
      </c>
      <c r="F235" s="3">
        <v>45873</v>
      </c>
      <c r="G235">
        <v>202605</v>
      </c>
      <c r="H235" t="s">
        <v>75</v>
      </c>
      <c r="I235" t="s">
        <v>76</v>
      </c>
      <c r="J235" t="s">
        <v>77</v>
      </c>
      <c r="K235" t="s">
        <v>78</v>
      </c>
      <c r="L235" t="s">
        <v>217</v>
      </c>
      <c r="M235" t="s">
        <v>218</v>
      </c>
      <c r="N235" t="s">
        <v>219</v>
      </c>
      <c r="O235" t="s">
        <v>82</v>
      </c>
      <c r="P235" t="str">
        <f>"4170052704                    "</f>
        <v xml:space="preserve">4170052704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56.47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5</v>
      </c>
      <c r="BJ235">
        <v>4.0999999999999996</v>
      </c>
      <c r="BK235">
        <v>5</v>
      </c>
      <c r="BL235">
        <v>177.91</v>
      </c>
      <c r="BM235">
        <v>26.69</v>
      </c>
      <c r="BN235">
        <v>204.6</v>
      </c>
      <c r="BO235">
        <v>204.6</v>
      </c>
      <c r="BQ235" t="s">
        <v>220</v>
      </c>
      <c r="BR235" t="s">
        <v>84</v>
      </c>
      <c r="BS235" s="3">
        <v>45874</v>
      </c>
      <c r="BT235" s="4">
        <v>0.50555555555555554</v>
      </c>
      <c r="BU235" t="s">
        <v>776</v>
      </c>
      <c r="BV235" t="s">
        <v>90</v>
      </c>
      <c r="BY235">
        <v>20358</v>
      </c>
      <c r="CA235" t="s">
        <v>777</v>
      </c>
      <c r="CC235" t="s">
        <v>218</v>
      </c>
      <c r="CD235">
        <v>4000</v>
      </c>
      <c r="CE235" t="s">
        <v>147</v>
      </c>
      <c r="CF235" s="3">
        <v>45875</v>
      </c>
      <c r="CI235">
        <v>1</v>
      </c>
      <c r="CJ235">
        <v>1</v>
      </c>
      <c r="CK235">
        <v>21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"080067003638"</f>
        <v>080067003638</v>
      </c>
      <c r="F236" s="3">
        <v>45873</v>
      </c>
      <c r="G236">
        <v>202605</v>
      </c>
      <c r="H236" t="s">
        <v>75</v>
      </c>
      <c r="I236" t="s">
        <v>76</v>
      </c>
      <c r="J236" t="s">
        <v>77</v>
      </c>
      <c r="K236" t="s">
        <v>78</v>
      </c>
      <c r="L236" t="s">
        <v>79</v>
      </c>
      <c r="M236" t="s">
        <v>80</v>
      </c>
      <c r="N236" t="s">
        <v>778</v>
      </c>
      <c r="O236" t="s">
        <v>113</v>
      </c>
      <c r="P236" t="str">
        <f>"4170052706                    "</f>
        <v xml:space="preserve">4170052706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17.66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6</v>
      </c>
      <c r="BJ236">
        <v>7.7</v>
      </c>
      <c r="BK236">
        <v>8</v>
      </c>
      <c r="BL236">
        <v>55.63</v>
      </c>
      <c r="BM236">
        <v>8.34</v>
      </c>
      <c r="BN236">
        <v>63.97</v>
      </c>
      <c r="BO236">
        <v>63.97</v>
      </c>
      <c r="BQ236" t="s">
        <v>779</v>
      </c>
      <c r="BR236" t="s">
        <v>84</v>
      </c>
      <c r="BS236" s="3">
        <v>45874</v>
      </c>
      <c r="BT236" s="4">
        <v>0.3972222222222222</v>
      </c>
      <c r="BU236" t="s">
        <v>780</v>
      </c>
      <c r="BV236" t="s">
        <v>86</v>
      </c>
      <c r="BY236">
        <v>38454</v>
      </c>
      <c r="CA236" t="s">
        <v>188</v>
      </c>
      <c r="CC236" t="s">
        <v>80</v>
      </c>
      <c r="CD236">
        <v>1401</v>
      </c>
      <c r="CE236" t="s">
        <v>147</v>
      </c>
      <c r="CF236" s="3">
        <v>45874</v>
      </c>
      <c r="CI236">
        <v>1</v>
      </c>
      <c r="CJ236">
        <v>1</v>
      </c>
      <c r="CK236">
        <v>32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"080066995033"</f>
        <v>080066995033</v>
      </c>
      <c r="F237" s="3">
        <v>45873</v>
      </c>
      <c r="G237">
        <v>202605</v>
      </c>
      <c r="H237" t="s">
        <v>75</v>
      </c>
      <c r="I237" t="s">
        <v>76</v>
      </c>
      <c r="J237" t="s">
        <v>77</v>
      </c>
      <c r="K237" t="s">
        <v>78</v>
      </c>
      <c r="L237" t="s">
        <v>137</v>
      </c>
      <c r="M237" t="s">
        <v>138</v>
      </c>
      <c r="N237" t="s">
        <v>781</v>
      </c>
      <c r="O237" t="s">
        <v>82</v>
      </c>
      <c r="P237" t="str">
        <f>"4170052633                    "</f>
        <v xml:space="preserve">4170052633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22.6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1.1000000000000001</v>
      </c>
      <c r="BK237">
        <v>1.5</v>
      </c>
      <c r="BL237">
        <v>71.2</v>
      </c>
      <c r="BM237">
        <v>10.68</v>
      </c>
      <c r="BN237">
        <v>81.88</v>
      </c>
      <c r="BO237">
        <v>81.88</v>
      </c>
      <c r="BQ237" t="s">
        <v>782</v>
      </c>
      <c r="BR237" t="s">
        <v>84</v>
      </c>
      <c r="BS237" s="3">
        <v>45874</v>
      </c>
      <c r="BT237" s="4">
        <v>0.62847222222222221</v>
      </c>
      <c r="BU237" t="s">
        <v>783</v>
      </c>
      <c r="BV237" t="s">
        <v>90</v>
      </c>
      <c r="BW237" t="s">
        <v>134</v>
      </c>
      <c r="BX237" t="s">
        <v>641</v>
      </c>
      <c r="BY237">
        <v>5320</v>
      </c>
      <c r="CA237" t="s">
        <v>142</v>
      </c>
      <c r="CC237" t="s">
        <v>138</v>
      </c>
      <c r="CD237">
        <v>3610</v>
      </c>
      <c r="CE237" t="s">
        <v>147</v>
      </c>
      <c r="CF237" s="3">
        <v>45874</v>
      </c>
      <c r="CI237">
        <v>1</v>
      </c>
      <c r="CJ237">
        <v>1</v>
      </c>
      <c r="CK237">
        <v>21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"080066995517"</f>
        <v>080066995517</v>
      </c>
      <c r="F238" s="3">
        <v>45873</v>
      </c>
      <c r="G238">
        <v>202605</v>
      </c>
      <c r="H238" t="s">
        <v>75</v>
      </c>
      <c r="I238" t="s">
        <v>76</v>
      </c>
      <c r="J238" t="s">
        <v>77</v>
      </c>
      <c r="K238" t="s">
        <v>78</v>
      </c>
      <c r="L238" t="s">
        <v>123</v>
      </c>
      <c r="M238" t="s">
        <v>124</v>
      </c>
      <c r="N238" t="s">
        <v>784</v>
      </c>
      <c r="O238" t="s">
        <v>82</v>
      </c>
      <c r="P238" t="str">
        <f>"4170052581                    "</f>
        <v xml:space="preserve">4170052581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33.89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</v>
      </c>
      <c r="BJ238">
        <v>2.9</v>
      </c>
      <c r="BK238">
        <v>3</v>
      </c>
      <c r="BL238">
        <v>106.77</v>
      </c>
      <c r="BM238">
        <v>16.02</v>
      </c>
      <c r="BN238">
        <v>122.79</v>
      </c>
      <c r="BO238">
        <v>122.79</v>
      </c>
      <c r="BQ238" t="s">
        <v>785</v>
      </c>
      <c r="BR238" t="s">
        <v>84</v>
      </c>
      <c r="BS238" s="3">
        <v>45874</v>
      </c>
      <c r="BT238" s="4">
        <v>0.4152777777777778</v>
      </c>
      <c r="BU238" t="s">
        <v>786</v>
      </c>
      <c r="BV238" t="s">
        <v>86</v>
      </c>
      <c r="BY238">
        <v>14688</v>
      </c>
      <c r="CA238" t="s">
        <v>489</v>
      </c>
      <c r="CC238" t="s">
        <v>124</v>
      </c>
      <c r="CD238">
        <v>7780</v>
      </c>
      <c r="CE238" t="s">
        <v>117</v>
      </c>
      <c r="CF238" s="3">
        <v>45875</v>
      </c>
      <c r="CI238">
        <v>1</v>
      </c>
      <c r="CJ238">
        <v>1</v>
      </c>
      <c r="CK238">
        <v>21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"080066997419"</f>
        <v>080066997419</v>
      </c>
      <c r="F239" s="3">
        <v>45873</v>
      </c>
      <c r="G239">
        <v>202605</v>
      </c>
      <c r="H239" t="s">
        <v>75</v>
      </c>
      <c r="I239" t="s">
        <v>76</v>
      </c>
      <c r="J239" t="s">
        <v>77</v>
      </c>
      <c r="K239" t="s">
        <v>78</v>
      </c>
      <c r="L239" t="s">
        <v>217</v>
      </c>
      <c r="M239" t="s">
        <v>218</v>
      </c>
      <c r="N239" t="s">
        <v>219</v>
      </c>
      <c r="O239" t="s">
        <v>82</v>
      </c>
      <c r="P239" t="str">
        <f>"4170052675                    "</f>
        <v xml:space="preserve">4170052675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22.6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71.2</v>
      </c>
      <c r="BM239">
        <v>10.68</v>
      </c>
      <c r="BN239">
        <v>81.88</v>
      </c>
      <c r="BO239">
        <v>81.88</v>
      </c>
      <c r="BQ239" t="s">
        <v>220</v>
      </c>
      <c r="BR239" t="s">
        <v>84</v>
      </c>
      <c r="BS239" s="3">
        <v>45874</v>
      </c>
      <c r="BT239" s="4">
        <v>0.43125000000000002</v>
      </c>
      <c r="BU239" t="s">
        <v>221</v>
      </c>
      <c r="BV239" t="s">
        <v>86</v>
      </c>
      <c r="BY239">
        <v>1200</v>
      </c>
      <c r="CA239" t="s">
        <v>566</v>
      </c>
      <c r="CC239" t="s">
        <v>218</v>
      </c>
      <c r="CD239">
        <v>4000</v>
      </c>
      <c r="CE239" t="s">
        <v>109</v>
      </c>
      <c r="CF239" s="3">
        <v>45874</v>
      </c>
      <c r="CI239">
        <v>1</v>
      </c>
      <c r="CJ239">
        <v>1</v>
      </c>
      <c r="CK239">
        <v>21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"080067004258"</f>
        <v>080067004258</v>
      </c>
      <c r="F240" s="3">
        <v>45873</v>
      </c>
      <c r="G240">
        <v>202605</v>
      </c>
      <c r="H240" t="s">
        <v>75</v>
      </c>
      <c r="I240" t="s">
        <v>76</v>
      </c>
      <c r="J240" t="s">
        <v>77</v>
      </c>
      <c r="K240" t="s">
        <v>78</v>
      </c>
      <c r="L240" t="s">
        <v>217</v>
      </c>
      <c r="M240" t="s">
        <v>218</v>
      </c>
      <c r="N240" t="s">
        <v>249</v>
      </c>
      <c r="O240" t="s">
        <v>82</v>
      </c>
      <c r="P240" t="str">
        <f>"4170052718                    "</f>
        <v xml:space="preserve">4170052718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45.18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3.7</v>
      </c>
      <c r="BK240">
        <v>4</v>
      </c>
      <c r="BL240">
        <v>142.34</v>
      </c>
      <c r="BM240">
        <v>21.35</v>
      </c>
      <c r="BN240">
        <v>163.69</v>
      </c>
      <c r="BO240">
        <v>163.69</v>
      </c>
      <c r="BQ240" t="s">
        <v>250</v>
      </c>
      <c r="BR240" t="s">
        <v>84</v>
      </c>
      <c r="BS240" s="3">
        <v>45875</v>
      </c>
      <c r="BT240" s="4">
        <v>0.77500000000000002</v>
      </c>
      <c r="BU240" t="s">
        <v>787</v>
      </c>
      <c r="BV240" t="s">
        <v>90</v>
      </c>
      <c r="BW240" t="s">
        <v>134</v>
      </c>
      <c r="BX240" t="s">
        <v>135</v>
      </c>
      <c r="BY240">
        <v>18304</v>
      </c>
      <c r="CA240" t="s">
        <v>136</v>
      </c>
      <c r="CC240" t="s">
        <v>218</v>
      </c>
      <c r="CD240">
        <v>4052</v>
      </c>
      <c r="CE240" t="s">
        <v>147</v>
      </c>
      <c r="CF240" s="3">
        <v>45875</v>
      </c>
      <c r="CI240">
        <v>1</v>
      </c>
      <c r="CJ240">
        <v>2</v>
      </c>
      <c r="CK240">
        <v>21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"080066999676"</f>
        <v>080066999676</v>
      </c>
      <c r="F241" s="3">
        <v>45873</v>
      </c>
      <c r="G241">
        <v>202605</v>
      </c>
      <c r="H241" t="s">
        <v>75</v>
      </c>
      <c r="I241" t="s">
        <v>76</v>
      </c>
      <c r="J241" t="s">
        <v>77</v>
      </c>
      <c r="K241" t="s">
        <v>78</v>
      </c>
      <c r="L241" t="s">
        <v>278</v>
      </c>
      <c r="M241" t="s">
        <v>279</v>
      </c>
      <c r="N241" t="s">
        <v>131</v>
      </c>
      <c r="O241" t="s">
        <v>82</v>
      </c>
      <c r="P241" t="str">
        <f>"4170052693                    "</f>
        <v xml:space="preserve">4170052693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22.6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71.2</v>
      </c>
      <c r="BM241">
        <v>10.68</v>
      </c>
      <c r="BN241">
        <v>81.88</v>
      </c>
      <c r="BO241">
        <v>81.88</v>
      </c>
      <c r="BQ241" t="s">
        <v>132</v>
      </c>
      <c r="BR241" t="s">
        <v>84</v>
      </c>
      <c r="BS241" s="3">
        <v>45874</v>
      </c>
      <c r="BT241" s="4">
        <v>0.4236111111111111</v>
      </c>
      <c r="BU241" t="s">
        <v>531</v>
      </c>
      <c r="BV241" t="s">
        <v>86</v>
      </c>
      <c r="BY241">
        <v>1200</v>
      </c>
      <c r="CA241" t="s">
        <v>532</v>
      </c>
      <c r="CC241" t="s">
        <v>279</v>
      </c>
      <c r="CD241" s="5" t="s">
        <v>533</v>
      </c>
      <c r="CE241" t="s">
        <v>109</v>
      </c>
      <c r="CF241" s="3">
        <v>45874</v>
      </c>
      <c r="CI241">
        <v>1</v>
      </c>
      <c r="CJ241">
        <v>1</v>
      </c>
      <c r="CK241">
        <v>21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"080066995397"</f>
        <v>080066995397</v>
      </c>
      <c r="F242" s="3">
        <v>45873</v>
      </c>
      <c r="G242">
        <v>202605</v>
      </c>
      <c r="H242" t="s">
        <v>75</v>
      </c>
      <c r="I242" t="s">
        <v>76</v>
      </c>
      <c r="J242" t="s">
        <v>77</v>
      </c>
      <c r="K242" t="s">
        <v>78</v>
      </c>
      <c r="L242" t="s">
        <v>198</v>
      </c>
      <c r="M242" t="s">
        <v>199</v>
      </c>
      <c r="N242" t="s">
        <v>680</v>
      </c>
      <c r="O242" t="s">
        <v>82</v>
      </c>
      <c r="P242" t="str">
        <f>"4170052569                    "</f>
        <v xml:space="preserve">4170052569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56.47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4.8</v>
      </c>
      <c r="BJ242">
        <v>1</v>
      </c>
      <c r="BK242">
        <v>5</v>
      </c>
      <c r="BL242">
        <v>177.91</v>
      </c>
      <c r="BM242">
        <v>26.69</v>
      </c>
      <c r="BN242">
        <v>204.6</v>
      </c>
      <c r="BO242">
        <v>204.6</v>
      </c>
      <c r="BQ242" t="s">
        <v>681</v>
      </c>
      <c r="BR242" t="s">
        <v>84</v>
      </c>
      <c r="BS242" s="3">
        <v>45874</v>
      </c>
      <c r="BT242" s="4">
        <v>0.37361111111111112</v>
      </c>
      <c r="BU242" t="s">
        <v>682</v>
      </c>
      <c r="BV242" t="s">
        <v>86</v>
      </c>
      <c r="BY242">
        <v>4758.08</v>
      </c>
      <c r="CA242" t="s">
        <v>413</v>
      </c>
      <c r="CC242" t="s">
        <v>199</v>
      </c>
      <c r="CD242">
        <v>6001</v>
      </c>
      <c r="CE242" t="s">
        <v>147</v>
      </c>
      <c r="CF242" s="3">
        <v>45874</v>
      </c>
      <c r="CI242">
        <v>1</v>
      </c>
      <c r="CJ242">
        <v>1</v>
      </c>
      <c r="CK242">
        <v>21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"080067003560"</f>
        <v>080067003560</v>
      </c>
      <c r="F243" s="3">
        <v>45873</v>
      </c>
      <c r="G243">
        <v>202605</v>
      </c>
      <c r="H243" t="s">
        <v>75</v>
      </c>
      <c r="I243" t="s">
        <v>76</v>
      </c>
      <c r="J243" t="s">
        <v>77</v>
      </c>
      <c r="K243" t="s">
        <v>78</v>
      </c>
      <c r="L243" t="s">
        <v>400</v>
      </c>
      <c r="M243" t="s">
        <v>401</v>
      </c>
      <c r="N243" t="s">
        <v>788</v>
      </c>
      <c r="O243" t="s">
        <v>82</v>
      </c>
      <c r="P243" t="str">
        <f>"4170052708                    "</f>
        <v xml:space="preserve">4170052708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67.760000000000005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3.5</v>
      </c>
      <c r="BJ243">
        <v>6</v>
      </c>
      <c r="BK243">
        <v>6</v>
      </c>
      <c r="BL243">
        <v>213.48</v>
      </c>
      <c r="BM243">
        <v>32.020000000000003</v>
      </c>
      <c r="BN243">
        <v>245.5</v>
      </c>
      <c r="BO243">
        <v>245.5</v>
      </c>
      <c r="BQ243" t="s">
        <v>789</v>
      </c>
      <c r="BR243" t="s">
        <v>84</v>
      </c>
      <c r="BS243" s="3">
        <v>45875</v>
      </c>
      <c r="BT243" s="4">
        <v>0.33402777777777776</v>
      </c>
      <c r="BU243" t="s">
        <v>790</v>
      </c>
      <c r="BV243" t="s">
        <v>90</v>
      </c>
      <c r="BY243">
        <v>29792</v>
      </c>
      <c r="CA243" t="s">
        <v>405</v>
      </c>
      <c r="CC243" t="s">
        <v>401</v>
      </c>
      <c r="CD243">
        <v>6230</v>
      </c>
      <c r="CE243" t="s">
        <v>147</v>
      </c>
      <c r="CF243" s="3">
        <v>45875</v>
      </c>
      <c r="CI243">
        <v>1</v>
      </c>
      <c r="CJ243">
        <v>2</v>
      </c>
      <c r="CK243">
        <v>21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"080067004205"</f>
        <v>080067004205</v>
      </c>
      <c r="F244" s="3">
        <v>45873</v>
      </c>
      <c r="G244">
        <v>202605</v>
      </c>
      <c r="H244" t="s">
        <v>75</v>
      </c>
      <c r="I244" t="s">
        <v>76</v>
      </c>
      <c r="J244" t="s">
        <v>77</v>
      </c>
      <c r="K244" t="s">
        <v>78</v>
      </c>
      <c r="L244" t="s">
        <v>193</v>
      </c>
      <c r="M244" t="s">
        <v>194</v>
      </c>
      <c r="N244" t="s">
        <v>551</v>
      </c>
      <c r="O244" t="s">
        <v>82</v>
      </c>
      <c r="P244" t="str">
        <f>"4170052714                    "</f>
        <v xml:space="preserve">4170052714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43.78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137.94</v>
      </c>
      <c r="BM244">
        <v>20.69</v>
      </c>
      <c r="BN244">
        <v>158.63</v>
      </c>
      <c r="BO244">
        <v>158.63</v>
      </c>
      <c r="BQ244" t="s">
        <v>552</v>
      </c>
      <c r="BR244" t="s">
        <v>84</v>
      </c>
      <c r="BS244" s="3">
        <v>45874</v>
      </c>
      <c r="BT244" s="4">
        <v>0.41666666666666669</v>
      </c>
      <c r="BU244" t="s">
        <v>553</v>
      </c>
      <c r="BV244" t="s">
        <v>86</v>
      </c>
      <c r="BY244">
        <v>1200</v>
      </c>
      <c r="CA244" t="s">
        <v>554</v>
      </c>
      <c r="CC244" t="s">
        <v>194</v>
      </c>
      <c r="CD244">
        <v>1035</v>
      </c>
      <c r="CE244" t="s">
        <v>109</v>
      </c>
      <c r="CF244" s="3">
        <v>45875</v>
      </c>
      <c r="CI244">
        <v>1</v>
      </c>
      <c r="CJ244">
        <v>1</v>
      </c>
      <c r="CK244">
        <v>23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"080066994781"</f>
        <v>080066994781</v>
      </c>
      <c r="F245" s="3">
        <v>45873</v>
      </c>
      <c r="G245">
        <v>202605</v>
      </c>
      <c r="H245" t="s">
        <v>75</v>
      </c>
      <c r="I245" t="s">
        <v>76</v>
      </c>
      <c r="J245" t="s">
        <v>77</v>
      </c>
      <c r="K245" t="s">
        <v>78</v>
      </c>
      <c r="L245" t="s">
        <v>198</v>
      </c>
      <c r="M245" t="s">
        <v>199</v>
      </c>
      <c r="N245" t="s">
        <v>200</v>
      </c>
      <c r="O245" t="s">
        <v>82</v>
      </c>
      <c r="P245" t="str">
        <f>"4170052599                    "</f>
        <v xml:space="preserve">4170052599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22.6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71.2</v>
      </c>
      <c r="BM245">
        <v>10.68</v>
      </c>
      <c r="BN245">
        <v>81.88</v>
      </c>
      <c r="BO245">
        <v>81.88</v>
      </c>
      <c r="BQ245" t="s">
        <v>201</v>
      </c>
      <c r="BR245" t="s">
        <v>84</v>
      </c>
      <c r="BS245" s="3">
        <v>45875</v>
      </c>
      <c r="BT245" s="4">
        <v>0.38124999999999998</v>
      </c>
      <c r="BU245" t="s">
        <v>791</v>
      </c>
      <c r="BV245" t="s">
        <v>90</v>
      </c>
      <c r="BW245" t="s">
        <v>134</v>
      </c>
      <c r="BX245" t="s">
        <v>747</v>
      </c>
      <c r="BY245">
        <v>1200</v>
      </c>
      <c r="CA245" t="s">
        <v>203</v>
      </c>
      <c r="CC245" t="s">
        <v>199</v>
      </c>
      <c r="CD245">
        <v>6001</v>
      </c>
      <c r="CE245" t="s">
        <v>109</v>
      </c>
      <c r="CF245" s="3">
        <v>45875</v>
      </c>
      <c r="CI245">
        <v>1</v>
      </c>
      <c r="CJ245">
        <v>2</v>
      </c>
      <c r="CK245">
        <v>21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"080066993289"</f>
        <v>080066993289</v>
      </c>
      <c r="F246" s="3">
        <v>45873</v>
      </c>
      <c r="G246">
        <v>202605</v>
      </c>
      <c r="H246" t="s">
        <v>75</v>
      </c>
      <c r="I246" t="s">
        <v>76</v>
      </c>
      <c r="J246" t="s">
        <v>77</v>
      </c>
      <c r="K246" t="s">
        <v>78</v>
      </c>
      <c r="L246" t="s">
        <v>162</v>
      </c>
      <c r="M246" t="s">
        <v>163</v>
      </c>
      <c r="N246" t="s">
        <v>792</v>
      </c>
      <c r="O246" t="s">
        <v>82</v>
      </c>
      <c r="P246" t="str">
        <f>"4170052499                    "</f>
        <v xml:space="preserve">4170052499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22.6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71.2</v>
      </c>
      <c r="BM246">
        <v>10.68</v>
      </c>
      <c r="BN246">
        <v>81.88</v>
      </c>
      <c r="BO246">
        <v>81.88</v>
      </c>
      <c r="BQ246" t="s">
        <v>793</v>
      </c>
      <c r="BR246" t="s">
        <v>84</v>
      </c>
      <c r="BS246" s="3">
        <v>45874</v>
      </c>
      <c r="BT246" s="4">
        <v>0.41666666666666669</v>
      </c>
      <c r="BU246" t="s">
        <v>794</v>
      </c>
      <c r="BV246" t="s">
        <v>86</v>
      </c>
      <c r="BY246">
        <v>1200</v>
      </c>
      <c r="CA246" t="s">
        <v>795</v>
      </c>
      <c r="CC246" t="s">
        <v>163</v>
      </c>
      <c r="CD246">
        <v>3680</v>
      </c>
      <c r="CE246" t="s">
        <v>109</v>
      </c>
      <c r="CF246" s="3">
        <v>45874</v>
      </c>
      <c r="CI246">
        <v>1</v>
      </c>
      <c r="CJ246">
        <v>1</v>
      </c>
      <c r="CK246">
        <v>21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"080066993902"</f>
        <v>080066993902</v>
      </c>
      <c r="F247" s="3">
        <v>45873</v>
      </c>
      <c r="G247">
        <v>202605</v>
      </c>
      <c r="H247" t="s">
        <v>75</v>
      </c>
      <c r="I247" t="s">
        <v>76</v>
      </c>
      <c r="J247" t="s">
        <v>77</v>
      </c>
      <c r="K247" t="s">
        <v>78</v>
      </c>
      <c r="L247" t="s">
        <v>229</v>
      </c>
      <c r="M247" t="s">
        <v>230</v>
      </c>
      <c r="N247" t="s">
        <v>231</v>
      </c>
      <c r="O247" t="s">
        <v>82</v>
      </c>
      <c r="P247" t="str">
        <f>"4170052607                    "</f>
        <v xml:space="preserve">4170052607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43.78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137.94</v>
      </c>
      <c r="BM247">
        <v>20.69</v>
      </c>
      <c r="BN247">
        <v>158.63</v>
      </c>
      <c r="BO247">
        <v>158.63</v>
      </c>
      <c r="BQ247" t="s">
        <v>232</v>
      </c>
      <c r="BR247" t="s">
        <v>84</v>
      </c>
      <c r="BS247" s="3">
        <v>45874</v>
      </c>
      <c r="BT247" s="4">
        <v>0.375</v>
      </c>
      <c r="BU247" t="s">
        <v>233</v>
      </c>
      <c r="BV247" t="s">
        <v>86</v>
      </c>
      <c r="BY247">
        <v>1200</v>
      </c>
      <c r="BZ247" t="s">
        <v>330</v>
      </c>
      <c r="CC247" t="s">
        <v>230</v>
      </c>
      <c r="CD247">
        <v>2740</v>
      </c>
      <c r="CE247" t="s">
        <v>597</v>
      </c>
      <c r="CF247" s="3">
        <v>45875</v>
      </c>
      <c r="CI247">
        <v>1</v>
      </c>
      <c r="CJ247">
        <v>1</v>
      </c>
      <c r="CK247">
        <v>23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"080067003193"</f>
        <v>080067003193</v>
      </c>
      <c r="F248" s="3">
        <v>45873</v>
      </c>
      <c r="G248">
        <v>202605</v>
      </c>
      <c r="H248" t="s">
        <v>75</v>
      </c>
      <c r="I248" t="s">
        <v>76</v>
      </c>
      <c r="J248" t="s">
        <v>77</v>
      </c>
      <c r="K248" t="s">
        <v>78</v>
      </c>
      <c r="L248" t="s">
        <v>162</v>
      </c>
      <c r="M248" t="s">
        <v>163</v>
      </c>
      <c r="N248" t="s">
        <v>164</v>
      </c>
      <c r="O248" t="s">
        <v>95</v>
      </c>
      <c r="P248" t="str">
        <f>"4170052717                    "</f>
        <v xml:space="preserve">4170052717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96.02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13.9</v>
      </c>
      <c r="BJ248">
        <v>43.2</v>
      </c>
      <c r="BK248">
        <v>44</v>
      </c>
      <c r="BL248">
        <v>308.39</v>
      </c>
      <c r="BM248">
        <v>46.26</v>
      </c>
      <c r="BN248">
        <v>354.65</v>
      </c>
      <c r="BO248">
        <v>354.65</v>
      </c>
      <c r="BQ248" t="s">
        <v>165</v>
      </c>
      <c r="BR248" t="s">
        <v>84</v>
      </c>
      <c r="BS248" s="3">
        <v>45875</v>
      </c>
      <c r="BT248" s="4">
        <v>0.66666666666666663</v>
      </c>
      <c r="BU248" t="s">
        <v>796</v>
      </c>
      <c r="BV248" t="s">
        <v>86</v>
      </c>
      <c r="BY248">
        <v>215925.26</v>
      </c>
      <c r="CC248" t="s">
        <v>163</v>
      </c>
      <c r="CD248">
        <v>3212</v>
      </c>
      <c r="CE248" t="s">
        <v>147</v>
      </c>
      <c r="CF248" s="3">
        <v>45876</v>
      </c>
      <c r="CI248">
        <v>3</v>
      </c>
      <c r="CJ248">
        <v>1</v>
      </c>
      <c r="CK248">
        <v>41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"080066994595"</f>
        <v>080066994595</v>
      </c>
      <c r="F249" s="3">
        <v>45873</v>
      </c>
      <c r="G249">
        <v>202605</v>
      </c>
      <c r="H249" t="s">
        <v>75</v>
      </c>
      <c r="I249" t="s">
        <v>76</v>
      </c>
      <c r="J249" t="s">
        <v>77</v>
      </c>
      <c r="K249" t="s">
        <v>78</v>
      </c>
      <c r="L249" t="s">
        <v>234</v>
      </c>
      <c r="M249" t="s">
        <v>235</v>
      </c>
      <c r="N249" t="s">
        <v>683</v>
      </c>
      <c r="O249" t="s">
        <v>82</v>
      </c>
      <c r="P249" t="str">
        <f>"4170052527                    "</f>
        <v xml:space="preserve">4170052527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22.6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71.2</v>
      </c>
      <c r="BM249">
        <v>10.68</v>
      </c>
      <c r="BN249">
        <v>81.88</v>
      </c>
      <c r="BO249">
        <v>81.88</v>
      </c>
      <c r="BQ249" t="s">
        <v>684</v>
      </c>
      <c r="BR249" t="s">
        <v>84</v>
      </c>
      <c r="BS249" s="3">
        <v>45874</v>
      </c>
      <c r="BT249" s="4">
        <v>0.39583333333333331</v>
      </c>
      <c r="BU249" t="s">
        <v>797</v>
      </c>
      <c r="BV249" t="s">
        <v>86</v>
      </c>
      <c r="BY249">
        <v>1200</v>
      </c>
      <c r="BZ249" t="s">
        <v>330</v>
      </c>
      <c r="CA249" t="s">
        <v>239</v>
      </c>
      <c r="CC249" t="s">
        <v>235</v>
      </c>
      <c r="CD249" s="5" t="s">
        <v>240</v>
      </c>
      <c r="CE249" t="s">
        <v>109</v>
      </c>
      <c r="CF249" s="3">
        <v>45874</v>
      </c>
      <c r="CI249">
        <v>1</v>
      </c>
      <c r="CJ249">
        <v>1</v>
      </c>
      <c r="CK249">
        <v>21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"080066999758"</f>
        <v>080066999758</v>
      </c>
      <c r="F250" s="3">
        <v>45873</v>
      </c>
      <c r="G250">
        <v>202605</v>
      </c>
      <c r="H250" t="s">
        <v>75</v>
      </c>
      <c r="I250" t="s">
        <v>76</v>
      </c>
      <c r="J250" t="s">
        <v>77</v>
      </c>
      <c r="K250" t="s">
        <v>78</v>
      </c>
      <c r="L250" t="s">
        <v>75</v>
      </c>
      <c r="M250" t="s">
        <v>76</v>
      </c>
      <c r="N250" t="s">
        <v>143</v>
      </c>
      <c r="O250" t="s">
        <v>82</v>
      </c>
      <c r="P250" t="str">
        <f>"4170052691                    "</f>
        <v xml:space="preserve">4170052691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17.649999999999999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</v>
      </c>
      <c r="BJ250">
        <v>1.1000000000000001</v>
      </c>
      <c r="BK250">
        <v>2</v>
      </c>
      <c r="BL250">
        <v>55.61</v>
      </c>
      <c r="BM250">
        <v>8.34</v>
      </c>
      <c r="BN250">
        <v>63.95</v>
      </c>
      <c r="BO250">
        <v>63.95</v>
      </c>
      <c r="BQ250" t="s">
        <v>144</v>
      </c>
      <c r="BR250" t="s">
        <v>84</v>
      </c>
      <c r="BS250" s="3">
        <v>45874</v>
      </c>
      <c r="BT250" s="4">
        <v>0.6875</v>
      </c>
      <c r="BU250" t="s">
        <v>145</v>
      </c>
      <c r="BV250" t="s">
        <v>90</v>
      </c>
      <c r="BW250" t="s">
        <v>380</v>
      </c>
      <c r="BX250" t="s">
        <v>798</v>
      </c>
      <c r="BY250">
        <v>5320</v>
      </c>
      <c r="CC250" t="s">
        <v>76</v>
      </c>
      <c r="CD250">
        <v>1610</v>
      </c>
      <c r="CE250" t="s">
        <v>147</v>
      </c>
      <c r="CF250" s="3">
        <v>45875</v>
      </c>
      <c r="CI250">
        <v>1</v>
      </c>
      <c r="CJ250">
        <v>1</v>
      </c>
      <c r="CK250">
        <v>22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"080066995387"</f>
        <v>080066995387</v>
      </c>
      <c r="F251" s="3">
        <v>45873</v>
      </c>
      <c r="G251">
        <v>202605</v>
      </c>
      <c r="H251" t="s">
        <v>75</v>
      </c>
      <c r="I251" t="s">
        <v>76</v>
      </c>
      <c r="J251" t="s">
        <v>77</v>
      </c>
      <c r="K251" t="s">
        <v>78</v>
      </c>
      <c r="L251" t="s">
        <v>255</v>
      </c>
      <c r="M251" t="s">
        <v>256</v>
      </c>
      <c r="N251" t="s">
        <v>799</v>
      </c>
      <c r="O251" t="s">
        <v>82</v>
      </c>
      <c r="P251" t="str">
        <f>"4170052556                    "</f>
        <v xml:space="preserve">4170052556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17.649999999999999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55.61</v>
      </c>
      <c r="BM251">
        <v>8.34</v>
      </c>
      <c r="BN251">
        <v>63.95</v>
      </c>
      <c r="BO251">
        <v>63.95</v>
      </c>
      <c r="BQ251" t="s">
        <v>800</v>
      </c>
      <c r="BR251" t="s">
        <v>84</v>
      </c>
      <c r="BS251" s="3">
        <v>45874</v>
      </c>
      <c r="BT251" s="4">
        <v>0.34930555555555554</v>
      </c>
      <c r="BU251" t="s">
        <v>801</v>
      </c>
      <c r="BV251" t="s">
        <v>86</v>
      </c>
      <c r="BY251">
        <v>1200</v>
      </c>
      <c r="CA251" t="s">
        <v>720</v>
      </c>
      <c r="CC251" t="s">
        <v>256</v>
      </c>
      <c r="CD251">
        <v>1501</v>
      </c>
      <c r="CE251" t="s">
        <v>109</v>
      </c>
      <c r="CF251" s="3">
        <v>45875</v>
      </c>
      <c r="CI251">
        <v>1</v>
      </c>
      <c r="CJ251">
        <v>1</v>
      </c>
      <c r="CK251">
        <v>22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"080066994090"</f>
        <v>080066994090</v>
      </c>
      <c r="F252" s="3">
        <v>45873</v>
      </c>
      <c r="G252">
        <v>202605</v>
      </c>
      <c r="H252" t="s">
        <v>75</v>
      </c>
      <c r="I252" t="s">
        <v>76</v>
      </c>
      <c r="J252" t="s">
        <v>77</v>
      </c>
      <c r="K252" t="s">
        <v>78</v>
      </c>
      <c r="L252" t="s">
        <v>129</v>
      </c>
      <c r="M252" t="s">
        <v>130</v>
      </c>
      <c r="N252" t="s">
        <v>131</v>
      </c>
      <c r="O252" t="s">
        <v>82</v>
      </c>
      <c r="P252" t="str">
        <f>"4170052597                    "</f>
        <v xml:space="preserve">4170052597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22.6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71.2</v>
      </c>
      <c r="BM252">
        <v>10.68</v>
      </c>
      <c r="BN252">
        <v>81.88</v>
      </c>
      <c r="BO252">
        <v>81.88</v>
      </c>
      <c r="BQ252" t="s">
        <v>132</v>
      </c>
      <c r="BR252" t="s">
        <v>84</v>
      </c>
      <c r="BS252" s="3">
        <v>45875</v>
      </c>
      <c r="BT252" s="4">
        <v>0.77708333333333335</v>
      </c>
      <c r="BU252" t="s">
        <v>133</v>
      </c>
      <c r="BV252" t="s">
        <v>90</v>
      </c>
      <c r="BW252" t="s">
        <v>134</v>
      </c>
      <c r="BX252" t="s">
        <v>135</v>
      </c>
      <c r="BY252">
        <v>1200</v>
      </c>
      <c r="BZ252" t="s">
        <v>330</v>
      </c>
      <c r="CA252" t="s">
        <v>136</v>
      </c>
      <c r="CC252" t="s">
        <v>130</v>
      </c>
      <c r="CD252">
        <v>4133</v>
      </c>
      <c r="CE252" t="s">
        <v>597</v>
      </c>
      <c r="CF252" s="3">
        <v>45875</v>
      </c>
      <c r="CI252">
        <v>1</v>
      </c>
      <c r="CJ252">
        <v>2</v>
      </c>
      <c r="CK252">
        <v>21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"080066994501"</f>
        <v>080066994501</v>
      </c>
      <c r="F253" s="3">
        <v>45873</v>
      </c>
      <c r="G253">
        <v>202605</v>
      </c>
      <c r="H253" t="s">
        <v>75</v>
      </c>
      <c r="I253" t="s">
        <v>76</v>
      </c>
      <c r="J253" t="s">
        <v>77</v>
      </c>
      <c r="K253" t="s">
        <v>78</v>
      </c>
      <c r="L253" t="s">
        <v>198</v>
      </c>
      <c r="M253" t="s">
        <v>199</v>
      </c>
      <c r="N253" t="s">
        <v>667</v>
      </c>
      <c r="O253" t="s">
        <v>82</v>
      </c>
      <c r="P253" t="str">
        <f>"4170052570                    "</f>
        <v xml:space="preserve">4170052570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22.6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71.2</v>
      </c>
      <c r="BM253">
        <v>10.68</v>
      </c>
      <c r="BN253">
        <v>81.88</v>
      </c>
      <c r="BO253">
        <v>81.88</v>
      </c>
      <c r="BQ253" t="s">
        <v>668</v>
      </c>
      <c r="BR253" t="s">
        <v>84</v>
      </c>
      <c r="BS253" s="3">
        <v>45875</v>
      </c>
      <c r="BT253" s="4">
        <v>0.33541666666666664</v>
      </c>
      <c r="BU253" t="s">
        <v>802</v>
      </c>
      <c r="BV253" t="s">
        <v>90</v>
      </c>
      <c r="BW253" t="s">
        <v>134</v>
      </c>
      <c r="BX253" t="s">
        <v>747</v>
      </c>
      <c r="BY253">
        <v>1200</v>
      </c>
      <c r="BZ253" t="s">
        <v>330</v>
      </c>
      <c r="CA253" t="s">
        <v>433</v>
      </c>
      <c r="CC253" t="s">
        <v>199</v>
      </c>
      <c r="CD253">
        <v>6001</v>
      </c>
      <c r="CE253" t="s">
        <v>109</v>
      </c>
      <c r="CF253" s="3">
        <v>45875</v>
      </c>
      <c r="CI253">
        <v>1</v>
      </c>
      <c r="CJ253">
        <v>2</v>
      </c>
      <c r="CK253">
        <v>21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"080066996228"</f>
        <v>080066996228</v>
      </c>
      <c r="F254" s="3">
        <v>45873</v>
      </c>
      <c r="G254">
        <v>202605</v>
      </c>
      <c r="H254" t="s">
        <v>75</v>
      </c>
      <c r="I254" t="s">
        <v>76</v>
      </c>
      <c r="J254" t="s">
        <v>77</v>
      </c>
      <c r="K254" t="s">
        <v>78</v>
      </c>
      <c r="L254" t="s">
        <v>672</v>
      </c>
      <c r="M254" t="s">
        <v>673</v>
      </c>
      <c r="N254" t="s">
        <v>803</v>
      </c>
      <c r="O254" t="s">
        <v>82</v>
      </c>
      <c r="P254" t="str">
        <f>"4170052496                    "</f>
        <v xml:space="preserve">4170052496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182.19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9</v>
      </c>
      <c r="BJ254">
        <v>5.8</v>
      </c>
      <c r="BK254">
        <v>9</v>
      </c>
      <c r="BL254">
        <v>573.99</v>
      </c>
      <c r="BM254">
        <v>86.1</v>
      </c>
      <c r="BN254">
        <v>660.09</v>
      </c>
      <c r="BO254">
        <v>660.09</v>
      </c>
      <c r="BQ254" t="s">
        <v>804</v>
      </c>
      <c r="BR254" t="s">
        <v>84</v>
      </c>
      <c r="BS254" s="3">
        <v>45875</v>
      </c>
      <c r="BT254" s="4">
        <v>0.66666666666666663</v>
      </c>
      <c r="BU254" t="s">
        <v>805</v>
      </c>
      <c r="BV254" t="s">
        <v>86</v>
      </c>
      <c r="BY254">
        <v>29120</v>
      </c>
      <c r="CA254" t="s">
        <v>806</v>
      </c>
      <c r="CC254" t="s">
        <v>673</v>
      </c>
      <c r="CD254">
        <v>3370</v>
      </c>
      <c r="CE254" t="s">
        <v>117</v>
      </c>
      <c r="CF254" s="3">
        <v>45876</v>
      </c>
      <c r="CI254">
        <v>2</v>
      </c>
      <c r="CJ254">
        <v>2</v>
      </c>
      <c r="CK254">
        <v>23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"080066995834"</f>
        <v>080066995834</v>
      </c>
      <c r="F255" s="3">
        <v>45873</v>
      </c>
      <c r="G255">
        <v>202605</v>
      </c>
      <c r="H255" t="s">
        <v>75</v>
      </c>
      <c r="I255" t="s">
        <v>76</v>
      </c>
      <c r="J255" t="s">
        <v>77</v>
      </c>
      <c r="K255" t="s">
        <v>78</v>
      </c>
      <c r="L255" t="s">
        <v>234</v>
      </c>
      <c r="M255" t="s">
        <v>235</v>
      </c>
      <c r="N255" t="s">
        <v>236</v>
      </c>
      <c r="O255" t="s">
        <v>95</v>
      </c>
      <c r="P255" t="str">
        <f>"4170052636                    "</f>
        <v xml:space="preserve">4170052636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43.7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5</v>
      </c>
      <c r="BJ255">
        <v>1.5</v>
      </c>
      <c r="BK255">
        <v>5</v>
      </c>
      <c r="BL255">
        <v>143.55000000000001</v>
      </c>
      <c r="BM255">
        <v>21.53</v>
      </c>
      <c r="BN255">
        <v>165.08</v>
      </c>
      <c r="BO255">
        <v>165.08</v>
      </c>
      <c r="BQ255" t="s">
        <v>237</v>
      </c>
      <c r="BR255" t="s">
        <v>84</v>
      </c>
      <c r="BS255" s="3">
        <v>45874</v>
      </c>
      <c r="BT255" s="4">
        <v>0.39027777777777778</v>
      </c>
      <c r="BU255" t="s">
        <v>650</v>
      </c>
      <c r="BV255" t="s">
        <v>86</v>
      </c>
      <c r="BY255">
        <v>7680</v>
      </c>
      <c r="CA255" t="s">
        <v>239</v>
      </c>
      <c r="CC255" t="s">
        <v>235</v>
      </c>
      <c r="CD255" s="5" t="s">
        <v>240</v>
      </c>
      <c r="CE255" t="s">
        <v>109</v>
      </c>
      <c r="CF255" s="3">
        <v>45874</v>
      </c>
      <c r="CI255">
        <v>1</v>
      </c>
      <c r="CJ255">
        <v>1</v>
      </c>
      <c r="CK255">
        <v>41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"080067003555"</f>
        <v>080067003555</v>
      </c>
      <c r="F256" s="3">
        <v>45873</v>
      </c>
      <c r="G256">
        <v>202605</v>
      </c>
      <c r="H256" t="s">
        <v>75</v>
      </c>
      <c r="I256" t="s">
        <v>76</v>
      </c>
      <c r="J256" t="s">
        <v>77</v>
      </c>
      <c r="K256" t="s">
        <v>78</v>
      </c>
      <c r="L256" t="s">
        <v>198</v>
      </c>
      <c r="M256" t="s">
        <v>199</v>
      </c>
      <c r="N256" t="s">
        <v>807</v>
      </c>
      <c r="O256" t="s">
        <v>82</v>
      </c>
      <c r="P256" t="str">
        <f>"4170052731                    "</f>
        <v xml:space="preserve">4170052731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45.18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3.8</v>
      </c>
      <c r="BJ256">
        <v>1.8</v>
      </c>
      <c r="BK256">
        <v>4</v>
      </c>
      <c r="BL256">
        <v>142.34</v>
      </c>
      <c r="BM256">
        <v>21.35</v>
      </c>
      <c r="BN256">
        <v>163.69</v>
      </c>
      <c r="BO256">
        <v>163.69</v>
      </c>
      <c r="BQ256" t="s">
        <v>808</v>
      </c>
      <c r="BR256" t="s">
        <v>84</v>
      </c>
      <c r="BS256" s="3">
        <v>45876</v>
      </c>
      <c r="BT256" s="4">
        <v>0.42638888888888887</v>
      </c>
      <c r="BU256" t="s">
        <v>809</v>
      </c>
      <c r="BV256" t="s">
        <v>90</v>
      </c>
      <c r="BW256" t="s">
        <v>134</v>
      </c>
      <c r="BX256" t="s">
        <v>747</v>
      </c>
      <c r="BY256">
        <v>9214.75</v>
      </c>
      <c r="BZ256" t="s">
        <v>330</v>
      </c>
      <c r="CA256" t="s">
        <v>810</v>
      </c>
      <c r="CC256" t="s">
        <v>199</v>
      </c>
      <c r="CD256">
        <v>6100</v>
      </c>
      <c r="CE256" t="s">
        <v>147</v>
      </c>
      <c r="CF256" s="3">
        <v>45876</v>
      </c>
      <c r="CI256">
        <v>1</v>
      </c>
      <c r="CJ256">
        <v>3</v>
      </c>
      <c r="CK256">
        <v>21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"080066999802"</f>
        <v>080066999802</v>
      </c>
      <c r="F257" s="3">
        <v>45873</v>
      </c>
      <c r="G257">
        <v>202605</v>
      </c>
      <c r="H257" t="s">
        <v>75</v>
      </c>
      <c r="I257" t="s">
        <v>76</v>
      </c>
      <c r="J257" t="s">
        <v>77</v>
      </c>
      <c r="K257" t="s">
        <v>78</v>
      </c>
      <c r="L257" t="s">
        <v>162</v>
      </c>
      <c r="M257" t="s">
        <v>163</v>
      </c>
      <c r="N257" t="s">
        <v>811</v>
      </c>
      <c r="O257" t="s">
        <v>95</v>
      </c>
      <c r="P257" t="str">
        <f>"4170052688                    "</f>
        <v xml:space="preserve">4170052688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49.11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7</v>
      </c>
      <c r="BJ257">
        <v>17.7</v>
      </c>
      <c r="BK257">
        <v>18</v>
      </c>
      <c r="BL257">
        <v>160.6</v>
      </c>
      <c r="BM257">
        <v>24.09</v>
      </c>
      <c r="BN257">
        <v>184.69</v>
      </c>
      <c r="BO257">
        <v>184.69</v>
      </c>
      <c r="BQ257" t="s">
        <v>812</v>
      </c>
      <c r="BR257" t="s">
        <v>84</v>
      </c>
      <c r="BS257" s="3">
        <v>45874</v>
      </c>
      <c r="BT257" s="4">
        <v>0.45833333333333331</v>
      </c>
      <c r="BU257" t="s">
        <v>813</v>
      </c>
      <c r="BV257" t="s">
        <v>86</v>
      </c>
      <c r="BY257">
        <v>88320</v>
      </c>
      <c r="CA257" t="s">
        <v>814</v>
      </c>
      <c r="CC257" t="s">
        <v>163</v>
      </c>
      <c r="CD257">
        <v>3201</v>
      </c>
      <c r="CE257" t="s">
        <v>147</v>
      </c>
      <c r="CF257" s="3">
        <v>45875</v>
      </c>
      <c r="CI257">
        <v>2</v>
      </c>
      <c r="CJ257">
        <v>1</v>
      </c>
      <c r="CK257">
        <v>41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"080066997426"</f>
        <v>080066997426</v>
      </c>
      <c r="F258" s="3">
        <v>45873</v>
      </c>
      <c r="G258">
        <v>202605</v>
      </c>
      <c r="H258" t="s">
        <v>75</v>
      </c>
      <c r="I258" t="s">
        <v>76</v>
      </c>
      <c r="J258" t="s">
        <v>77</v>
      </c>
      <c r="K258" t="s">
        <v>78</v>
      </c>
      <c r="L258" t="s">
        <v>234</v>
      </c>
      <c r="M258" t="s">
        <v>235</v>
      </c>
      <c r="N258" t="s">
        <v>236</v>
      </c>
      <c r="O258" t="s">
        <v>82</v>
      </c>
      <c r="P258" t="str">
        <f>"4170052678                    "</f>
        <v xml:space="preserve">4170052678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33.89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</v>
      </c>
      <c r="BJ258">
        <v>1.1000000000000001</v>
      </c>
      <c r="BK258">
        <v>3</v>
      </c>
      <c r="BL258">
        <v>106.77</v>
      </c>
      <c r="BM258">
        <v>16.02</v>
      </c>
      <c r="BN258">
        <v>122.79</v>
      </c>
      <c r="BO258">
        <v>122.79</v>
      </c>
      <c r="BQ258" t="s">
        <v>237</v>
      </c>
      <c r="BR258" t="s">
        <v>84</v>
      </c>
      <c r="BS258" s="3">
        <v>45874</v>
      </c>
      <c r="BT258" s="4">
        <v>0.38958333333333334</v>
      </c>
      <c r="BU258" t="s">
        <v>650</v>
      </c>
      <c r="BV258" t="s">
        <v>86</v>
      </c>
      <c r="BY258">
        <v>5320</v>
      </c>
      <c r="CA258" t="s">
        <v>239</v>
      </c>
      <c r="CC258" t="s">
        <v>235</v>
      </c>
      <c r="CD258" s="5" t="s">
        <v>240</v>
      </c>
      <c r="CE258" t="s">
        <v>178</v>
      </c>
      <c r="CF258" s="3">
        <v>45874</v>
      </c>
      <c r="CI258">
        <v>1</v>
      </c>
      <c r="CJ258">
        <v>1</v>
      </c>
      <c r="CK258">
        <v>21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"080067004475"</f>
        <v>080067004475</v>
      </c>
      <c r="F259" s="3">
        <v>45873</v>
      </c>
      <c r="G259">
        <v>202605</v>
      </c>
      <c r="H259" t="s">
        <v>75</v>
      </c>
      <c r="I259" t="s">
        <v>76</v>
      </c>
      <c r="J259" t="s">
        <v>77</v>
      </c>
      <c r="K259" t="s">
        <v>78</v>
      </c>
      <c r="L259" t="s">
        <v>137</v>
      </c>
      <c r="M259" t="s">
        <v>138</v>
      </c>
      <c r="N259" t="s">
        <v>815</v>
      </c>
      <c r="O259" t="s">
        <v>82</v>
      </c>
      <c r="P259" t="str">
        <f>"4170052736                    "</f>
        <v xml:space="preserve">4170052736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33.89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2.8</v>
      </c>
      <c r="BJ259">
        <v>2.7</v>
      </c>
      <c r="BK259">
        <v>3</v>
      </c>
      <c r="BL259">
        <v>106.77</v>
      </c>
      <c r="BM259">
        <v>16.02</v>
      </c>
      <c r="BN259">
        <v>122.79</v>
      </c>
      <c r="BO259">
        <v>122.79</v>
      </c>
      <c r="BQ259" t="s">
        <v>816</v>
      </c>
      <c r="BR259" t="s">
        <v>84</v>
      </c>
      <c r="BS259" s="3">
        <v>45875</v>
      </c>
      <c r="BT259" s="4">
        <v>0.4375</v>
      </c>
      <c r="BU259" t="s">
        <v>817</v>
      </c>
      <c r="BV259" t="s">
        <v>90</v>
      </c>
      <c r="BY259">
        <v>13527.92</v>
      </c>
      <c r="CA259" t="s">
        <v>264</v>
      </c>
      <c r="CC259" t="s">
        <v>138</v>
      </c>
      <c r="CD259">
        <v>3610</v>
      </c>
      <c r="CE259" t="s">
        <v>147</v>
      </c>
      <c r="CF259" s="3">
        <v>45875</v>
      </c>
      <c r="CI259">
        <v>1</v>
      </c>
      <c r="CJ259">
        <v>2</v>
      </c>
      <c r="CK259">
        <v>21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"080066995071"</f>
        <v>080066995071</v>
      </c>
      <c r="F260" s="3">
        <v>45873</v>
      </c>
      <c r="G260">
        <v>202605</v>
      </c>
      <c r="H260" t="s">
        <v>75</v>
      </c>
      <c r="I260" t="s">
        <v>76</v>
      </c>
      <c r="J260" t="s">
        <v>77</v>
      </c>
      <c r="K260" t="s">
        <v>78</v>
      </c>
      <c r="L260" t="s">
        <v>198</v>
      </c>
      <c r="M260" t="s">
        <v>199</v>
      </c>
      <c r="N260" t="s">
        <v>818</v>
      </c>
      <c r="O260" t="s">
        <v>82</v>
      </c>
      <c r="P260" t="str">
        <f>"4170052557                    "</f>
        <v xml:space="preserve">4170052557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56.47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3.6</v>
      </c>
      <c r="BJ260">
        <v>5</v>
      </c>
      <c r="BK260">
        <v>5</v>
      </c>
      <c r="BL260">
        <v>177.91</v>
      </c>
      <c r="BM260">
        <v>26.69</v>
      </c>
      <c r="BN260">
        <v>204.6</v>
      </c>
      <c r="BO260">
        <v>204.6</v>
      </c>
      <c r="BQ260" t="s">
        <v>819</v>
      </c>
      <c r="BR260" t="s">
        <v>84</v>
      </c>
      <c r="BS260" s="3">
        <v>45874</v>
      </c>
      <c r="BT260" s="4">
        <v>0.36388888888888887</v>
      </c>
      <c r="BU260" t="s">
        <v>820</v>
      </c>
      <c r="BV260" t="s">
        <v>86</v>
      </c>
      <c r="BY260">
        <v>25168.5</v>
      </c>
      <c r="CA260" t="s">
        <v>433</v>
      </c>
      <c r="CC260" t="s">
        <v>199</v>
      </c>
      <c r="CD260">
        <v>6012</v>
      </c>
      <c r="CE260" t="s">
        <v>178</v>
      </c>
      <c r="CF260" s="3">
        <v>45874</v>
      </c>
      <c r="CI260">
        <v>1</v>
      </c>
      <c r="CJ260">
        <v>1</v>
      </c>
      <c r="CK260">
        <v>21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"080067003801"</f>
        <v>080067003801</v>
      </c>
      <c r="F261" s="3">
        <v>45873</v>
      </c>
      <c r="G261">
        <v>202605</v>
      </c>
      <c r="H261" t="s">
        <v>75</v>
      </c>
      <c r="I261" t="s">
        <v>76</v>
      </c>
      <c r="J261" t="s">
        <v>77</v>
      </c>
      <c r="K261" t="s">
        <v>78</v>
      </c>
      <c r="L261" t="s">
        <v>198</v>
      </c>
      <c r="M261" t="s">
        <v>199</v>
      </c>
      <c r="N261" t="s">
        <v>713</v>
      </c>
      <c r="O261" t="s">
        <v>82</v>
      </c>
      <c r="P261" t="str">
        <f>"4170052696                    "</f>
        <v xml:space="preserve">4170052696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39.53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3.3</v>
      </c>
      <c r="BJ261">
        <v>1.5</v>
      </c>
      <c r="BK261">
        <v>3.5</v>
      </c>
      <c r="BL261">
        <v>124.55</v>
      </c>
      <c r="BM261">
        <v>18.68</v>
      </c>
      <c r="BN261">
        <v>143.22999999999999</v>
      </c>
      <c r="BO261">
        <v>143.22999999999999</v>
      </c>
      <c r="BQ261" t="s">
        <v>714</v>
      </c>
      <c r="BR261" t="s">
        <v>84</v>
      </c>
      <c r="BS261" s="3">
        <v>45875</v>
      </c>
      <c r="BT261" s="4">
        <v>0.39444444444444443</v>
      </c>
      <c r="BU261" t="s">
        <v>715</v>
      </c>
      <c r="BV261" t="s">
        <v>90</v>
      </c>
      <c r="BY261">
        <v>7450.56</v>
      </c>
      <c r="CA261" t="s">
        <v>433</v>
      </c>
      <c r="CC261" t="s">
        <v>199</v>
      </c>
      <c r="CD261">
        <v>6012</v>
      </c>
      <c r="CE261" t="s">
        <v>117</v>
      </c>
      <c r="CF261" s="3">
        <v>45875</v>
      </c>
      <c r="CI261">
        <v>1</v>
      </c>
      <c r="CJ261">
        <v>2</v>
      </c>
      <c r="CK261">
        <v>21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"080067004368"</f>
        <v>080067004368</v>
      </c>
      <c r="F262" s="3">
        <v>45873</v>
      </c>
      <c r="G262">
        <v>202605</v>
      </c>
      <c r="H262" t="s">
        <v>75</v>
      </c>
      <c r="I262" t="s">
        <v>76</v>
      </c>
      <c r="J262" t="s">
        <v>77</v>
      </c>
      <c r="K262" t="s">
        <v>78</v>
      </c>
      <c r="L262" t="s">
        <v>234</v>
      </c>
      <c r="M262" t="s">
        <v>235</v>
      </c>
      <c r="N262" t="s">
        <v>821</v>
      </c>
      <c r="O262" t="s">
        <v>95</v>
      </c>
      <c r="P262" t="str">
        <f>"4170052735                    "</f>
        <v xml:space="preserve">4170052735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43.7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8</v>
      </c>
      <c r="BJ262">
        <v>6.3</v>
      </c>
      <c r="BK262">
        <v>8</v>
      </c>
      <c r="BL262">
        <v>143.55000000000001</v>
      </c>
      <c r="BM262">
        <v>21.53</v>
      </c>
      <c r="BN262">
        <v>165.08</v>
      </c>
      <c r="BO262">
        <v>165.08</v>
      </c>
      <c r="BQ262" t="s">
        <v>822</v>
      </c>
      <c r="BR262" t="s">
        <v>84</v>
      </c>
      <c r="BS262" s="3">
        <v>45874</v>
      </c>
      <c r="BT262" s="4">
        <v>0.37361111111111112</v>
      </c>
      <c r="BU262" t="s">
        <v>823</v>
      </c>
      <c r="BV262" t="s">
        <v>86</v>
      </c>
      <c r="BY262">
        <v>31500</v>
      </c>
      <c r="CA262" t="s">
        <v>824</v>
      </c>
      <c r="CC262" t="s">
        <v>235</v>
      </c>
      <c r="CD262" s="5" t="s">
        <v>240</v>
      </c>
      <c r="CE262" t="s">
        <v>147</v>
      </c>
      <c r="CF262" s="3">
        <v>45874</v>
      </c>
      <c r="CI262">
        <v>1</v>
      </c>
      <c r="CJ262">
        <v>1</v>
      </c>
      <c r="CK262">
        <v>41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"080066998912"</f>
        <v>080066998912</v>
      </c>
      <c r="F263" s="3">
        <v>45873</v>
      </c>
      <c r="G263">
        <v>202605</v>
      </c>
      <c r="H263" t="s">
        <v>75</v>
      </c>
      <c r="I263" t="s">
        <v>76</v>
      </c>
      <c r="J263" t="s">
        <v>77</v>
      </c>
      <c r="K263" t="s">
        <v>78</v>
      </c>
      <c r="L263" t="s">
        <v>156</v>
      </c>
      <c r="M263" t="s">
        <v>157</v>
      </c>
      <c r="N263" t="s">
        <v>825</v>
      </c>
      <c r="O263" t="s">
        <v>82</v>
      </c>
      <c r="P263" t="str">
        <f>"4170052682                    "</f>
        <v xml:space="preserve">4170052682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17.649999999999999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55.61</v>
      </c>
      <c r="BM263">
        <v>8.34</v>
      </c>
      <c r="BN263">
        <v>63.95</v>
      </c>
      <c r="BO263">
        <v>63.95</v>
      </c>
      <c r="BQ263" t="s">
        <v>826</v>
      </c>
      <c r="BR263" t="s">
        <v>84</v>
      </c>
      <c r="BS263" s="3">
        <v>45874</v>
      </c>
      <c r="BT263" s="4">
        <v>0.4284722222222222</v>
      </c>
      <c r="BU263" t="s">
        <v>827</v>
      </c>
      <c r="BV263" t="s">
        <v>86</v>
      </c>
      <c r="BY263">
        <v>1200</v>
      </c>
      <c r="CA263" t="s">
        <v>272</v>
      </c>
      <c r="CC263" t="s">
        <v>157</v>
      </c>
      <c r="CD263">
        <v>1709</v>
      </c>
      <c r="CE263" t="s">
        <v>178</v>
      </c>
      <c r="CF263" s="3">
        <v>45875</v>
      </c>
      <c r="CI263">
        <v>1</v>
      </c>
      <c r="CJ263">
        <v>1</v>
      </c>
      <c r="CK263">
        <v>22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"080067003769"</f>
        <v>080067003769</v>
      </c>
      <c r="F264" s="3">
        <v>45873</v>
      </c>
      <c r="G264">
        <v>202605</v>
      </c>
      <c r="H264" t="s">
        <v>75</v>
      </c>
      <c r="I264" t="s">
        <v>76</v>
      </c>
      <c r="J264" t="s">
        <v>77</v>
      </c>
      <c r="K264" t="s">
        <v>78</v>
      </c>
      <c r="L264" t="s">
        <v>217</v>
      </c>
      <c r="M264" t="s">
        <v>218</v>
      </c>
      <c r="N264" t="s">
        <v>544</v>
      </c>
      <c r="O264" t="s">
        <v>82</v>
      </c>
      <c r="P264" t="str">
        <f>"4170052728                    "</f>
        <v xml:space="preserve">4170052728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135.5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12</v>
      </c>
      <c r="BJ264">
        <v>3.6</v>
      </c>
      <c r="BK264">
        <v>12</v>
      </c>
      <c r="BL264">
        <v>426.9</v>
      </c>
      <c r="BM264">
        <v>64.040000000000006</v>
      </c>
      <c r="BN264">
        <v>490.94</v>
      </c>
      <c r="BO264">
        <v>490.94</v>
      </c>
      <c r="BQ264" t="s">
        <v>545</v>
      </c>
      <c r="BR264" t="s">
        <v>84</v>
      </c>
      <c r="BS264" s="3">
        <v>45874</v>
      </c>
      <c r="BT264" s="4">
        <v>0.6166666666666667</v>
      </c>
      <c r="BU264" t="s">
        <v>828</v>
      </c>
      <c r="BV264" t="s">
        <v>90</v>
      </c>
      <c r="BY264">
        <v>18000</v>
      </c>
      <c r="CC264" t="s">
        <v>218</v>
      </c>
      <c r="CD264">
        <v>4000</v>
      </c>
      <c r="CE264" t="s">
        <v>147</v>
      </c>
      <c r="CF264" s="3">
        <v>45874</v>
      </c>
      <c r="CI264">
        <v>1</v>
      </c>
      <c r="CJ264">
        <v>1</v>
      </c>
      <c r="CK264">
        <v>21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"080066995582"</f>
        <v>080066995582</v>
      </c>
      <c r="F265" s="3">
        <v>45873</v>
      </c>
      <c r="G265">
        <v>202605</v>
      </c>
      <c r="H265" t="s">
        <v>75</v>
      </c>
      <c r="I265" t="s">
        <v>76</v>
      </c>
      <c r="J265" t="s">
        <v>77</v>
      </c>
      <c r="K265" t="s">
        <v>78</v>
      </c>
      <c r="L265" t="s">
        <v>129</v>
      </c>
      <c r="M265" t="s">
        <v>130</v>
      </c>
      <c r="N265" t="s">
        <v>131</v>
      </c>
      <c r="O265" t="s">
        <v>82</v>
      </c>
      <c r="P265" t="str">
        <f>"4170052589                    "</f>
        <v xml:space="preserve">4170052589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45.18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2</v>
      </c>
      <c r="BJ265">
        <v>3.6</v>
      </c>
      <c r="BK265">
        <v>4</v>
      </c>
      <c r="BL265">
        <v>142.34</v>
      </c>
      <c r="BM265">
        <v>21.35</v>
      </c>
      <c r="BN265">
        <v>163.69</v>
      </c>
      <c r="BO265">
        <v>163.69</v>
      </c>
      <c r="BQ265" t="s">
        <v>132</v>
      </c>
      <c r="BR265" t="s">
        <v>84</v>
      </c>
      <c r="BS265" s="3">
        <v>45875</v>
      </c>
      <c r="BT265" s="4">
        <v>0.78333333333333333</v>
      </c>
      <c r="BU265" t="s">
        <v>133</v>
      </c>
      <c r="BV265" t="s">
        <v>90</v>
      </c>
      <c r="BW265" t="s">
        <v>134</v>
      </c>
      <c r="BX265" t="s">
        <v>135</v>
      </c>
      <c r="BY265">
        <v>18000</v>
      </c>
      <c r="CA265" t="s">
        <v>136</v>
      </c>
      <c r="CC265" t="s">
        <v>130</v>
      </c>
      <c r="CD265">
        <v>4133</v>
      </c>
      <c r="CE265" t="s">
        <v>178</v>
      </c>
      <c r="CF265" s="3">
        <v>45875</v>
      </c>
      <c r="CI265">
        <v>1</v>
      </c>
      <c r="CJ265">
        <v>2</v>
      </c>
      <c r="CK265">
        <v>21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"080066995512"</f>
        <v>080066995512</v>
      </c>
      <c r="F266" s="3">
        <v>45873</v>
      </c>
      <c r="G266">
        <v>202605</v>
      </c>
      <c r="H266" t="s">
        <v>75</v>
      </c>
      <c r="I266" t="s">
        <v>76</v>
      </c>
      <c r="J266" t="s">
        <v>77</v>
      </c>
      <c r="K266" t="s">
        <v>78</v>
      </c>
      <c r="L266" t="s">
        <v>75</v>
      </c>
      <c r="M266" t="s">
        <v>76</v>
      </c>
      <c r="N266" t="s">
        <v>414</v>
      </c>
      <c r="O266" t="s">
        <v>82</v>
      </c>
      <c r="P266" t="str">
        <f>"4170052643                    "</f>
        <v xml:space="preserve">4170052643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17.649999999999999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55.61</v>
      </c>
      <c r="BM266">
        <v>8.34</v>
      </c>
      <c r="BN266">
        <v>63.95</v>
      </c>
      <c r="BO266">
        <v>63.95</v>
      </c>
      <c r="BQ266" t="s">
        <v>415</v>
      </c>
      <c r="BR266" t="s">
        <v>84</v>
      </c>
      <c r="BS266" s="3">
        <v>45874</v>
      </c>
      <c r="BT266" s="4">
        <v>0.29930555555555555</v>
      </c>
      <c r="BU266" t="s">
        <v>829</v>
      </c>
      <c r="BV266" t="s">
        <v>86</v>
      </c>
      <c r="BY266">
        <v>1200</v>
      </c>
      <c r="CA266" t="s">
        <v>155</v>
      </c>
      <c r="CC266" t="s">
        <v>76</v>
      </c>
      <c r="CD266">
        <v>1600</v>
      </c>
      <c r="CE266" t="s">
        <v>178</v>
      </c>
      <c r="CF266" s="3">
        <v>45875</v>
      </c>
      <c r="CI266">
        <v>1</v>
      </c>
      <c r="CJ266">
        <v>1</v>
      </c>
      <c r="CK266">
        <v>22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"080066996874"</f>
        <v>080066996874</v>
      </c>
      <c r="F267" s="3">
        <v>45873</v>
      </c>
      <c r="G267">
        <v>202605</v>
      </c>
      <c r="H267" t="s">
        <v>75</v>
      </c>
      <c r="I267" t="s">
        <v>76</v>
      </c>
      <c r="J267" t="s">
        <v>77</v>
      </c>
      <c r="K267" t="s">
        <v>78</v>
      </c>
      <c r="L267" t="s">
        <v>241</v>
      </c>
      <c r="M267" t="s">
        <v>242</v>
      </c>
      <c r="N267" t="s">
        <v>717</v>
      </c>
      <c r="O267" t="s">
        <v>82</v>
      </c>
      <c r="P267" t="str">
        <f>"4170052516                    "</f>
        <v xml:space="preserve">4170052516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17.649999999999999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55.61</v>
      </c>
      <c r="BM267">
        <v>8.34</v>
      </c>
      <c r="BN267">
        <v>63.95</v>
      </c>
      <c r="BO267">
        <v>63.95</v>
      </c>
      <c r="BQ267" t="s">
        <v>718</v>
      </c>
      <c r="BR267" t="s">
        <v>84</v>
      </c>
      <c r="BS267" s="3">
        <v>45874</v>
      </c>
      <c r="BT267" s="4">
        <v>0.39027777777777778</v>
      </c>
      <c r="BU267" t="s">
        <v>719</v>
      </c>
      <c r="BV267" t="s">
        <v>86</v>
      </c>
      <c r="BY267">
        <v>1200</v>
      </c>
      <c r="CA267" t="s">
        <v>720</v>
      </c>
      <c r="CC267" t="s">
        <v>242</v>
      </c>
      <c r="CD267">
        <v>1459</v>
      </c>
      <c r="CE267" t="s">
        <v>109</v>
      </c>
      <c r="CF267" s="3">
        <v>45875</v>
      </c>
      <c r="CI267">
        <v>1</v>
      </c>
      <c r="CJ267">
        <v>1</v>
      </c>
      <c r="CK267">
        <v>22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"080067003741"</f>
        <v>080067003741</v>
      </c>
      <c r="F268" s="3">
        <v>45873</v>
      </c>
      <c r="G268">
        <v>202605</v>
      </c>
      <c r="H268" t="s">
        <v>75</v>
      </c>
      <c r="I268" t="s">
        <v>76</v>
      </c>
      <c r="J268" t="s">
        <v>77</v>
      </c>
      <c r="K268" t="s">
        <v>78</v>
      </c>
      <c r="L268" t="s">
        <v>75</v>
      </c>
      <c r="M268" t="s">
        <v>76</v>
      </c>
      <c r="N268" t="s">
        <v>830</v>
      </c>
      <c r="O268" t="s">
        <v>113</v>
      </c>
      <c r="P268" t="str">
        <f>"4170052733                    "</f>
        <v xml:space="preserve">4170052733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17.66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2</v>
      </c>
      <c r="BI268">
        <v>6</v>
      </c>
      <c r="BJ268">
        <v>7.9</v>
      </c>
      <c r="BK268">
        <v>8</v>
      </c>
      <c r="BL268">
        <v>55.63</v>
      </c>
      <c r="BM268">
        <v>8.34</v>
      </c>
      <c r="BN268">
        <v>63.97</v>
      </c>
      <c r="BO268">
        <v>63.97</v>
      </c>
      <c r="BQ268" t="s">
        <v>831</v>
      </c>
      <c r="BR268" t="s">
        <v>84</v>
      </c>
      <c r="BS268" s="3">
        <v>45874</v>
      </c>
      <c r="BT268" s="4">
        <v>0.39791666666666664</v>
      </c>
      <c r="BU268" t="s">
        <v>827</v>
      </c>
      <c r="BV268" t="s">
        <v>86</v>
      </c>
      <c r="BY268">
        <v>39250</v>
      </c>
      <c r="CA268" t="s">
        <v>101</v>
      </c>
      <c r="CC268" t="s">
        <v>76</v>
      </c>
      <c r="CD268">
        <v>1601</v>
      </c>
      <c r="CE268" t="s">
        <v>147</v>
      </c>
      <c r="CF268" s="3">
        <v>45874</v>
      </c>
      <c r="CI268">
        <v>1</v>
      </c>
      <c r="CJ268">
        <v>1</v>
      </c>
      <c r="CK268">
        <v>32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"080066999189"</f>
        <v>080066999189</v>
      </c>
      <c r="F269" s="3">
        <v>45873</v>
      </c>
      <c r="G269">
        <v>202605</v>
      </c>
      <c r="H269" t="s">
        <v>75</v>
      </c>
      <c r="I269" t="s">
        <v>76</v>
      </c>
      <c r="J269" t="s">
        <v>77</v>
      </c>
      <c r="K269" t="s">
        <v>78</v>
      </c>
      <c r="L269" t="s">
        <v>162</v>
      </c>
      <c r="M269" t="s">
        <v>163</v>
      </c>
      <c r="N269" t="s">
        <v>164</v>
      </c>
      <c r="O269" t="s">
        <v>82</v>
      </c>
      <c r="P269" t="str">
        <f>"4170052684                    "</f>
        <v xml:space="preserve">4170052684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67.760000000000005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6</v>
      </c>
      <c r="BJ269">
        <v>3.4</v>
      </c>
      <c r="BK269">
        <v>6</v>
      </c>
      <c r="BL269">
        <v>213.48</v>
      </c>
      <c r="BM269">
        <v>32.020000000000003</v>
      </c>
      <c r="BN269">
        <v>245.5</v>
      </c>
      <c r="BO269">
        <v>245.5</v>
      </c>
      <c r="BQ269" t="s">
        <v>165</v>
      </c>
      <c r="BR269" t="s">
        <v>84</v>
      </c>
      <c r="BS269" s="3">
        <v>45874</v>
      </c>
      <c r="BT269" s="4">
        <v>0.41666666666666669</v>
      </c>
      <c r="BU269" t="s">
        <v>832</v>
      </c>
      <c r="BV269" t="s">
        <v>86</v>
      </c>
      <c r="BY269">
        <v>16965</v>
      </c>
      <c r="CC269" t="s">
        <v>163</v>
      </c>
      <c r="CD269">
        <v>3212</v>
      </c>
      <c r="CE269" t="s">
        <v>147</v>
      </c>
      <c r="CF269" s="3">
        <v>45874</v>
      </c>
      <c r="CI269">
        <v>2</v>
      </c>
      <c r="CJ269">
        <v>1</v>
      </c>
      <c r="CK269">
        <v>21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"080066995135"</f>
        <v>080066995135</v>
      </c>
      <c r="F270" s="3">
        <v>45873</v>
      </c>
      <c r="G270">
        <v>202605</v>
      </c>
      <c r="H270" t="s">
        <v>75</v>
      </c>
      <c r="I270" t="s">
        <v>76</v>
      </c>
      <c r="J270" t="s">
        <v>77</v>
      </c>
      <c r="K270" t="s">
        <v>78</v>
      </c>
      <c r="L270" t="s">
        <v>118</v>
      </c>
      <c r="M270" t="s">
        <v>118</v>
      </c>
      <c r="N270" t="s">
        <v>833</v>
      </c>
      <c r="O270" t="s">
        <v>82</v>
      </c>
      <c r="P270" t="str">
        <f>"4170052574                    "</f>
        <v xml:space="preserve">4170052574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73.44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2.5</v>
      </c>
      <c r="BJ270">
        <v>3.1</v>
      </c>
      <c r="BK270">
        <v>3.5</v>
      </c>
      <c r="BL270">
        <v>231.38</v>
      </c>
      <c r="BM270">
        <v>34.71</v>
      </c>
      <c r="BN270">
        <v>266.08999999999997</v>
      </c>
      <c r="BO270">
        <v>266.08999999999997</v>
      </c>
      <c r="BQ270" t="s">
        <v>834</v>
      </c>
      <c r="BR270" t="s">
        <v>84</v>
      </c>
      <c r="BS270" s="3">
        <v>45874</v>
      </c>
      <c r="BT270" s="4">
        <v>0.5180555555555556</v>
      </c>
      <c r="BU270" t="s">
        <v>835</v>
      </c>
      <c r="BV270" t="s">
        <v>86</v>
      </c>
      <c r="BY270">
        <v>15479.04</v>
      </c>
      <c r="CA270" t="s">
        <v>122</v>
      </c>
      <c r="CC270" t="s">
        <v>118</v>
      </c>
      <c r="CD270">
        <v>7646</v>
      </c>
      <c r="CE270" t="s">
        <v>147</v>
      </c>
      <c r="CF270" s="3">
        <v>45875</v>
      </c>
      <c r="CI270">
        <v>1</v>
      </c>
      <c r="CJ270">
        <v>1</v>
      </c>
      <c r="CK270">
        <v>23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"080067004429"</f>
        <v>080067004429</v>
      </c>
      <c r="F271" s="3">
        <v>45873</v>
      </c>
      <c r="G271">
        <v>202605</v>
      </c>
      <c r="H271" t="s">
        <v>75</v>
      </c>
      <c r="I271" t="s">
        <v>76</v>
      </c>
      <c r="J271" t="s">
        <v>77</v>
      </c>
      <c r="K271" t="s">
        <v>78</v>
      </c>
      <c r="L271" t="s">
        <v>198</v>
      </c>
      <c r="M271" t="s">
        <v>199</v>
      </c>
      <c r="N271" t="s">
        <v>680</v>
      </c>
      <c r="O271" t="s">
        <v>82</v>
      </c>
      <c r="P271" t="str">
        <f>"4170052710                    "</f>
        <v xml:space="preserve">4170052710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79.05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2</v>
      </c>
      <c r="BI271">
        <v>4.9000000000000004</v>
      </c>
      <c r="BJ271">
        <v>6.7</v>
      </c>
      <c r="BK271">
        <v>7</v>
      </c>
      <c r="BL271">
        <v>249.05</v>
      </c>
      <c r="BM271">
        <v>37.36</v>
      </c>
      <c r="BN271">
        <v>286.41000000000003</v>
      </c>
      <c r="BO271">
        <v>286.41000000000003</v>
      </c>
      <c r="BQ271" t="s">
        <v>681</v>
      </c>
      <c r="BR271" t="s">
        <v>84</v>
      </c>
      <c r="BS271" s="3">
        <v>45874</v>
      </c>
      <c r="BT271" s="4">
        <v>0.37361111111111112</v>
      </c>
      <c r="BU271" t="s">
        <v>682</v>
      </c>
      <c r="BV271" t="s">
        <v>86</v>
      </c>
      <c r="BY271">
        <v>33536.019999999997</v>
      </c>
      <c r="CA271" t="s">
        <v>413</v>
      </c>
      <c r="CC271" t="s">
        <v>199</v>
      </c>
      <c r="CD271">
        <v>6001</v>
      </c>
      <c r="CE271" t="s">
        <v>147</v>
      </c>
      <c r="CF271" s="3">
        <v>45874</v>
      </c>
      <c r="CI271">
        <v>1</v>
      </c>
      <c r="CJ271">
        <v>1</v>
      </c>
      <c r="CK271">
        <v>21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"080066998805"</f>
        <v>080066998805</v>
      </c>
      <c r="F272" s="3">
        <v>45873</v>
      </c>
      <c r="G272">
        <v>202605</v>
      </c>
      <c r="H272" t="s">
        <v>75</v>
      </c>
      <c r="I272" t="s">
        <v>76</v>
      </c>
      <c r="J272" t="s">
        <v>77</v>
      </c>
      <c r="K272" t="s">
        <v>78</v>
      </c>
      <c r="L272" t="s">
        <v>291</v>
      </c>
      <c r="M272" t="s">
        <v>292</v>
      </c>
      <c r="N272" t="s">
        <v>836</v>
      </c>
      <c r="O272" t="s">
        <v>82</v>
      </c>
      <c r="P272" t="str">
        <f>"4170052663                    "</f>
        <v xml:space="preserve">4170052663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17.649999999999999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2</v>
      </c>
      <c r="BJ272">
        <v>1.4</v>
      </c>
      <c r="BK272">
        <v>2</v>
      </c>
      <c r="BL272">
        <v>55.61</v>
      </c>
      <c r="BM272">
        <v>8.34</v>
      </c>
      <c r="BN272">
        <v>63.95</v>
      </c>
      <c r="BO272">
        <v>63.95</v>
      </c>
      <c r="BQ272" t="s">
        <v>837</v>
      </c>
      <c r="BR272" t="s">
        <v>84</v>
      </c>
      <c r="BS272" s="3">
        <v>45874</v>
      </c>
      <c r="BT272" s="4">
        <v>0.43055555555555558</v>
      </c>
      <c r="BU272" t="s">
        <v>838</v>
      </c>
      <c r="BV272" t="s">
        <v>86</v>
      </c>
      <c r="BY272">
        <v>7000</v>
      </c>
      <c r="CA272" t="s">
        <v>839</v>
      </c>
      <c r="CC272" t="s">
        <v>292</v>
      </c>
      <c r="CD272">
        <v>1449</v>
      </c>
      <c r="CE272" t="s">
        <v>147</v>
      </c>
      <c r="CF272" s="3">
        <v>45874</v>
      </c>
      <c r="CI272">
        <v>1</v>
      </c>
      <c r="CJ272">
        <v>1</v>
      </c>
      <c r="CK272">
        <v>22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"080066998955"</f>
        <v>080066998955</v>
      </c>
      <c r="F273" s="3">
        <v>45873</v>
      </c>
      <c r="G273">
        <v>202605</v>
      </c>
      <c r="H273" t="s">
        <v>75</v>
      </c>
      <c r="I273" t="s">
        <v>76</v>
      </c>
      <c r="J273" t="s">
        <v>77</v>
      </c>
      <c r="K273" t="s">
        <v>78</v>
      </c>
      <c r="L273" t="s">
        <v>303</v>
      </c>
      <c r="M273" t="s">
        <v>304</v>
      </c>
      <c r="N273" t="s">
        <v>840</v>
      </c>
      <c r="O273" t="s">
        <v>82</v>
      </c>
      <c r="P273" t="str">
        <f>"4170052671                    "</f>
        <v xml:space="preserve">4170052671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43.78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137.94</v>
      </c>
      <c r="BM273">
        <v>20.69</v>
      </c>
      <c r="BN273">
        <v>158.63</v>
      </c>
      <c r="BO273">
        <v>158.63</v>
      </c>
      <c r="BQ273" t="s">
        <v>841</v>
      </c>
      <c r="BR273" t="s">
        <v>84</v>
      </c>
      <c r="BS273" s="3">
        <v>45875</v>
      </c>
      <c r="BT273" s="4">
        <v>0.44513888888888886</v>
      </c>
      <c r="BU273" t="s">
        <v>842</v>
      </c>
      <c r="BV273" t="s">
        <v>90</v>
      </c>
      <c r="BW273" t="s">
        <v>773</v>
      </c>
      <c r="BX273" t="s">
        <v>843</v>
      </c>
      <c r="BY273">
        <v>1200</v>
      </c>
      <c r="CA273" t="s">
        <v>308</v>
      </c>
      <c r="CC273" t="s">
        <v>304</v>
      </c>
      <c r="CD273">
        <v>7130</v>
      </c>
      <c r="CE273" t="s">
        <v>409</v>
      </c>
      <c r="CF273" s="3">
        <v>45876</v>
      </c>
      <c r="CI273">
        <v>1</v>
      </c>
      <c r="CJ273">
        <v>2</v>
      </c>
      <c r="CK273">
        <v>23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"080066994662"</f>
        <v>080066994662</v>
      </c>
      <c r="F274" s="3">
        <v>45873</v>
      </c>
      <c r="G274">
        <v>202605</v>
      </c>
      <c r="H274" t="s">
        <v>75</v>
      </c>
      <c r="I274" t="s">
        <v>76</v>
      </c>
      <c r="J274" t="s">
        <v>77</v>
      </c>
      <c r="K274" t="s">
        <v>78</v>
      </c>
      <c r="L274" t="s">
        <v>555</v>
      </c>
      <c r="M274" t="s">
        <v>556</v>
      </c>
      <c r="N274" t="s">
        <v>844</v>
      </c>
      <c r="O274" t="s">
        <v>82</v>
      </c>
      <c r="P274" t="str">
        <f>"4170052595                    "</f>
        <v xml:space="preserve">4170052595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43.78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137.94</v>
      </c>
      <c r="BM274">
        <v>20.69</v>
      </c>
      <c r="BN274">
        <v>158.63</v>
      </c>
      <c r="BO274">
        <v>158.63</v>
      </c>
      <c r="BQ274" t="s">
        <v>845</v>
      </c>
      <c r="BR274" t="s">
        <v>84</v>
      </c>
      <c r="BS274" s="3">
        <v>45875</v>
      </c>
      <c r="BT274" s="4">
        <v>0.46111111111111114</v>
      </c>
      <c r="BU274" t="s">
        <v>846</v>
      </c>
      <c r="BV274" t="s">
        <v>86</v>
      </c>
      <c r="BY274">
        <v>1200</v>
      </c>
      <c r="CA274" t="s">
        <v>847</v>
      </c>
      <c r="CC274" t="s">
        <v>556</v>
      </c>
      <c r="CD274">
        <v>6850</v>
      </c>
      <c r="CE274" t="s">
        <v>109</v>
      </c>
      <c r="CF274" s="3">
        <v>45876</v>
      </c>
      <c r="CI274">
        <v>2</v>
      </c>
      <c r="CJ274">
        <v>2</v>
      </c>
      <c r="CK274">
        <v>23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"080066994865"</f>
        <v>080066994865</v>
      </c>
      <c r="F275" s="3">
        <v>45873</v>
      </c>
      <c r="G275">
        <v>202605</v>
      </c>
      <c r="H275" t="s">
        <v>75</v>
      </c>
      <c r="I275" t="s">
        <v>76</v>
      </c>
      <c r="J275" t="s">
        <v>77</v>
      </c>
      <c r="K275" t="s">
        <v>78</v>
      </c>
      <c r="L275" t="s">
        <v>385</v>
      </c>
      <c r="M275" t="s">
        <v>386</v>
      </c>
      <c r="N275" t="s">
        <v>848</v>
      </c>
      <c r="O275" t="s">
        <v>113</v>
      </c>
      <c r="P275" t="str">
        <f>"4170052541                    "</f>
        <v xml:space="preserve">4170052541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17.66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</v>
      </c>
      <c r="BJ275">
        <v>3.8</v>
      </c>
      <c r="BK275">
        <v>4</v>
      </c>
      <c r="BL275">
        <v>55.63</v>
      </c>
      <c r="BM275">
        <v>8.34</v>
      </c>
      <c r="BN275">
        <v>63.97</v>
      </c>
      <c r="BO275">
        <v>63.97</v>
      </c>
      <c r="BQ275" t="s">
        <v>849</v>
      </c>
      <c r="BR275" t="s">
        <v>84</v>
      </c>
      <c r="BS275" s="3">
        <v>45874</v>
      </c>
      <c r="BT275" s="4">
        <v>0.41666666666666669</v>
      </c>
      <c r="BU275" t="s">
        <v>850</v>
      </c>
      <c r="BV275" t="s">
        <v>86</v>
      </c>
      <c r="BY275">
        <v>19152</v>
      </c>
      <c r="CA275" t="s">
        <v>851</v>
      </c>
      <c r="CC275" t="s">
        <v>386</v>
      </c>
      <c r="CD275">
        <v>1559</v>
      </c>
      <c r="CE275" t="s">
        <v>178</v>
      </c>
      <c r="CF275" s="3">
        <v>45874</v>
      </c>
      <c r="CI275">
        <v>1</v>
      </c>
      <c r="CJ275">
        <v>1</v>
      </c>
      <c r="CK275">
        <v>32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"080067004599"</f>
        <v>080067004599</v>
      </c>
      <c r="F276" s="3">
        <v>45873</v>
      </c>
      <c r="G276">
        <v>202605</v>
      </c>
      <c r="H276" t="s">
        <v>75</v>
      </c>
      <c r="I276" t="s">
        <v>76</v>
      </c>
      <c r="J276" t="s">
        <v>77</v>
      </c>
      <c r="K276" t="s">
        <v>78</v>
      </c>
      <c r="L276" t="s">
        <v>325</v>
      </c>
      <c r="M276" t="s">
        <v>326</v>
      </c>
      <c r="N276" t="s">
        <v>852</v>
      </c>
      <c r="O276" t="s">
        <v>113</v>
      </c>
      <c r="P276" t="str">
        <f>"4170052723                    "</f>
        <v xml:space="preserve">4170052723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17.66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3</v>
      </c>
      <c r="BJ276">
        <v>3.2</v>
      </c>
      <c r="BK276">
        <v>4</v>
      </c>
      <c r="BL276">
        <v>55.63</v>
      </c>
      <c r="BM276">
        <v>8.34</v>
      </c>
      <c r="BN276">
        <v>63.97</v>
      </c>
      <c r="BO276">
        <v>63.97</v>
      </c>
      <c r="BQ276" t="s">
        <v>853</v>
      </c>
      <c r="BR276" t="s">
        <v>84</v>
      </c>
      <c r="BS276" s="3">
        <v>45874</v>
      </c>
      <c r="BT276" s="4">
        <v>0.375</v>
      </c>
      <c r="BU276" t="s">
        <v>854</v>
      </c>
      <c r="BV276" t="s">
        <v>86</v>
      </c>
      <c r="BY276">
        <v>16128</v>
      </c>
      <c r="CA276" t="s">
        <v>331</v>
      </c>
      <c r="CC276" t="s">
        <v>326</v>
      </c>
      <c r="CD276">
        <v>2091</v>
      </c>
      <c r="CE276" t="s">
        <v>178</v>
      </c>
      <c r="CF276" s="3">
        <v>45875</v>
      </c>
      <c r="CI276">
        <v>1</v>
      </c>
      <c r="CJ276">
        <v>1</v>
      </c>
      <c r="CK276">
        <v>32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"080067002914"</f>
        <v>080067002914</v>
      </c>
      <c r="F277" s="3">
        <v>45873</v>
      </c>
      <c r="G277">
        <v>202605</v>
      </c>
      <c r="H277" t="s">
        <v>75</v>
      </c>
      <c r="I277" t="s">
        <v>76</v>
      </c>
      <c r="J277" t="s">
        <v>77</v>
      </c>
      <c r="K277" t="s">
        <v>78</v>
      </c>
      <c r="L277" t="s">
        <v>855</v>
      </c>
      <c r="M277" t="s">
        <v>856</v>
      </c>
      <c r="N277" t="s">
        <v>857</v>
      </c>
      <c r="O277" t="s">
        <v>82</v>
      </c>
      <c r="P277" t="str">
        <f>"4170052720                    "</f>
        <v xml:space="preserve">4170052720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17.649999999999999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3.1</v>
      </c>
      <c r="BK277">
        <v>4</v>
      </c>
      <c r="BL277">
        <v>55.61</v>
      </c>
      <c r="BM277">
        <v>8.34</v>
      </c>
      <c r="BN277">
        <v>63.95</v>
      </c>
      <c r="BO277">
        <v>63.95</v>
      </c>
      <c r="BQ277" t="s">
        <v>858</v>
      </c>
      <c r="BR277" t="s">
        <v>84</v>
      </c>
      <c r="BS277" s="3">
        <v>45874</v>
      </c>
      <c r="BT277" s="4">
        <v>0.42777777777777776</v>
      </c>
      <c r="BU277" t="s">
        <v>859</v>
      </c>
      <c r="BV277" t="s">
        <v>86</v>
      </c>
      <c r="BY277">
        <v>15360</v>
      </c>
      <c r="CA277" t="s">
        <v>860</v>
      </c>
      <c r="CC277" t="s">
        <v>856</v>
      </c>
      <c r="CD277">
        <v>1682</v>
      </c>
      <c r="CE277" t="s">
        <v>147</v>
      </c>
      <c r="CF277" s="3">
        <v>45875</v>
      </c>
      <c r="CI277">
        <v>1</v>
      </c>
      <c r="CJ277">
        <v>1</v>
      </c>
      <c r="CK277">
        <v>22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"080066997119"</f>
        <v>080066997119</v>
      </c>
      <c r="F278" s="3">
        <v>45873</v>
      </c>
      <c r="G278">
        <v>202605</v>
      </c>
      <c r="H278" t="s">
        <v>75</v>
      </c>
      <c r="I278" t="s">
        <v>76</v>
      </c>
      <c r="J278" t="s">
        <v>77</v>
      </c>
      <c r="K278" t="s">
        <v>78</v>
      </c>
      <c r="L278" t="s">
        <v>400</v>
      </c>
      <c r="M278" t="s">
        <v>401</v>
      </c>
      <c r="N278" t="s">
        <v>402</v>
      </c>
      <c r="O278" t="s">
        <v>82</v>
      </c>
      <c r="P278" t="str">
        <f>"4170052660                    "</f>
        <v xml:space="preserve">4170052660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22.6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0.9</v>
      </c>
      <c r="BK278">
        <v>1</v>
      </c>
      <c r="BL278">
        <v>71.2</v>
      </c>
      <c r="BM278">
        <v>10.68</v>
      </c>
      <c r="BN278">
        <v>81.88</v>
      </c>
      <c r="BO278">
        <v>81.88</v>
      </c>
      <c r="BQ278" t="s">
        <v>403</v>
      </c>
      <c r="BR278" t="s">
        <v>84</v>
      </c>
      <c r="BS278" s="3">
        <v>45874</v>
      </c>
      <c r="BT278" s="4">
        <v>0.35208333333333336</v>
      </c>
      <c r="BU278" t="s">
        <v>404</v>
      </c>
      <c r="BV278" t="s">
        <v>86</v>
      </c>
      <c r="BY278">
        <v>4275</v>
      </c>
      <c r="CA278" t="s">
        <v>405</v>
      </c>
      <c r="CC278" t="s">
        <v>401</v>
      </c>
      <c r="CD278">
        <v>6230</v>
      </c>
      <c r="CE278" t="s">
        <v>178</v>
      </c>
      <c r="CF278" s="3">
        <v>45874</v>
      </c>
      <c r="CI278">
        <v>1</v>
      </c>
      <c r="CJ278">
        <v>1</v>
      </c>
      <c r="CK278">
        <v>21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"080066996322"</f>
        <v>080066996322</v>
      </c>
      <c r="F279" s="3">
        <v>45873</v>
      </c>
      <c r="G279">
        <v>202605</v>
      </c>
      <c r="H279" t="s">
        <v>75</v>
      </c>
      <c r="I279" t="s">
        <v>76</v>
      </c>
      <c r="J279" t="s">
        <v>77</v>
      </c>
      <c r="K279" t="s">
        <v>78</v>
      </c>
      <c r="L279" t="s">
        <v>319</v>
      </c>
      <c r="M279" t="s">
        <v>320</v>
      </c>
      <c r="N279" t="s">
        <v>321</v>
      </c>
      <c r="O279" t="s">
        <v>82</v>
      </c>
      <c r="P279" t="str">
        <f>"4170052637                    "</f>
        <v xml:space="preserve">4170052637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93.21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4.0999999999999996</v>
      </c>
      <c r="BJ279">
        <v>1.7</v>
      </c>
      <c r="BK279">
        <v>4.5</v>
      </c>
      <c r="BL279">
        <v>293.67</v>
      </c>
      <c r="BM279">
        <v>44.05</v>
      </c>
      <c r="BN279">
        <v>337.72</v>
      </c>
      <c r="BO279">
        <v>337.72</v>
      </c>
      <c r="BQ279" t="s">
        <v>322</v>
      </c>
      <c r="BR279" t="s">
        <v>84</v>
      </c>
      <c r="BS279" s="3">
        <v>45874</v>
      </c>
      <c r="BT279" s="4">
        <v>0.41666666666666669</v>
      </c>
      <c r="BU279" t="s">
        <v>630</v>
      </c>
      <c r="BV279" t="s">
        <v>86</v>
      </c>
      <c r="BY279">
        <v>8404.7999999999993</v>
      </c>
      <c r="CA279" t="s">
        <v>324</v>
      </c>
      <c r="CC279" t="s">
        <v>320</v>
      </c>
      <c r="CD279">
        <v>2531</v>
      </c>
      <c r="CE279" t="s">
        <v>147</v>
      </c>
      <c r="CF279" s="3">
        <v>45875</v>
      </c>
      <c r="CI279">
        <v>1</v>
      </c>
      <c r="CJ279">
        <v>1</v>
      </c>
      <c r="CK279">
        <v>23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"080066996761"</f>
        <v>080066996761</v>
      </c>
      <c r="F280" s="3">
        <v>45873</v>
      </c>
      <c r="G280">
        <v>202605</v>
      </c>
      <c r="H280" t="s">
        <v>75</v>
      </c>
      <c r="I280" t="s">
        <v>76</v>
      </c>
      <c r="J280" t="s">
        <v>77</v>
      </c>
      <c r="K280" t="s">
        <v>78</v>
      </c>
      <c r="L280" t="s">
        <v>217</v>
      </c>
      <c r="M280" t="s">
        <v>218</v>
      </c>
      <c r="N280" t="s">
        <v>861</v>
      </c>
      <c r="O280" t="s">
        <v>82</v>
      </c>
      <c r="P280" t="str">
        <f>"4170052669                    "</f>
        <v xml:space="preserve">4170052669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22.6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71.2</v>
      </c>
      <c r="BM280">
        <v>10.68</v>
      </c>
      <c r="BN280">
        <v>81.88</v>
      </c>
      <c r="BO280">
        <v>81.88</v>
      </c>
      <c r="BQ280" t="s">
        <v>862</v>
      </c>
      <c r="BR280" t="s">
        <v>84</v>
      </c>
      <c r="BS280" s="3">
        <v>45875</v>
      </c>
      <c r="BT280" s="4">
        <v>0.42708333333333331</v>
      </c>
      <c r="BU280" t="s">
        <v>863</v>
      </c>
      <c r="BV280" t="s">
        <v>90</v>
      </c>
      <c r="BW280" t="s">
        <v>134</v>
      </c>
      <c r="BX280" t="s">
        <v>135</v>
      </c>
      <c r="BY280">
        <v>1200</v>
      </c>
      <c r="CA280" t="s">
        <v>864</v>
      </c>
      <c r="CC280" t="s">
        <v>218</v>
      </c>
      <c r="CD280">
        <v>4001</v>
      </c>
      <c r="CE280" t="s">
        <v>178</v>
      </c>
      <c r="CF280" s="3">
        <v>45876</v>
      </c>
      <c r="CI280">
        <v>1</v>
      </c>
      <c r="CJ280">
        <v>2</v>
      </c>
      <c r="CK280">
        <v>21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"080066996362"</f>
        <v>080066996362</v>
      </c>
      <c r="F281" s="3">
        <v>45873</v>
      </c>
      <c r="G281">
        <v>202605</v>
      </c>
      <c r="H281" t="s">
        <v>75</v>
      </c>
      <c r="I281" t="s">
        <v>76</v>
      </c>
      <c r="J281" t="s">
        <v>77</v>
      </c>
      <c r="K281" t="s">
        <v>78</v>
      </c>
      <c r="L281" t="s">
        <v>75</v>
      </c>
      <c r="M281" t="s">
        <v>76</v>
      </c>
      <c r="N281" t="s">
        <v>152</v>
      </c>
      <c r="O281" t="s">
        <v>82</v>
      </c>
      <c r="P281" t="str">
        <f>"4170052661                    "</f>
        <v xml:space="preserve">4170052661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17.649999999999999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0.2</v>
      </c>
      <c r="BK281">
        <v>1</v>
      </c>
      <c r="BL281">
        <v>55.61</v>
      </c>
      <c r="BM281">
        <v>8.34</v>
      </c>
      <c r="BN281">
        <v>63.95</v>
      </c>
      <c r="BO281">
        <v>63.95</v>
      </c>
      <c r="BQ281" t="s">
        <v>153</v>
      </c>
      <c r="BR281" t="s">
        <v>84</v>
      </c>
      <c r="BS281" s="3">
        <v>45874</v>
      </c>
      <c r="BT281" s="4">
        <v>0.35347222222222224</v>
      </c>
      <c r="BU281" t="s">
        <v>865</v>
      </c>
      <c r="BV281" t="s">
        <v>86</v>
      </c>
      <c r="BY281">
        <v>1200</v>
      </c>
      <c r="CA281" t="s">
        <v>155</v>
      </c>
      <c r="CC281" t="s">
        <v>76</v>
      </c>
      <c r="CD281">
        <v>1600</v>
      </c>
      <c r="CE281" t="s">
        <v>178</v>
      </c>
      <c r="CF281" s="3">
        <v>45875</v>
      </c>
      <c r="CI281">
        <v>1</v>
      </c>
      <c r="CJ281">
        <v>1</v>
      </c>
      <c r="CK281">
        <v>22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"080066996966"</f>
        <v>080066996966</v>
      </c>
      <c r="F282" s="3">
        <v>45873</v>
      </c>
      <c r="G282">
        <v>202605</v>
      </c>
      <c r="H282" t="s">
        <v>75</v>
      </c>
      <c r="I282" t="s">
        <v>76</v>
      </c>
      <c r="J282" t="s">
        <v>77</v>
      </c>
      <c r="K282" t="s">
        <v>78</v>
      </c>
      <c r="L282" t="s">
        <v>217</v>
      </c>
      <c r="M282" t="s">
        <v>218</v>
      </c>
      <c r="N282" t="s">
        <v>219</v>
      </c>
      <c r="O282" t="s">
        <v>82</v>
      </c>
      <c r="P282" t="str">
        <f>"4170052666                    "</f>
        <v xml:space="preserve">4170052666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45.18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</v>
      </c>
      <c r="BJ282">
        <v>3.6</v>
      </c>
      <c r="BK282">
        <v>4</v>
      </c>
      <c r="BL282">
        <v>142.34</v>
      </c>
      <c r="BM282">
        <v>21.35</v>
      </c>
      <c r="BN282">
        <v>163.69</v>
      </c>
      <c r="BO282">
        <v>163.69</v>
      </c>
      <c r="BQ282" t="s">
        <v>220</v>
      </c>
      <c r="BR282" t="s">
        <v>84</v>
      </c>
      <c r="BS282" s="3">
        <v>45874</v>
      </c>
      <c r="BT282" s="4">
        <v>0.43125000000000002</v>
      </c>
      <c r="BU282" t="s">
        <v>221</v>
      </c>
      <c r="BV282" t="s">
        <v>86</v>
      </c>
      <c r="BY282">
        <v>18000</v>
      </c>
      <c r="CA282" t="s">
        <v>566</v>
      </c>
      <c r="CC282" t="s">
        <v>218</v>
      </c>
      <c r="CD282">
        <v>4000</v>
      </c>
      <c r="CE282" t="s">
        <v>147</v>
      </c>
      <c r="CF282" s="3">
        <v>45874</v>
      </c>
      <c r="CI282">
        <v>1</v>
      </c>
      <c r="CJ282">
        <v>1</v>
      </c>
      <c r="CK282">
        <v>21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"080066997463"</f>
        <v>080066997463</v>
      </c>
      <c r="F283" s="3">
        <v>45873</v>
      </c>
      <c r="G283">
        <v>202605</v>
      </c>
      <c r="H283" t="s">
        <v>75</v>
      </c>
      <c r="I283" t="s">
        <v>76</v>
      </c>
      <c r="J283" t="s">
        <v>77</v>
      </c>
      <c r="K283" t="s">
        <v>78</v>
      </c>
      <c r="L283" t="s">
        <v>278</v>
      </c>
      <c r="M283" t="s">
        <v>279</v>
      </c>
      <c r="N283" t="s">
        <v>866</v>
      </c>
      <c r="O283" t="s">
        <v>82</v>
      </c>
      <c r="P283" t="str">
        <f>"4170052674                    "</f>
        <v xml:space="preserve">4170052674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22.6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0.2</v>
      </c>
      <c r="BK283">
        <v>1</v>
      </c>
      <c r="BL283">
        <v>71.2</v>
      </c>
      <c r="BM283">
        <v>10.68</v>
      </c>
      <c r="BN283">
        <v>81.88</v>
      </c>
      <c r="BO283">
        <v>81.88</v>
      </c>
      <c r="BQ283" t="s">
        <v>867</v>
      </c>
      <c r="BR283" t="s">
        <v>84</v>
      </c>
      <c r="BS283" s="3">
        <v>45874</v>
      </c>
      <c r="BT283" s="4">
        <v>0.43888888888888888</v>
      </c>
      <c r="BU283" t="s">
        <v>868</v>
      </c>
      <c r="BV283" t="s">
        <v>90</v>
      </c>
      <c r="BW283" t="s">
        <v>380</v>
      </c>
      <c r="BX283" t="s">
        <v>869</v>
      </c>
      <c r="BY283">
        <v>1200</v>
      </c>
      <c r="CA283" t="s">
        <v>532</v>
      </c>
      <c r="CC283" t="s">
        <v>279</v>
      </c>
      <c r="CD283" s="5" t="s">
        <v>533</v>
      </c>
      <c r="CE283" t="s">
        <v>109</v>
      </c>
      <c r="CF283" s="3">
        <v>45874</v>
      </c>
      <c r="CI283">
        <v>1</v>
      </c>
      <c r="CJ283">
        <v>1</v>
      </c>
      <c r="CK283">
        <v>21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"080067004646"</f>
        <v>080067004646</v>
      </c>
      <c r="F284" s="3">
        <v>45873</v>
      </c>
      <c r="G284">
        <v>202605</v>
      </c>
      <c r="H284" t="s">
        <v>75</v>
      </c>
      <c r="I284" t="s">
        <v>76</v>
      </c>
      <c r="J284" t="s">
        <v>77</v>
      </c>
      <c r="K284" t="s">
        <v>78</v>
      </c>
      <c r="L284" t="s">
        <v>297</v>
      </c>
      <c r="M284" t="s">
        <v>298</v>
      </c>
      <c r="N284" t="s">
        <v>870</v>
      </c>
      <c r="O284" t="s">
        <v>82</v>
      </c>
      <c r="P284" t="str">
        <f>"4170052705                    "</f>
        <v xml:space="preserve">4170052705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135.5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12</v>
      </c>
      <c r="BJ284">
        <v>3.6</v>
      </c>
      <c r="BK284">
        <v>12</v>
      </c>
      <c r="BL284">
        <v>426.9</v>
      </c>
      <c r="BM284">
        <v>64.040000000000006</v>
      </c>
      <c r="BN284">
        <v>490.94</v>
      </c>
      <c r="BO284">
        <v>490.94</v>
      </c>
      <c r="BQ284" t="s">
        <v>871</v>
      </c>
      <c r="BR284" t="s">
        <v>84</v>
      </c>
      <c r="BS284" s="3">
        <v>45874</v>
      </c>
      <c r="BT284" s="4">
        <v>0.53333333333333333</v>
      </c>
      <c r="BU284" t="s">
        <v>872</v>
      </c>
      <c r="BV284" t="s">
        <v>90</v>
      </c>
      <c r="BY284">
        <v>18000</v>
      </c>
      <c r="CA284" t="s">
        <v>873</v>
      </c>
      <c r="CC284" t="s">
        <v>298</v>
      </c>
      <c r="CD284">
        <v>4302</v>
      </c>
      <c r="CE284" t="s">
        <v>147</v>
      </c>
      <c r="CF284" s="3">
        <v>45874</v>
      </c>
      <c r="CI284">
        <v>1</v>
      </c>
      <c r="CJ284">
        <v>1</v>
      </c>
      <c r="CK284">
        <v>21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"080066999631"</f>
        <v>080066999631</v>
      </c>
      <c r="F285" s="3">
        <v>45873</v>
      </c>
      <c r="G285">
        <v>202605</v>
      </c>
      <c r="H285" t="s">
        <v>75</v>
      </c>
      <c r="I285" t="s">
        <v>76</v>
      </c>
      <c r="J285" t="s">
        <v>77</v>
      </c>
      <c r="K285" t="s">
        <v>78</v>
      </c>
      <c r="L285" t="s">
        <v>672</v>
      </c>
      <c r="M285" t="s">
        <v>673</v>
      </c>
      <c r="N285" t="s">
        <v>874</v>
      </c>
      <c r="O285" t="s">
        <v>82</v>
      </c>
      <c r="P285" t="str">
        <f>"4170052689                    "</f>
        <v xml:space="preserve">4170052689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43.78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137.94</v>
      </c>
      <c r="BM285">
        <v>20.69</v>
      </c>
      <c r="BN285">
        <v>158.63</v>
      </c>
      <c r="BO285">
        <v>158.63</v>
      </c>
      <c r="BQ285" t="s">
        <v>875</v>
      </c>
      <c r="BR285" t="s">
        <v>84</v>
      </c>
      <c r="BS285" s="3">
        <v>45874</v>
      </c>
      <c r="BT285" s="4">
        <v>0.61111111111111116</v>
      </c>
      <c r="BU285" t="s">
        <v>876</v>
      </c>
      <c r="BV285" t="s">
        <v>86</v>
      </c>
      <c r="BY285">
        <v>1200</v>
      </c>
      <c r="CC285" t="s">
        <v>673</v>
      </c>
      <c r="CD285">
        <v>3370</v>
      </c>
      <c r="CE285" t="s">
        <v>109</v>
      </c>
      <c r="CF285" s="3">
        <v>45875</v>
      </c>
      <c r="CI285">
        <v>2</v>
      </c>
      <c r="CJ285">
        <v>1</v>
      </c>
      <c r="CK285">
        <v>23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"080067003718"</f>
        <v>080067003718</v>
      </c>
      <c r="F286" s="3">
        <v>45873</v>
      </c>
      <c r="G286">
        <v>202605</v>
      </c>
      <c r="H286" t="s">
        <v>75</v>
      </c>
      <c r="I286" t="s">
        <v>76</v>
      </c>
      <c r="J286" t="s">
        <v>77</v>
      </c>
      <c r="K286" t="s">
        <v>78</v>
      </c>
      <c r="L286" t="s">
        <v>123</v>
      </c>
      <c r="M286" t="s">
        <v>124</v>
      </c>
      <c r="N286" t="s">
        <v>877</v>
      </c>
      <c r="O286" t="s">
        <v>82</v>
      </c>
      <c r="P286" t="str">
        <f>"4170052719                    "</f>
        <v xml:space="preserve">4170052719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22.6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1.2</v>
      </c>
      <c r="BJ286">
        <v>1.2</v>
      </c>
      <c r="BK286">
        <v>1.5</v>
      </c>
      <c r="BL286">
        <v>71.2</v>
      </c>
      <c r="BM286">
        <v>10.68</v>
      </c>
      <c r="BN286">
        <v>81.88</v>
      </c>
      <c r="BO286">
        <v>81.88</v>
      </c>
      <c r="BQ286" t="s">
        <v>878</v>
      </c>
      <c r="BR286" t="s">
        <v>84</v>
      </c>
      <c r="BS286" s="3">
        <v>45874</v>
      </c>
      <c r="BT286" s="4">
        <v>0.3527777777777778</v>
      </c>
      <c r="BU286" t="s">
        <v>879</v>
      </c>
      <c r="BV286" t="s">
        <v>86</v>
      </c>
      <c r="BY286">
        <v>5782.89</v>
      </c>
      <c r="CC286" t="s">
        <v>124</v>
      </c>
      <c r="CD286">
        <v>7530</v>
      </c>
      <c r="CE286" t="s">
        <v>147</v>
      </c>
      <c r="CF286" s="3">
        <v>45875</v>
      </c>
      <c r="CI286">
        <v>1</v>
      </c>
      <c r="CJ286">
        <v>1</v>
      </c>
      <c r="CK286">
        <v>21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"080066995920"</f>
        <v>080066995920</v>
      </c>
      <c r="F287" s="3">
        <v>45873</v>
      </c>
      <c r="G287">
        <v>202605</v>
      </c>
      <c r="H287" t="s">
        <v>75</v>
      </c>
      <c r="I287" t="s">
        <v>76</v>
      </c>
      <c r="J287" t="s">
        <v>77</v>
      </c>
      <c r="K287" t="s">
        <v>78</v>
      </c>
      <c r="L287" t="s">
        <v>278</v>
      </c>
      <c r="M287" t="s">
        <v>279</v>
      </c>
      <c r="N287" t="s">
        <v>880</v>
      </c>
      <c r="O287" t="s">
        <v>95</v>
      </c>
      <c r="P287" t="str">
        <f>"4170052649                    "</f>
        <v xml:space="preserve">4170052649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43.7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10</v>
      </c>
      <c r="BJ287">
        <v>2.4</v>
      </c>
      <c r="BK287">
        <v>10</v>
      </c>
      <c r="BL287">
        <v>143.55000000000001</v>
      </c>
      <c r="BM287">
        <v>21.53</v>
      </c>
      <c r="BN287">
        <v>165.08</v>
      </c>
      <c r="BO287">
        <v>165.08</v>
      </c>
      <c r="BQ287" t="s">
        <v>881</v>
      </c>
      <c r="BR287" t="s">
        <v>84</v>
      </c>
      <c r="BS287" s="3">
        <v>45874</v>
      </c>
      <c r="BT287" s="4">
        <v>0.38055555555555554</v>
      </c>
      <c r="BU287" t="s">
        <v>882</v>
      </c>
      <c r="BV287" t="s">
        <v>86</v>
      </c>
      <c r="BY287">
        <v>12000</v>
      </c>
      <c r="CC287" t="s">
        <v>279</v>
      </c>
      <c r="CD287" s="5" t="s">
        <v>883</v>
      </c>
      <c r="CE287" t="s">
        <v>117</v>
      </c>
      <c r="CF287" s="3">
        <v>45874</v>
      </c>
      <c r="CI287">
        <v>1</v>
      </c>
      <c r="CJ287">
        <v>1</v>
      </c>
      <c r="CK287">
        <v>41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"080066994991"</f>
        <v>080066994991</v>
      </c>
      <c r="F288" s="3">
        <v>45873</v>
      </c>
      <c r="G288">
        <v>202605</v>
      </c>
      <c r="H288" t="s">
        <v>75</v>
      </c>
      <c r="I288" t="s">
        <v>76</v>
      </c>
      <c r="J288" t="s">
        <v>77</v>
      </c>
      <c r="K288" t="s">
        <v>78</v>
      </c>
      <c r="L288" t="s">
        <v>255</v>
      </c>
      <c r="M288" t="s">
        <v>256</v>
      </c>
      <c r="N288" t="s">
        <v>884</v>
      </c>
      <c r="O288" t="s">
        <v>113</v>
      </c>
      <c r="P288" t="str">
        <f>"4170052520                    "</f>
        <v xml:space="preserve">4170052520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21.62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10</v>
      </c>
      <c r="BJ288">
        <v>8.9</v>
      </c>
      <c r="BK288">
        <v>10</v>
      </c>
      <c r="BL288">
        <v>68.11</v>
      </c>
      <c r="BM288">
        <v>10.220000000000001</v>
      </c>
      <c r="BN288">
        <v>78.33</v>
      </c>
      <c r="BO288">
        <v>78.33</v>
      </c>
      <c r="BQ288" t="s">
        <v>885</v>
      </c>
      <c r="BR288" t="s">
        <v>84</v>
      </c>
      <c r="BS288" s="3">
        <v>45874</v>
      </c>
      <c r="BT288" s="4">
        <v>0.41666666666666669</v>
      </c>
      <c r="BU288" t="s">
        <v>886</v>
      </c>
      <c r="BV288" t="s">
        <v>86</v>
      </c>
      <c r="BY288">
        <v>44640</v>
      </c>
      <c r="CA288" t="s">
        <v>623</v>
      </c>
      <c r="CC288" t="s">
        <v>256</v>
      </c>
      <c r="CD288">
        <v>1502</v>
      </c>
      <c r="CE288" t="s">
        <v>147</v>
      </c>
      <c r="CF288" s="3">
        <v>45875</v>
      </c>
      <c r="CI288">
        <v>1</v>
      </c>
      <c r="CJ288">
        <v>1</v>
      </c>
      <c r="CK288">
        <v>32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"080066995978"</f>
        <v>080066995978</v>
      </c>
      <c r="F289" s="3">
        <v>45873</v>
      </c>
      <c r="G289">
        <v>202605</v>
      </c>
      <c r="H289" t="s">
        <v>75</v>
      </c>
      <c r="I289" t="s">
        <v>76</v>
      </c>
      <c r="J289" t="s">
        <v>77</v>
      </c>
      <c r="K289" t="s">
        <v>78</v>
      </c>
      <c r="L289" t="s">
        <v>123</v>
      </c>
      <c r="M289" t="s">
        <v>124</v>
      </c>
      <c r="N289" t="s">
        <v>887</v>
      </c>
      <c r="O289" t="s">
        <v>82</v>
      </c>
      <c r="P289" t="str">
        <f>"4170052670                    "</f>
        <v xml:space="preserve">4170052670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45.18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3.6</v>
      </c>
      <c r="BJ289">
        <v>1</v>
      </c>
      <c r="BK289">
        <v>4</v>
      </c>
      <c r="BL289">
        <v>142.34</v>
      </c>
      <c r="BM289">
        <v>21.35</v>
      </c>
      <c r="BN289">
        <v>163.69</v>
      </c>
      <c r="BO289">
        <v>163.69</v>
      </c>
      <c r="BQ289" t="s">
        <v>888</v>
      </c>
      <c r="BR289" t="s">
        <v>84</v>
      </c>
      <c r="BS289" s="3">
        <v>45874</v>
      </c>
      <c r="BT289" s="4">
        <v>0.43402777777777779</v>
      </c>
      <c r="BU289" t="s">
        <v>889</v>
      </c>
      <c r="BV289" t="s">
        <v>86</v>
      </c>
      <c r="BY289">
        <v>4778.79</v>
      </c>
      <c r="CC289" t="s">
        <v>124</v>
      </c>
      <c r="CD289">
        <v>7800</v>
      </c>
      <c r="CE289" t="s">
        <v>147</v>
      </c>
      <c r="CF289" s="3">
        <v>45875</v>
      </c>
      <c r="CI289">
        <v>1</v>
      </c>
      <c r="CJ289">
        <v>1</v>
      </c>
      <c r="CK289">
        <v>21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"080067004558"</f>
        <v>080067004558</v>
      </c>
      <c r="F290" s="3">
        <v>45873</v>
      </c>
      <c r="G290">
        <v>202605</v>
      </c>
      <c r="H290" t="s">
        <v>75</v>
      </c>
      <c r="I290" t="s">
        <v>76</v>
      </c>
      <c r="J290" t="s">
        <v>77</v>
      </c>
      <c r="K290" t="s">
        <v>78</v>
      </c>
      <c r="L290" t="s">
        <v>75</v>
      </c>
      <c r="M290" t="s">
        <v>76</v>
      </c>
      <c r="N290" t="s">
        <v>890</v>
      </c>
      <c r="O290" t="s">
        <v>82</v>
      </c>
      <c r="P290" t="str">
        <f>"4170052734                    "</f>
        <v xml:space="preserve">4170052734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17.649999999999999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</v>
      </c>
      <c r="BJ290">
        <v>1.7</v>
      </c>
      <c r="BK290">
        <v>2</v>
      </c>
      <c r="BL290">
        <v>55.61</v>
      </c>
      <c r="BM290">
        <v>8.34</v>
      </c>
      <c r="BN290">
        <v>63.95</v>
      </c>
      <c r="BO290">
        <v>63.95</v>
      </c>
      <c r="BQ290" t="s">
        <v>891</v>
      </c>
      <c r="BR290" t="s">
        <v>84</v>
      </c>
      <c r="BS290" s="3">
        <v>45874</v>
      </c>
      <c r="BT290" s="4">
        <v>0.38750000000000001</v>
      </c>
      <c r="BU290" t="s">
        <v>892</v>
      </c>
      <c r="BV290" t="s">
        <v>86</v>
      </c>
      <c r="BY290">
        <v>8280</v>
      </c>
      <c r="CA290" t="s">
        <v>146</v>
      </c>
      <c r="CC290" t="s">
        <v>76</v>
      </c>
      <c r="CD290">
        <v>1619</v>
      </c>
      <c r="CE290" t="s">
        <v>178</v>
      </c>
      <c r="CF290" s="3">
        <v>45875</v>
      </c>
      <c r="CI290">
        <v>1</v>
      </c>
      <c r="CJ290">
        <v>1</v>
      </c>
      <c r="CK290">
        <v>22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"080066997459"</f>
        <v>080066997459</v>
      </c>
      <c r="F291" s="3">
        <v>45873</v>
      </c>
      <c r="G291">
        <v>202605</v>
      </c>
      <c r="H291" t="s">
        <v>75</v>
      </c>
      <c r="I291" t="s">
        <v>76</v>
      </c>
      <c r="J291" t="s">
        <v>77</v>
      </c>
      <c r="K291" t="s">
        <v>78</v>
      </c>
      <c r="L291" t="s">
        <v>217</v>
      </c>
      <c r="M291" t="s">
        <v>218</v>
      </c>
      <c r="N291" t="s">
        <v>219</v>
      </c>
      <c r="O291" t="s">
        <v>82</v>
      </c>
      <c r="P291" t="str">
        <f>"4170052676                    "</f>
        <v xml:space="preserve">4170052676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45.18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</v>
      </c>
      <c r="BJ291">
        <v>3.6</v>
      </c>
      <c r="BK291">
        <v>4</v>
      </c>
      <c r="BL291">
        <v>142.34</v>
      </c>
      <c r="BM291">
        <v>21.35</v>
      </c>
      <c r="BN291">
        <v>163.69</v>
      </c>
      <c r="BO291">
        <v>163.69</v>
      </c>
      <c r="BQ291" t="s">
        <v>220</v>
      </c>
      <c r="BR291" t="s">
        <v>84</v>
      </c>
      <c r="BS291" s="3">
        <v>45874</v>
      </c>
      <c r="BT291" s="4">
        <v>0.43125000000000002</v>
      </c>
      <c r="BU291" t="s">
        <v>221</v>
      </c>
      <c r="BV291" t="s">
        <v>86</v>
      </c>
      <c r="BY291">
        <v>18000</v>
      </c>
      <c r="CA291" t="s">
        <v>566</v>
      </c>
      <c r="CC291" t="s">
        <v>218</v>
      </c>
      <c r="CD291">
        <v>4051</v>
      </c>
      <c r="CE291" t="s">
        <v>147</v>
      </c>
      <c r="CF291" s="3">
        <v>45874</v>
      </c>
      <c r="CI291">
        <v>1</v>
      </c>
      <c r="CJ291">
        <v>1</v>
      </c>
      <c r="CK291">
        <v>21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"080067004275"</f>
        <v>080067004275</v>
      </c>
      <c r="F292" s="3">
        <v>45873</v>
      </c>
      <c r="G292">
        <v>202605</v>
      </c>
      <c r="H292" t="s">
        <v>75</v>
      </c>
      <c r="I292" t="s">
        <v>76</v>
      </c>
      <c r="J292" t="s">
        <v>77</v>
      </c>
      <c r="K292" t="s">
        <v>78</v>
      </c>
      <c r="L292" t="s">
        <v>223</v>
      </c>
      <c r="M292" t="s">
        <v>224</v>
      </c>
      <c r="N292" t="s">
        <v>225</v>
      </c>
      <c r="O292" t="s">
        <v>82</v>
      </c>
      <c r="P292" t="str">
        <f>"4170052713                    "</f>
        <v xml:space="preserve">4170052713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135.5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5.2</v>
      </c>
      <c r="BJ292">
        <v>12</v>
      </c>
      <c r="BK292">
        <v>12</v>
      </c>
      <c r="BL292">
        <v>426.9</v>
      </c>
      <c r="BM292">
        <v>64.040000000000006</v>
      </c>
      <c r="BN292">
        <v>490.94</v>
      </c>
      <c r="BO292">
        <v>490.94</v>
      </c>
      <c r="BQ292" t="s">
        <v>226</v>
      </c>
      <c r="BR292" t="s">
        <v>84</v>
      </c>
      <c r="BS292" s="3">
        <v>45874</v>
      </c>
      <c r="BT292" s="4">
        <v>0.65347222222222223</v>
      </c>
      <c r="BU292" t="s">
        <v>227</v>
      </c>
      <c r="BV292" t="s">
        <v>90</v>
      </c>
      <c r="BY292">
        <v>59802.6</v>
      </c>
      <c r="CA292" t="s">
        <v>228</v>
      </c>
      <c r="CC292" t="s">
        <v>224</v>
      </c>
      <c r="CD292">
        <v>5200</v>
      </c>
      <c r="CE292" t="s">
        <v>147</v>
      </c>
      <c r="CF292" s="3">
        <v>45874</v>
      </c>
      <c r="CI292">
        <v>1</v>
      </c>
      <c r="CJ292">
        <v>1</v>
      </c>
      <c r="CK292">
        <v>21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"080067003133"</f>
        <v>080067003133</v>
      </c>
      <c r="F293" s="3">
        <v>45873</v>
      </c>
      <c r="G293">
        <v>202605</v>
      </c>
      <c r="H293" t="s">
        <v>75</v>
      </c>
      <c r="I293" t="s">
        <v>76</v>
      </c>
      <c r="J293" t="s">
        <v>77</v>
      </c>
      <c r="K293" t="s">
        <v>78</v>
      </c>
      <c r="L293" t="s">
        <v>241</v>
      </c>
      <c r="M293" t="s">
        <v>242</v>
      </c>
      <c r="N293" t="s">
        <v>893</v>
      </c>
      <c r="O293" t="s">
        <v>113</v>
      </c>
      <c r="P293" t="str">
        <f>"4170052703                    "</f>
        <v xml:space="preserve">4170052703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17.66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5.0999999999999996</v>
      </c>
      <c r="BJ293">
        <v>1.8</v>
      </c>
      <c r="BK293">
        <v>6</v>
      </c>
      <c r="BL293">
        <v>55.63</v>
      </c>
      <c r="BM293">
        <v>8.34</v>
      </c>
      <c r="BN293">
        <v>63.97</v>
      </c>
      <c r="BO293">
        <v>63.97</v>
      </c>
      <c r="BQ293" t="s">
        <v>894</v>
      </c>
      <c r="BR293" t="s">
        <v>84</v>
      </c>
      <c r="BS293" s="3">
        <v>45875</v>
      </c>
      <c r="BT293" s="4">
        <v>0.54236111111111107</v>
      </c>
      <c r="BU293" t="s">
        <v>895</v>
      </c>
      <c r="BV293" t="s">
        <v>90</v>
      </c>
      <c r="BW293" t="s">
        <v>896</v>
      </c>
      <c r="BX293" t="s">
        <v>897</v>
      </c>
      <c r="BY293">
        <v>8965.7999999999993</v>
      </c>
      <c r="CA293" t="s">
        <v>623</v>
      </c>
      <c r="CC293" t="s">
        <v>242</v>
      </c>
      <c r="CD293">
        <v>1459</v>
      </c>
      <c r="CE293" t="s">
        <v>147</v>
      </c>
      <c r="CF293" s="3">
        <v>45875</v>
      </c>
      <c r="CI293">
        <v>1</v>
      </c>
      <c r="CJ293">
        <v>2</v>
      </c>
      <c r="CK293">
        <v>32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"080066996435"</f>
        <v>080066996435</v>
      </c>
      <c r="F294" s="3">
        <v>45873</v>
      </c>
      <c r="G294">
        <v>202605</v>
      </c>
      <c r="H294" t="s">
        <v>75</v>
      </c>
      <c r="I294" t="s">
        <v>76</v>
      </c>
      <c r="J294" t="s">
        <v>77</v>
      </c>
      <c r="K294" t="s">
        <v>78</v>
      </c>
      <c r="L294" t="s">
        <v>137</v>
      </c>
      <c r="M294" t="s">
        <v>138</v>
      </c>
      <c r="N294" t="s">
        <v>781</v>
      </c>
      <c r="O294" t="s">
        <v>82</v>
      </c>
      <c r="P294" t="str">
        <f>"4170052611                    "</f>
        <v xml:space="preserve">4170052611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45.18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</v>
      </c>
      <c r="BJ294">
        <v>3.6</v>
      </c>
      <c r="BK294">
        <v>4</v>
      </c>
      <c r="BL294">
        <v>142.34</v>
      </c>
      <c r="BM294">
        <v>21.35</v>
      </c>
      <c r="BN294">
        <v>163.69</v>
      </c>
      <c r="BO294">
        <v>163.69</v>
      </c>
      <c r="BQ294" t="s">
        <v>782</v>
      </c>
      <c r="BR294" t="s">
        <v>84</v>
      </c>
      <c r="BS294" s="3">
        <v>45874</v>
      </c>
      <c r="BT294" s="4">
        <v>0.62847222222222221</v>
      </c>
      <c r="BU294" t="s">
        <v>783</v>
      </c>
      <c r="BV294" t="s">
        <v>90</v>
      </c>
      <c r="BW294" t="s">
        <v>134</v>
      </c>
      <c r="BX294" t="s">
        <v>641</v>
      </c>
      <c r="BY294">
        <v>18000</v>
      </c>
      <c r="CA294" t="s">
        <v>142</v>
      </c>
      <c r="CC294" t="s">
        <v>138</v>
      </c>
      <c r="CD294">
        <v>3610</v>
      </c>
      <c r="CE294" t="s">
        <v>147</v>
      </c>
      <c r="CF294" s="3">
        <v>45874</v>
      </c>
      <c r="CI294">
        <v>1</v>
      </c>
      <c r="CJ294">
        <v>1</v>
      </c>
      <c r="CK294">
        <v>21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"080067004465"</f>
        <v>080067004465</v>
      </c>
      <c r="F295" s="3">
        <v>45873</v>
      </c>
      <c r="G295">
        <v>202605</v>
      </c>
      <c r="H295" t="s">
        <v>75</v>
      </c>
      <c r="I295" t="s">
        <v>76</v>
      </c>
      <c r="J295" t="s">
        <v>77</v>
      </c>
      <c r="K295" t="s">
        <v>78</v>
      </c>
      <c r="L295" t="s">
        <v>162</v>
      </c>
      <c r="M295" t="s">
        <v>163</v>
      </c>
      <c r="N295" t="s">
        <v>898</v>
      </c>
      <c r="O295" t="s">
        <v>95</v>
      </c>
      <c r="P295" t="str">
        <f>"4170052721                    "</f>
        <v xml:space="preserve">4170052721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43.7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2</v>
      </c>
      <c r="BI295">
        <v>15</v>
      </c>
      <c r="BJ295">
        <v>14.9</v>
      </c>
      <c r="BK295">
        <v>15</v>
      </c>
      <c r="BL295">
        <v>143.55000000000001</v>
      </c>
      <c r="BM295">
        <v>21.53</v>
      </c>
      <c r="BN295">
        <v>165.08</v>
      </c>
      <c r="BO295">
        <v>165.08</v>
      </c>
      <c r="BQ295" t="s">
        <v>899</v>
      </c>
      <c r="BR295" t="s">
        <v>84</v>
      </c>
      <c r="BS295" t="s">
        <v>96</v>
      </c>
      <c r="BY295">
        <v>74460</v>
      </c>
      <c r="CC295" t="s">
        <v>163</v>
      </c>
      <c r="CD295">
        <v>3201</v>
      </c>
      <c r="CE295" t="s">
        <v>147</v>
      </c>
      <c r="CF295" s="3">
        <v>45875</v>
      </c>
      <c r="CI295">
        <v>2</v>
      </c>
      <c r="CJ295" t="s">
        <v>96</v>
      </c>
      <c r="CK295">
        <v>41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"080066996930"</f>
        <v>080066996930</v>
      </c>
      <c r="F296" s="3">
        <v>45873</v>
      </c>
      <c r="G296">
        <v>202605</v>
      </c>
      <c r="H296" t="s">
        <v>75</v>
      </c>
      <c r="I296" t="s">
        <v>76</v>
      </c>
      <c r="J296" t="s">
        <v>77</v>
      </c>
      <c r="K296" t="s">
        <v>78</v>
      </c>
      <c r="L296" t="s">
        <v>319</v>
      </c>
      <c r="M296" t="s">
        <v>320</v>
      </c>
      <c r="N296" t="s">
        <v>321</v>
      </c>
      <c r="O296" t="s">
        <v>82</v>
      </c>
      <c r="P296" t="str">
        <f>"4170052664                    "</f>
        <v xml:space="preserve">4170052664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63.56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2.6</v>
      </c>
      <c r="BJ296">
        <v>1.7</v>
      </c>
      <c r="BK296">
        <v>3</v>
      </c>
      <c r="BL296">
        <v>200.24</v>
      </c>
      <c r="BM296">
        <v>30.04</v>
      </c>
      <c r="BN296">
        <v>230.28</v>
      </c>
      <c r="BO296">
        <v>230.28</v>
      </c>
      <c r="BQ296" t="s">
        <v>322</v>
      </c>
      <c r="BR296" t="s">
        <v>84</v>
      </c>
      <c r="BS296" s="3">
        <v>45874</v>
      </c>
      <c r="BT296" s="4">
        <v>0.41666666666666669</v>
      </c>
      <c r="BU296" t="s">
        <v>900</v>
      </c>
      <c r="BV296" t="s">
        <v>86</v>
      </c>
      <c r="BY296">
        <v>8603.1</v>
      </c>
      <c r="CC296" t="s">
        <v>320</v>
      </c>
      <c r="CD296">
        <v>2531</v>
      </c>
      <c r="CE296" t="s">
        <v>147</v>
      </c>
      <c r="CF296" s="3">
        <v>45875</v>
      </c>
      <c r="CI296">
        <v>1</v>
      </c>
      <c r="CJ296">
        <v>1</v>
      </c>
      <c r="CK296">
        <v>23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"080066995547"</f>
        <v>080066995547</v>
      </c>
      <c r="F297" s="3">
        <v>45873</v>
      </c>
      <c r="G297">
        <v>202605</v>
      </c>
      <c r="H297" t="s">
        <v>75</v>
      </c>
      <c r="I297" t="s">
        <v>76</v>
      </c>
      <c r="J297" t="s">
        <v>77</v>
      </c>
      <c r="K297" t="s">
        <v>78</v>
      </c>
      <c r="L297" t="s">
        <v>198</v>
      </c>
      <c r="M297" t="s">
        <v>199</v>
      </c>
      <c r="N297" t="s">
        <v>430</v>
      </c>
      <c r="O297" t="s">
        <v>82</v>
      </c>
      <c r="P297" t="str">
        <f>"4170052591                    "</f>
        <v xml:space="preserve">4170052591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39.53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3.3</v>
      </c>
      <c r="BJ297">
        <v>0.9</v>
      </c>
      <c r="BK297">
        <v>3.5</v>
      </c>
      <c r="BL297">
        <v>124.55</v>
      </c>
      <c r="BM297">
        <v>18.68</v>
      </c>
      <c r="BN297">
        <v>143.22999999999999</v>
      </c>
      <c r="BO297">
        <v>143.22999999999999</v>
      </c>
      <c r="BQ297" t="s">
        <v>431</v>
      </c>
      <c r="BR297" t="s">
        <v>84</v>
      </c>
      <c r="BS297" s="3">
        <v>45874</v>
      </c>
      <c r="BT297" s="4">
        <v>0.34930555555555554</v>
      </c>
      <c r="BU297" t="s">
        <v>901</v>
      </c>
      <c r="BV297" t="s">
        <v>86</v>
      </c>
      <c r="BY297">
        <v>4599.8999999999996</v>
      </c>
      <c r="BZ297" t="s">
        <v>330</v>
      </c>
      <c r="CC297" t="s">
        <v>199</v>
      </c>
      <c r="CD297">
        <v>6001</v>
      </c>
      <c r="CE297" t="s">
        <v>89</v>
      </c>
      <c r="CF297" s="3">
        <v>45874</v>
      </c>
      <c r="CI297">
        <v>1</v>
      </c>
      <c r="CJ297">
        <v>1</v>
      </c>
      <c r="CK297">
        <v>21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"080066997170"</f>
        <v>080066997170</v>
      </c>
      <c r="F298" s="3">
        <v>45873</v>
      </c>
      <c r="G298">
        <v>202605</v>
      </c>
      <c r="H298" t="s">
        <v>75</v>
      </c>
      <c r="I298" t="s">
        <v>76</v>
      </c>
      <c r="J298" t="s">
        <v>77</v>
      </c>
      <c r="K298" t="s">
        <v>78</v>
      </c>
      <c r="L298" t="s">
        <v>118</v>
      </c>
      <c r="M298" t="s">
        <v>118</v>
      </c>
      <c r="N298" t="s">
        <v>902</v>
      </c>
      <c r="O298" t="s">
        <v>82</v>
      </c>
      <c r="P298" t="str">
        <f>"4170052658                    "</f>
        <v xml:space="preserve">4170052658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379.91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9.5</v>
      </c>
      <c r="BJ298">
        <v>19</v>
      </c>
      <c r="BK298">
        <v>19</v>
      </c>
      <c r="BL298">
        <v>1196.9100000000001</v>
      </c>
      <c r="BM298">
        <v>179.54</v>
      </c>
      <c r="BN298">
        <v>1376.45</v>
      </c>
      <c r="BO298">
        <v>1376.45</v>
      </c>
      <c r="BQ298" t="s">
        <v>903</v>
      </c>
      <c r="BR298" t="s">
        <v>84</v>
      </c>
      <c r="BS298" s="3">
        <v>45874</v>
      </c>
      <c r="BT298" s="4">
        <v>0.41249999999999998</v>
      </c>
      <c r="BU298" t="s">
        <v>904</v>
      </c>
      <c r="BV298" t="s">
        <v>86</v>
      </c>
      <c r="BY298">
        <v>95218.5</v>
      </c>
      <c r="CC298" t="s">
        <v>118</v>
      </c>
      <c r="CD298">
        <v>7646</v>
      </c>
      <c r="CE298" t="s">
        <v>147</v>
      </c>
      <c r="CF298" s="3">
        <v>45875</v>
      </c>
      <c r="CI298">
        <v>1</v>
      </c>
      <c r="CJ298">
        <v>1</v>
      </c>
      <c r="CK298">
        <v>23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"080066999249"</f>
        <v>080066999249</v>
      </c>
      <c r="F299" s="3">
        <v>45873</v>
      </c>
      <c r="G299">
        <v>202605</v>
      </c>
      <c r="H299" t="s">
        <v>75</v>
      </c>
      <c r="I299" t="s">
        <v>76</v>
      </c>
      <c r="J299" t="s">
        <v>77</v>
      </c>
      <c r="K299" t="s">
        <v>78</v>
      </c>
      <c r="L299" t="s">
        <v>217</v>
      </c>
      <c r="M299" t="s">
        <v>218</v>
      </c>
      <c r="N299" t="s">
        <v>219</v>
      </c>
      <c r="O299" t="s">
        <v>82</v>
      </c>
      <c r="P299" t="str">
        <f>"4170052686                    "</f>
        <v xml:space="preserve">4170052686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22.6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71.2</v>
      </c>
      <c r="BM299">
        <v>10.68</v>
      </c>
      <c r="BN299">
        <v>81.88</v>
      </c>
      <c r="BO299">
        <v>81.88</v>
      </c>
      <c r="BQ299" t="s">
        <v>220</v>
      </c>
      <c r="BR299" t="s">
        <v>84</v>
      </c>
      <c r="BS299" s="3">
        <v>45875</v>
      </c>
      <c r="BT299" s="4">
        <v>0.33611111111111114</v>
      </c>
      <c r="BU299" t="s">
        <v>565</v>
      </c>
      <c r="BV299" t="s">
        <v>90</v>
      </c>
      <c r="BW299" t="s">
        <v>134</v>
      </c>
      <c r="BX299" t="s">
        <v>135</v>
      </c>
      <c r="BY299">
        <v>1200</v>
      </c>
      <c r="CA299" t="s">
        <v>566</v>
      </c>
      <c r="CC299" t="s">
        <v>218</v>
      </c>
      <c r="CD299">
        <v>4051</v>
      </c>
      <c r="CE299" t="s">
        <v>109</v>
      </c>
      <c r="CF299" s="3">
        <v>45875</v>
      </c>
      <c r="CI299">
        <v>1</v>
      </c>
      <c r="CJ299">
        <v>2</v>
      </c>
      <c r="CK299">
        <v>21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"080066996927"</f>
        <v>080066996927</v>
      </c>
      <c r="F300" s="3">
        <v>45873</v>
      </c>
      <c r="G300">
        <v>202605</v>
      </c>
      <c r="H300" t="s">
        <v>75</v>
      </c>
      <c r="I300" t="s">
        <v>76</v>
      </c>
      <c r="J300" t="s">
        <v>77</v>
      </c>
      <c r="K300" t="s">
        <v>78</v>
      </c>
      <c r="L300" t="s">
        <v>555</v>
      </c>
      <c r="M300" t="s">
        <v>556</v>
      </c>
      <c r="N300" t="s">
        <v>844</v>
      </c>
      <c r="O300" t="s">
        <v>82</v>
      </c>
      <c r="P300" t="str">
        <f>"4170052653                    "</f>
        <v xml:space="preserve">4170052653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83.33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3.6</v>
      </c>
      <c r="BJ300">
        <v>2</v>
      </c>
      <c r="BK300">
        <v>4</v>
      </c>
      <c r="BL300">
        <v>262.52999999999997</v>
      </c>
      <c r="BM300">
        <v>39.380000000000003</v>
      </c>
      <c r="BN300">
        <v>301.91000000000003</v>
      </c>
      <c r="BO300">
        <v>301.91000000000003</v>
      </c>
      <c r="BQ300" t="s">
        <v>845</v>
      </c>
      <c r="BR300" t="s">
        <v>84</v>
      </c>
      <c r="BS300" s="3">
        <v>45874</v>
      </c>
      <c r="BT300" s="4">
        <v>0.51041666666666663</v>
      </c>
      <c r="BU300" t="s">
        <v>905</v>
      </c>
      <c r="BV300" t="s">
        <v>86</v>
      </c>
      <c r="BY300">
        <v>9924.65</v>
      </c>
      <c r="CA300" t="s">
        <v>457</v>
      </c>
      <c r="CC300" t="s">
        <v>556</v>
      </c>
      <c r="CD300">
        <v>6850</v>
      </c>
      <c r="CE300" t="s">
        <v>147</v>
      </c>
      <c r="CF300" s="3">
        <v>45875</v>
      </c>
      <c r="CI300">
        <v>2</v>
      </c>
      <c r="CJ300">
        <v>1</v>
      </c>
      <c r="CK300">
        <v>23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"080067003691"</f>
        <v>080067003691</v>
      </c>
      <c r="F301" s="3">
        <v>45873</v>
      </c>
      <c r="G301">
        <v>202605</v>
      </c>
      <c r="H301" t="s">
        <v>75</v>
      </c>
      <c r="I301" t="s">
        <v>76</v>
      </c>
      <c r="J301" t="s">
        <v>77</v>
      </c>
      <c r="K301" t="s">
        <v>78</v>
      </c>
      <c r="L301" t="s">
        <v>319</v>
      </c>
      <c r="M301" t="s">
        <v>320</v>
      </c>
      <c r="N301" t="s">
        <v>321</v>
      </c>
      <c r="O301" t="s">
        <v>82</v>
      </c>
      <c r="P301" t="str">
        <f>"4170052724                    "</f>
        <v xml:space="preserve">4170052724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43.78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2</v>
      </c>
      <c r="BJ301">
        <v>0.2</v>
      </c>
      <c r="BK301">
        <v>2</v>
      </c>
      <c r="BL301">
        <v>137.94</v>
      </c>
      <c r="BM301">
        <v>20.69</v>
      </c>
      <c r="BN301">
        <v>158.63</v>
      </c>
      <c r="BO301">
        <v>158.63</v>
      </c>
      <c r="BQ301" t="s">
        <v>322</v>
      </c>
      <c r="BR301" t="s">
        <v>84</v>
      </c>
      <c r="BS301" s="3">
        <v>45874</v>
      </c>
      <c r="BT301" s="4">
        <v>0.41666666666666669</v>
      </c>
      <c r="BU301" t="s">
        <v>630</v>
      </c>
      <c r="BV301" t="s">
        <v>86</v>
      </c>
      <c r="BY301">
        <v>1200</v>
      </c>
      <c r="CA301" t="s">
        <v>324</v>
      </c>
      <c r="CC301" t="s">
        <v>320</v>
      </c>
      <c r="CD301">
        <v>2531</v>
      </c>
      <c r="CE301" t="s">
        <v>147</v>
      </c>
      <c r="CF301" s="3">
        <v>45875</v>
      </c>
      <c r="CI301">
        <v>1</v>
      </c>
      <c r="CJ301">
        <v>1</v>
      </c>
      <c r="CK301">
        <v>23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"080066995530"</f>
        <v>080066995530</v>
      </c>
      <c r="F302" s="3">
        <v>45873</v>
      </c>
      <c r="G302">
        <v>202605</v>
      </c>
      <c r="H302" t="s">
        <v>75</v>
      </c>
      <c r="I302" t="s">
        <v>76</v>
      </c>
      <c r="J302" t="s">
        <v>77</v>
      </c>
      <c r="K302" t="s">
        <v>78</v>
      </c>
      <c r="L302" t="s">
        <v>319</v>
      </c>
      <c r="M302" t="s">
        <v>320</v>
      </c>
      <c r="N302" t="s">
        <v>321</v>
      </c>
      <c r="O302" t="s">
        <v>82</v>
      </c>
      <c r="P302" t="str">
        <f>"4170052638                    "</f>
        <v xml:space="preserve">4170052638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43.78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2</v>
      </c>
      <c r="BJ302">
        <v>0.2</v>
      </c>
      <c r="BK302">
        <v>2</v>
      </c>
      <c r="BL302">
        <v>137.94</v>
      </c>
      <c r="BM302">
        <v>20.69</v>
      </c>
      <c r="BN302">
        <v>158.63</v>
      </c>
      <c r="BO302">
        <v>158.63</v>
      </c>
      <c r="BQ302" t="s">
        <v>322</v>
      </c>
      <c r="BR302" t="s">
        <v>84</v>
      </c>
      <c r="BS302" s="3">
        <v>45874</v>
      </c>
      <c r="BT302" s="4">
        <v>0.41666666666666669</v>
      </c>
      <c r="BU302" t="s">
        <v>630</v>
      </c>
      <c r="BV302" t="s">
        <v>86</v>
      </c>
      <c r="BY302">
        <v>1200</v>
      </c>
      <c r="CA302" t="s">
        <v>324</v>
      </c>
      <c r="CC302" t="s">
        <v>320</v>
      </c>
      <c r="CD302">
        <v>2531</v>
      </c>
      <c r="CE302" t="s">
        <v>109</v>
      </c>
      <c r="CF302" s="3">
        <v>45875</v>
      </c>
      <c r="CI302">
        <v>1</v>
      </c>
      <c r="CJ302">
        <v>1</v>
      </c>
      <c r="CK302">
        <v>23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"080066997098"</f>
        <v>080066997098</v>
      </c>
      <c r="F303" s="3">
        <v>45873</v>
      </c>
      <c r="G303">
        <v>202605</v>
      </c>
      <c r="H303" t="s">
        <v>75</v>
      </c>
      <c r="I303" t="s">
        <v>76</v>
      </c>
      <c r="J303" t="s">
        <v>77</v>
      </c>
      <c r="K303" t="s">
        <v>78</v>
      </c>
      <c r="L303" t="s">
        <v>319</v>
      </c>
      <c r="M303" t="s">
        <v>320</v>
      </c>
      <c r="N303" t="s">
        <v>321</v>
      </c>
      <c r="O303" t="s">
        <v>95</v>
      </c>
      <c r="P303" t="str">
        <f>"4170052659                    "</f>
        <v xml:space="preserve">4170052659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61.64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2</v>
      </c>
      <c r="BJ303">
        <v>0.2</v>
      </c>
      <c r="BK303">
        <v>2</v>
      </c>
      <c r="BL303">
        <v>200.06</v>
      </c>
      <c r="BM303">
        <v>30.01</v>
      </c>
      <c r="BN303">
        <v>230.07</v>
      </c>
      <c r="BO303">
        <v>230.07</v>
      </c>
      <c r="BQ303" t="s">
        <v>322</v>
      </c>
      <c r="BR303" t="s">
        <v>84</v>
      </c>
      <c r="BS303" s="3">
        <v>45874</v>
      </c>
      <c r="BT303" s="4">
        <v>0.41666666666666669</v>
      </c>
      <c r="BU303" t="s">
        <v>630</v>
      </c>
      <c r="BV303" t="s">
        <v>86</v>
      </c>
      <c r="BY303">
        <v>1200</v>
      </c>
      <c r="CA303" t="s">
        <v>324</v>
      </c>
      <c r="CC303" t="s">
        <v>320</v>
      </c>
      <c r="CD303">
        <v>2531</v>
      </c>
      <c r="CE303" t="s">
        <v>906</v>
      </c>
      <c r="CF303" s="3">
        <v>45875</v>
      </c>
      <c r="CI303">
        <v>1</v>
      </c>
      <c r="CJ303">
        <v>1</v>
      </c>
      <c r="CK303">
        <v>43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"R080066894858"</f>
        <v>R080066894858</v>
      </c>
      <c r="F304" s="3">
        <v>45874</v>
      </c>
      <c r="G304">
        <v>202605</v>
      </c>
      <c r="H304" t="s">
        <v>297</v>
      </c>
      <c r="I304" t="s">
        <v>298</v>
      </c>
      <c r="J304" t="s">
        <v>907</v>
      </c>
      <c r="K304" t="s">
        <v>78</v>
      </c>
      <c r="L304" t="s">
        <v>198</v>
      </c>
      <c r="M304" t="s">
        <v>199</v>
      </c>
      <c r="N304" t="s">
        <v>908</v>
      </c>
      <c r="O304" t="s">
        <v>95</v>
      </c>
      <c r="P304" t="str">
        <f>"4170052165                    "</f>
        <v xml:space="preserve">4170052165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43.7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9</v>
      </c>
      <c r="BJ304">
        <v>9.1</v>
      </c>
      <c r="BK304">
        <v>10</v>
      </c>
      <c r="BL304">
        <v>143.55000000000001</v>
      </c>
      <c r="BM304">
        <v>21.53</v>
      </c>
      <c r="BN304">
        <v>165.08</v>
      </c>
      <c r="BO304">
        <v>165.08</v>
      </c>
      <c r="BQ304" t="s">
        <v>909</v>
      </c>
      <c r="BR304" t="s">
        <v>910</v>
      </c>
      <c r="BS304" s="3">
        <v>45877</v>
      </c>
      <c r="BT304" s="4">
        <v>0.48680555555555555</v>
      </c>
      <c r="BU304" t="s">
        <v>911</v>
      </c>
      <c r="BV304" t="s">
        <v>86</v>
      </c>
      <c r="BY304">
        <v>45632</v>
      </c>
      <c r="BZ304" t="s">
        <v>100</v>
      </c>
      <c r="CA304" t="s">
        <v>810</v>
      </c>
      <c r="CC304" t="s">
        <v>199</v>
      </c>
      <c r="CD304">
        <v>6000</v>
      </c>
      <c r="CE304" t="s">
        <v>147</v>
      </c>
      <c r="CF304" s="3">
        <v>45880</v>
      </c>
      <c r="CI304">
        <v>3</v>
      </c>
      <c r="CJ304">
        <v>3</v>
      </c>
      <c r="CK304">
        <v>41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"080067020742"</f>
        <v>080067020742</v>
      </c>
      <c r="F305" s="3">
        <v>45874</v>
      </c>
      <c r="G305">
        <v>202605</v>
      </c>
      <c r="H305" t="s">
        <v>75</v>
      </c>
      <c r="I305" t="s">
        <v>76</v>
      </c>
      <c r="J305" t="s">
        <v>77</v>
      </c>
      <c r="K305" t="s">
        <v>78</v>
      </c>
      <c r="L305" t="s">
        <v>198</v>
      </c>
      <c r="M305" t="s">
        <v>199</v>
      </c>
      <c r="N305" t="s">
        <v>598</v>
      </c>
      <c r="O305" t="s">
        <v>82</v>
      </c>
      <c r="P305" t="str">
        <f>"4170052801                    "</f>
        <v xml:space="preserve">4170052801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22.6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0.2</v>
      </c>
      <c r="BK305">
        <v>1</v>
      </c>
      <c r="BL305">
        <v>71.2</v>
      </c>
      <c r="BM305">
        <v>10.68</v>
      </c>
      <c r="BN305">
        <v>81.88</v>
      </c>
      <c r="BO305">
        <v>81.88</v>
      </c>
      <c r="BQ305" t="s">
        <v>599</v>
      </c>
      <c r="BR305" t="s">
        <v>84</v>
      </c>
      <c r="BS305" s="3">
        <v>45875</v>
      </c>
      <c r="BT305" s="4">
        <v>0.35902777777777778</v>
      </c>
      <c r="BU305" t="s">
        <v>912</v>
      </c>
      <c r="BV305" t="s">
        <v>86</v>
      </c>
      <c r="BY305">
        <v>1200</v>
      </c>
      <c r="CA305" t="s">
        <v>601</v>
      </c>
      <c r="CC305" t="s">
        <v>199</v>
      </c>
      <c r="CD305">
        <v>6001</v>
      </c>
      <c r="CE305" t="s">
        <v>109</v>
      </c>
      <c r="CF305" s="3">
        <v>45875</v>
      </c>
      <c r="CI305">
        <v>1</v>
      </c>
      <c r="CJ305">
        <v>1</v>
      </c>
      <c r="CK305">
        <v>21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"080067020745"</f>
        <v>080067020745</v>
      </c>
      <c r="F306" s="3">
        <v>45874</v>
      </c>
      <c r="G306">
        <v>202605</v>
      </c>
      <c r="H306" t="s">
        <v>75</v>
      </c>
      <c r="I306" t="s">
        <v>76</v>
      </c>
      <c r="J306" t="s">
        <v>77</v>
      </c>
      <c r="K306" t="s">
        <v>78</v>
      </c>
      <c r="L306" t="s">
        <v>123</v>
      </c>
      <c r="M306" t="s">
        <v>124</v>
      </c>
      <c r="N306" t="s">
        <v>189</v>
      </c>
      <c r="O306" t="s">
        <v>82</v>
      </c>
      <c r="P306" t="str">
        <f>"4170052478                    "</f>
        <v xml:space="preserve">4170052478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22.6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1.7</v>
      </c>
      <c r="BK306">
        <v>2</v>
      </c>
      <c r="BL306">
        <v>71.2</v>
      </c>
      <c r="BM306">
        <v>10.68</v>
      </c>
      <c r="BN306">
        <v>81.88</v>
      </c>
      <c r="BO306">
        <v>81.88</v>
      </c>
      <c r="BQ306" t="s">
        <v>190</v>
      </c>
      <c r="BR306" t="s">
        <v>84</v>
      </c>
      <c r="BS306" s="3">
        <v>45875</v>
      </c>
      <c r="BT306" s="4">
        <v>0.42708333333333331</v>
      </c>
      <c r="BU306" t="s">
        <v>913</v>
      </c>
      <c r="BV306" t="s">
        <v>86</v>
      </c>
      <c r="BY306">
        <v>8640</v>
      </c>
      <c r="CA306" t="s">
        <v>192</v>
      </c>
      <c r="CC306" t="s">
        <v>124</v>
      </c>
      <c r="CD306">
        <v>8001</v>
      </c>
      <c r="CE306" t="s">
        <v>117</v>
      </c>
      <c r="CF306" s="3">
        <v>45876</v>
      </c>
      <c r="CI306">
        <v>1</v>
      </c>
      <c r="CJ306">
        <v>1</v>
      </c>
      <c r="CK306">
        <v>21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"080067020779"</f>
        <v>080067020779</v>
      </c>
      <c r="F307" s="3">
        <v>45874</v>
      </c>
      <c r="G307">
        <v>202605</v>
      </c>
      <c r="H307" t="s">
        <v>75</v>
      </c>
      <c r="I307" t="s">
        <v>76</v>
      </c>
      <c r="J307" t="s">
        <v>77</v>
      </c>
      <c r="K307" t="s">
        <v>78</v>
      </c>
      <c r="L307" t="s">
        <v>198</v>
      </c>
      <c r="M307" t="s">
        <v>199</v>
      </c>
      <c r="N307" t="s">
        <v>469</v>
      </c>
      <c r="O307" t="s">
        <v>82</v>
      </c>
      <c r="P307" t="str">
        <f>"4170052988                    "</f>
        <v xml:space="preserve">4170052988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22.6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</v>
      </c>
      <c r="BJ307">
        <v>0.2</v>
      </c>
      <c r="BK307">
        <v>1</v>
      </c>
      <c r="BL307">
        <v>71.2</v>
      </c>
      <c r="BM307">
        <v>10.68</v>
      </c>
      <c r="BN307">
        <v>81.88</v>
      </c>
      <c r="BO307">
        <v>81.88</v>
      </c>
      <c r="BQ307" t="s">
        <v>470</v>
      </c>
      <c r="BR307" t="s">
        <v>84</v>
      </c>
      <c r="BS307" s="3">
        <v>45875</v>
      </c>
      <c r="BT307" s="4">
        <v>0.39583333333333331</v>
      </c>
      <c r="BU307" t="s">
        <v>914</v>
      </c>
      <c r="BV307" t="s">
        <v>86</v>
      </c>
      <c r="BY307">
        <v>1200</v>
      </c>
      <c r="CA307" t="s">
        <v>915</v>
      </c>
      <c r="CC307" t="s">
        <v>199</v>
      </c>
      <c r="CD307">
        <v>6001</v>
      </c>
      <c r="CE307" t="s">
        <v>109</v>
      </c>
      <c r="CF307" s="3">
        <v>45875</v>
      </c>
      <c r="CI307">
        <v>1</v>
      </c>
      <c r="CJ307">
        <v>1</v>
      </c>
      <c r="CK307">
        <v>21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"080067020781"</f>
        <v>080067020781</v>
      </c>
      <c r="F308" s="3">
        <v>45874</v>
      </c>
      <c r="G308">
        <v>202605</v>
      </c>
      <c r="H308" t="s">
        <v>75</v>
      </c>
      <c r="I308" t="s">
        <v>76</v>
      </c>
      <c r="J308" t="s">
        <v>77</v>
      </c>
      <c r="K308" t="s">
        <v>78</v>
      </c>
      <c r="L308" t="s">
        <v>123</v>
      </c>
      <c r="M308" t="s">
        <v>124</v>
      </c>
      <c r="N308" t="s">
        <v>406</v>
      </c>
      <c r="O308" t="s">
        <v>82</v>
      </c>
      <c r="P308" t="str">
        <f>"4170052842                    "</f>
        <v xml:space="preserve">4170052842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90.34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8</v>
      </c>
      <c r="BJ308">
        <v>4.5</v>
      </c>
      <c r="BK308">
        <v>8</v>
      </c>
      <c r="BL308">
        <v>284.62</v>
      </c>
      <c r="BM308">
        <v>42.69</v>
      </c>
      <c r="BN308">
        <v>327.31</v>
      </c>
      <c r="BO308">
        <v>327.31</v>
      </c>
      <c r="BQ308" t="s">
        <v>407</v>
      </c>
      <c r="BR308" t="s">
        <v>84</v>
      </c>
      <c r="BS308" s="3">
        <v>45875</v>
      </c>
      <c r="BT308" s="4">
        <v>0.38263888888888886</v>
      </c>
      <c r="BU308" t="s">
        <v>408</v>
      </c>
      <c r="BV308" t="s">
        <v>86</v>
      </c>
      <c r="BY308">
        <v>22620</v>
      </c>
      <c r="CA308" t="s">
        <v>192</v>
      </c>
      <c r="CC308" t="s">
        <v>124</v>
      </c>
      <c r="CD308">
        <v>7441</v>
      </c>
      <c r="CE308" t="s">
        <v>147</v>
      </c>
      <c r="CF308" s="3">
        <v>45876</v>
      </c>
      <c r="CI308">
        <v>1</v>
      </c>
      <c r="CJ308">
        <v>1</v>
      </c>
      <c r="CK308">
        <v>21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"080067020825"</f>
        <v>080067020825</v>
      </c>
      <c r="F309" s="3">
        <v>45874</v>
      </c>
      <c r="G309">
        <v>202605</v>
      </c>
      <c r="H309" t="s">
        <v>75</v>
      </c>
      <c r="I309" t="s">
        <v>76</v>
      </c>
      <c r="J309" t="s">
        <v>77</v>
      </c>
      <c r="K309" t="s">
        <v>78</v>
      </c>
      <c r="L309" t="s">
        <v>234</v>
      </c>
      <c r="M309" t="s">
        <v>235</v>
      </c>
      <c r="N309" t="s">
        <v>236</v>
      </c>
      <c r="O309" t="s">
        <v>82</v>
      </c>
      <c r="P309" t="str">
        <f>"4170052776                    "</f>
        <v xml:space="preserve">4170052776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22.6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1.1000000000000001</v>
      </c>
      <c r="BK309">
        <v>1.5</v>
      </c>
      <c r="BL309">
        <v>71.2</v>
      </c>
      <c r="BM309">
        <v>10.68</v>
      </c>
      <c r="BN309">
        <v>81.88</v>
      </c>
      <c r="BO309">
        <v>81.88</v>
      </c>
      <c r="BQ309" t="s">
        <v>237</v>
      </c>
      <c r="BR309" t="s">
        <v>84</v>
      </c>
      <c r="BS309" s="3">
        <v>45875</v>
      </c>
      <c r="BT309" s="4">
        <v>0.40138888888888891</v>
      </c>
      <c r="BU309" t="s">
        <v>238</v>
      </c>
      <c r="BV309" t="s">
        <v>86</v>
      </c>
      <c r="BY309">
        <v>5320</v>
      </c>
      <c r="CA309" t="s">
        <v>239</v>
      </c>
      <c r="CC309" t="s">
        <v>235</v>
      </c>
      <c r="CD309" s="5" t="s">
        <v>240</v>
      </c>
      <c r="CE309" t="s">
        <v>147</v>
      </c>
      <c r="CF309" s="3">
        <v>45875</v>
      </c>
      <c r="CI309">
        <v>1</v>
      </c>
      <c r="CJ309">
        <v>1</v>
      </c>
      <c r="CK309">
        <v>21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"080067020832"</f>
        <v>080067020832</v>
      </c>
      <c r="F310" s="3">
        <v>45874</v>
      </c>
      <c r="G310">
        <v>202605</v>
      </c>
      <c r="H310" t="s">
        <v>75</v>
      </c>
      <c r="I310" t="s">
        <v>76</v>
      </c>
      <c r="J310" t="s">
        <v>77</v>
      </c>
      <c r="K310" t="s">
        <v>78</v>
      </c>
      <c r="L310" t="s">
        <v>162</v>
      </c>
      <c r="M310" t="s">
        <v>163</v>
      </c>
      <c r="N310" t="s">
        <v>916</v>
      </c>
      <c r="O310" t="s">
        <v>82</v>
      </c>
      <c r="P310" t="str">
        <f>"4170052836                    "</f>
        <v xml:space="preserve">4170052836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22.6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0.2</v>
      </c>
      <c r="BK310">
        <v>1</v>
      </c>
      <c r="BL310">
        <v>71.2</v>
      </c>
      <c r="BM310">
        <v>10.68</v>
      </c>
      <c r="BN310">
        <v>81.88</v>
      </c>
      <c r="BO310">
        <v>81.88</v>
      </c>
      <c r="BQ310" t="s">
        <v>917</v>
      </c>
      <c r="BR310" t="s">
        <v>84</v>
      </c>
      <c r="BS310" s="3">
        <v>45876</v>
      </c>
      <c r="BT310" s="4">
        <v>0.41666666666666669</v>
      </c>
      <c r="BU310" t="s">
        <v>918</v>
      </c>
      <c r="BV310" t="s">
        <v>86</v>
      </c>
      <c r="BY310">
        <v>1200</v>
      </c>
      <c r="CA310" t="s">
        <v>919</v>
      </c>
      <c r="CC310" t="s">
        <v>163</v>
      </c>
      <c r="CD310">
        <v>3201</v>
      </c>
      <c r="CE310" t="s">
        <v>109</v>
      </c>
      <c r="CF310" s="3">
        <v>45877</v>
      </c>
      <c r="CI310">
        <v>5</v>
      </c>
      <c r="CJ310">
        <v>2</v>
      </c>
      <c r="CK310">
        <v>21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"080067020859"</f>
        <v>080067020859</v>
      </c>
      <c r="F311" s="3">
        <v>45874</v>
      </c>
      <c r="G311">
        <v>202605</v>
      </c>
      <c r="H311" t="s">
        <v>75</v>
      </c>
      <c r="I311" t="s">
        <v>76</v>
      </c>
      <c r="J311" t="s">
        <v>77</v>
      </c>
      <c r="K311" t="s">
        <v>78</v>
      </c>
      <c r="L311" t="s">
        <v>198</v>
      </c>
      <c r="M311" t="s">
        <v>199</v>
      </c>
      <c r="N311" t="s">
        <v>920</v>
      </c>
      <c r="O311" t="s">
        <v>82</v>
      </c>
      <c r="P311" t="str">
        <f>"4170052779                    "</f>
        <v xml:space="preserve">4170052779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22.6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2</v>
      </c>
      <c r="BJ311">
        <v>1.9</v>
      </c>
      <c r="BK311">
        <v>2</v>
      </c>
      <c r="BL311">
        <v>71.2</v>
      </c>
      <c r="BM311">
        <v>10.68</v>
      </c>
      <c r="BN311">
        <v>81.88</v>
      </c>
      <c r="BO311">
        <v>81.88</v>
      </c>
      <c r="BQ311" t="s">
        <v>921</v>
      </c>
      <c r="BR311" t="s">
        <v>84</v>
      </c>
      <c r="BS311" s="3">
        <v>45875</v>
      </c>
      <c r="BT311" s="4">
        <v>0.41458333333333336</v>
      </c>
      <c r="BU311" t="s">
        <v>922</v>
      </c>
      <c r="BV311" t="s">
        <v>86</v>
      </c>
      <c r="BY311">
        <v>9600</v>
      </c>
      <c r="CA311" t="s">
        <v>923</v>
      </c>
      <c r="CC311" t="s">
        <v>199</v>
      </c>
      <c r="CD311">
        <v>6056</v>
      </c>
      <c r="CE311" t="s">
        <v>147</v>
      </c>
      <c r="CF311" s="3">
        <v>45875</v>
      </c>
      <c r="CI311">
        <v>1</v>
      </c>
      <c r="CJ311">
        <v>1</v>
      </c>
      <c r="CK311">
        <v>21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"080067020880"</f>
        <v>080067020880</v>
      </c>
      <c r="F312" s="3">
        <v>45874</v>
      </c>
      <c r="G312">
        <v>202605</v>
      </c>
      <c r="H312" t="s">
        <v>75</v>
      </c>
      <c r="I312" t="s">
        <v>76</v>
      </c>
      <c r="J312" t="s">
        <v>77</v>
      </c>
      <c r="K312" t="s">
        <v>78</v>
      </c>
      <c r="L312" t="s">
        <v>217</v>
      </c>
      <c r="M312" t="s">
        <v>218</v>
      </c>
      <c r="N312" t="s">
        <v>924</v>
      </c>
      <c r="O312" t="s">
        <v>82</v>
      </c>
      <c r="P312" t="str">
        <f>"4170052986                    "</f>
        <v xml:space="preserve">4170052986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22.6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0.2</v>
      </c>
      <c r="BK312">
        <v>1</v>
      </c>
      <c r="BL312">
        <v>71.2</v>
      </c>
      <c r="BM312">
        <v>10.68</v>
      </c>
      <c r="BN312">
        <v>81.88</v>
      </c>
      <c r="BO312">
        <v>81.88</v>
      </c>
      <c r="BQ312" t="s">
        <v>925</v>
      </c>
      <c r="BR312" t="s">
        <v>84</v>
      </c>
      <c r="BS312" s="3">
        <v>45875</v>
      </c>
      <c r="BT312" s="4">
        <v>0.43611111111111112</v>
      </c>
      <c r="BU312" t="s">
        <v>926</v>
      </c>
      <c r="BV312" t="s">
        <v>86</v>
      </c>
      <c r="BY312">
        <v>1200</v>
      </c>
      <c r="CA312" t="s">
        <v>927</v>
      </c>
      <c r="CC312" t="s">
        <v>218</v>
      </c>
      <c r="CD312">
        <v>4001</v>
      </c>
      <c r="CE312" t="s">
        <v>109</v>
      </c>
      <c r="CF312" s="3">
        <v>45877</v>
      </c>
      <c r="CI312">
        <v>1</v>
      </c>
      <c r="CJ312">
        <v>1</v>
      </c>
      <c r="CK312">
        <v>21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"080067020933"</f>
        <v>080067020933</v>
      </c>
      <c r="F313" s="3">
        <v>45874</v>
      </c>
      <c r="G313">
        <v>202605</v>
      </c>
      <c r="H313" t="s">
        <v>75</v>
      </c>
      <c r="I313" t="s">
        <v>76</v>
      </c>
      <c r="J313" t="s">
        <v>77</v>
      </c>
      <c r="K313" t="s">
        <v>78</v>
      </c>
      <c r="L313" t="s">
        <v>278</v>
      </c>
      <c r="M313" t="s">
        <v>279</v>
      </c>
      <c r="N313" t="s">
        <v>928</v>
      </c>
      <c r="O313" t="s">
        <v>82</v>
      </c>
      <c r="P313" t="str">
        <f>"4170052938                    "</f>
        <v xml:space="preserve">4170052938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22.6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</v>
      </c>
      <c r="BJ313">
        <v>0.2</v>
      </c>
      <c r="BK313">
        <v>1</v>
      </c>
      <c r="BL313">
        <v>71.2</v>
      </c>
      <c r="BM313">
        <v>10.68</v>
      </c>
      <c r="BN313">
        <v>81.88</v>
      </c>
      <c r="BO313">
        <v>81.88</v>
      </c>
      <c r="BQ313" t="s">
        <v>929</v>
      </c>
      <c r="BR313" t="s">
        <v>84</v>
      </c>
      <c r="BS313" s="3">
        <v>45875</v>
      </c>
      <c r="BT313" s="4">
        <v>0.36666666666666664</v>
      </c>
      <c r="BU313" t="s">
        <v>930</v>
      </c>
      <c r="BV313" t="s">
        <v>86</v>
      </c>
      <c r="BY313">
        <v>1200</v>
      </c>
      <c r="CA313" t="s">
        <v>511</v>
      </c>
      <c r="CC313" t="s">
        <v>279</v>
      </c>
      <c r="CD313" s="5" t="s">
        <v>512</v>
      </c>
      <c r="CE313" t="s">
        <v>109</v>
      </c>
      <c r="CF313" s="3">
        <v>45875</v>
      </c>
      <c r="CI313">
        <v>1</v>
      </c>
      <c r="CJ313">
        <v>1</v>
      </c>
      <c r="CK313">
        <v>21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"080067021013"</f>
        <v>080067021013</v>
      </c>
      <c r="F314" s="3">
        <v>45874</v>
      </c>
      <c r="G314">
        <v>202605</v>
      </c>
      <c r="H314" t="s">
        <v>75</v>
      </c>
      <c r="I314" t="s">
        <v>76</v>
      </c>
      <c r="J314" t="s">
        <v>77</v>
      </c>
      <c r="K314" t="s">
        <v>78</v>
      </c>
      <c r="L314" t="s">
        <v>198</v>
      </c>
      <c r="M314" t="s">
        <v>199</v>
      </c>
      <c r="N314" t="s">
        <v>410</v>
      </c>
      <c r="O314" t="s">
        <v>82</v>
      </c>
      <c r="P314" t="str">
        <f>"4170052844                    "</f>
        <v xml:space="preserve">4170052844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22.6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0.2</v>
      </c>
      <c r="BK314">
        <v>1</v>
      </c>
      <c r="BL314">
        <v>71.2</v>
      </c>
      <c r="BM314">
        <v>10.68</v>
      </c>
      <c r="BN314">
        <v>81.88</v>
      </c>
      <c r="BO314">
        <v>81.88</v>
      </c>
      <c r="BQ314" t="s">
        <v>411</v>
      </c>
      <c r="BR314" t="s">
        <v>84</v>
      </c>
      <c r="BS314" s="3">
        <v>45875</v>
      </c>
      <c r="BT314" s="4">
        <v>0.36458333333333331</v>
      </c>
      <c r="BU314" t="s">
        <v>931</v>
      </c>
      <c r="BV314" t="s">
        <v>86</v>
      </c>
      <c r="BY314">
        <v>1200</v>
      </c>
      <c r="CA314" t="s">
        <v>923</v>
      </c>
      <c r="CC314" t="s">
        <v>199</v>
      </c>
      <c r="CD314">
        <v>6001</v>
      </c>
      <c r="CE314" t="s">
        <v>109</v>
      </c>
      <c r="CF314" s="3">
        <v>45875</v>
      </c>
      <c r="CI314">
        <v>1</v>
      </c>
      <c r="CJ314">
        <v>1</v>
      </c>
      <c r="CK314">
        <v>21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"080067021286"</f>
        <v>080067021286</v>
      </c>
      <c r="F315" s="3">
        <v>45874</v>
      </c>
      <c r="G315">
        <v>202605</v>
      </c>
      <c r="H315" t="s">
        <v>75</v>
      </c>
      <c r="I315" t="s">
        <v>76</v>
      </c>
      <c r="J315" t="s">
        <v>77</v>
      </c>
      <c r="K315" t="s">
        <v>78</v>
      </c>
      <c r="L315" t="s">
        <v>400</v>
      </c>
      <c r="M315" t="s">
        <v>401</v>
      </c>
      <c r="N315" t="s">
        <v>932</v>
      </c>
      <c r="O315" t="s">
        <v>82</v>
      </c>
      <c r="P315" t="str">
        <f>"4170052927                    "</f>
        <v xml:space="preserve">4170052927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22.6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0.2</v>
      </c>
      <c r="BK315">
        <v>1</v>
      </c>
      <c r="BL315">
        <v>71.2</v>
      </c>
      <c r="BM315">
        <v>10.68</v>
      </c>
      <c r="BN315">
        <v>81.88</v>
      </c>
      <c r="BO315">
        <v>81.88</v>
      </c>
      <c r="BQ315" t="s">
        <v>933</v>
      </c>
      <c r="BR315" t="s">
        <v>84</v>
      </c>
      <c r="BS315" s="3">
        <v>45875</v>
      </c>
      <c r="BT315" s="4">
        <v>0.33402777777777776</v>
      </c>
      <c r="BU315" t="s">
        <v>790</v>
      </c>
      <c r="BV315" t="s">
        <v>86</v>
      </c>
      <c r="BY315">
        <v>1200</v>
      </c>
      <c r="CA315" t="s">
        <v>405</v>
      </c>
      <c r="CC315" t="s">
        <v>401</v>
      </c>
      <c r="CD315">
        <v>6230</v>
      </c>
      <c r="CE315" t="s">
        <v>109</v>
      </c>
      <c r="CF315" s="3">
        <v>45875</v>
      </c>
      <c r="CI315">
        <v>1</v>
      </c>
      <c r="CJ315">
        <v>1</v>
      </c>
      <c r="CK315">
        <v>21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"080067021293"</f>
        <v>080067021293</v>
      </c>
      <c r="F316" s="3">
        <v>45874</v>
      </c>
      <c r="G316">
        <v>202605</v>
      </c>
      <c r="H316" t="s">
        <v>75</v>
      </c>
      <c r="I316" t="s">
        <v>76</v>
      </c>
      <c r="J316" t="s">
        <v>77</v>
      </c>
      <c r="K316" t="s">
        <v>78</v>
      </c>
      <c r="L316" t="s">
        <v>555</v>
      </c>
      <c r="M316" t="s">
        <v>556</v>
      </c>
      <c r="N316" t="s">
        <v>844</v>
      </c>
      <c r="O316" t="s">
        <v>82</v>
      </c>
      <c r="P316" t="str">
        <f>"4170052936                    "</f>
        <v xml:space="preserve">4170052936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63.56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2.9</v>
      </c>
      <c r="BK316">
        <v>3</v>
      </c>
      <c r="BL316">
        <v>200.24</v>
      </c>
      <c r="BM316">
        <v>30.04</v>
      </c>
      <c r="BN316">
        <v>230.28</v>
      </c>
      <c r="BO316">
        <v>230.28</v>
      </c>
      <c r="BQ316" t="s">
        <v>845</v>
      </c>
      <c r="BR316" t="s">
        <v>84</v>
      </c>
      <c r="BS316" s="3">
        <v>45875</v>
      </c>
      <c r="BT316" s="4">
        <v>0.46041666666666664</v>
      </c>
      <c r="BU316" t="s">
        <v>846</v>
      </c>
      <c r="BV316" t="s">
        <v>86</v>
      </c>
      <c r="BY316">
        <v>14620</v>
      </c>
      <c r="CA316" t="s">
        <v>847</v>
      </c>
      <c r="CC316" t="s">
        <v>556</v>
      </c>
      <c r="CD316">
        <v>6850</v>
      </c>
      <c r="CE316" t="s">
        <v>934</v>
      </c>
      <c r="CF316" s="3">
        <v>45876</v>
      </c>
      <c r="CI316">
        <v>2</v>
      </c>
      <c r="CJ316">
        <v>1</v>
      </c>
      <c r="CK316">
        <v>23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"080067021319"</f>
        <v>080067021319</v>
      </c>
      <c r="F317" s="3">
        <v>45874</v>
      </c>
      <c r="G317">
        <v>202605</v>
      </c>
      <c r="H317" t="s">
        <v>75</v>
      </c>
      <c r="I317" t="s">
        <v>76</v>
      </c>
      <c r="J317" t="s">
        <v>77</v>
      </c>
      <c r="K317" t="s">
        <v>78</v>
      </c>
      <c r="L317" t="s">
        <v>123</v>
      </c>
      <c r="M317" t="s">
        <v>124</v>
      </c>
      <c r="N317" t="s">
        <v>406</v>
      </c>
      <c r="O317" t="s">
        <v>82</v>
      </c>
      <c r="P317" t="str">
        <f>"4170052911                    "</f>
        <v xml:space="preserve">4170052911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22.6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0.2</v>
      </c>
      <c r="BK317">
        <v>1</v>
      </c>
      <c r="BL317">
        <v>71.2</v>
      </c>
      <c r="BM317">
        <v>10.68</v>
      </c>
      <c r="BN317">
        <v>81.88</v>
      </c>
      <c r="BO317">
        <v>81.88</v>
      </c>
      <c r="BQ317" t="s">
        <v>407</v>
      </c>
      <c r="BR317" t="s">
        <v>84</v>
      </c>
      <c r="BS317" s="3">
        <v>45875</v>
      </c>
      <c r="BT317" s="4">
        <v>0.38263888888888886</v>
      </c>
      <c r="BU317" t="s">
        <v>408</v>
      </c>
      <c r="BV317" t="s">
        <v>86</v>
      </c>
      <c r="BY317">
        <v>1200</v>
      </c>
      <c r="CA317" t="s">
        <v>192</v>
      </c>
      <c r="CC317" t="s">
        <v>124</v>
      </c>
      <c r="CD317">
        <v>7441</v>
      </c>
      <c r="CE317" t="s">
        <v>109</v>
      </c>
      <c r="CF317" s="3">
        <v>45876</v>
      </c>
      <c r="CI317">
        <v>1</v>
      </c>
      <c r="CJ317">
        <v>1</v>
      </c>
      <c r="CK317">
        <v>21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"080067021349"</f>
        <v>080067021349</v>
      </c>
      <c r="F318" s="3">
        <v>45874</v>
      </c>
      <c r="G318">
        <v>202605</v>
      </c>
      <c r="H318" t="s">
        <v>75</v>
      </c>
      <c r="I318" t="s">
        <v>76</v>
      </c>
      <c r="J318" t="s">
        <v>77</v>
      </c>
      <c r="K318" t="s">
        <v>78</v>
      </c>
      <c r="L318" t="s">
        <v>123</v>
      </c>
      <c r="M318" t="s">
        <v>124</v>
      </c>
      <c r="N318" t="s">
        <v>406</v>
      </c>
      <c r="O318" t="s">
        <v>82</v>
      </c>
      <c r="P318" t="str">
        <f>"4170052867                    "</f>
        <v xml:space="preserve">4170052867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22.6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2</v>
      </c>
      <c r="BJ318">
        <v>1.1000000000000001</v>
      </c>
      <c r="BK318">
        <v>2</v>
      </c>
      <c r="BL318">
        <v>71.2</v>
      </c>
      <c r="BM318">
        <v>10.68</v>
      </c>
      <c r="BN318">
        <v>81.88</v>
      </c>
      <c r="BO318">
        <v>81.88</v>
      </c>
      <c r="BQ318" t="s">
        <v>407</v>
      </c>
      <c r="BR318" t="s">
        <v>84</v>
      </c>
      <c r="BS318" s="3">
        <v>45875</v>
      </c>
      <c r="BT318" s="4">
        <v>0.38263888888888886</v>
      </c>
      <c r="BU318" t="s">
        <v>408</v>
      </c>
      <c r="BV318" t="s">
        <v>86</v>
      </c>
      <c r="BY318">
        <v>5320</v>
      </c>
      <c r="CA318" t="s">
        <v>192</v>
      </c>
      <c r="CC318" t="s">
        <v>124</v>
      </c>
      <c r="CD318">
        <v>7441</v>
      </c>
      <c r="CE318" t="s">
        <v>147</v>
      </c>
      <c r="CF318" s="3">
        <v>45876</v>
      </c>
      <c r="CI318">
        <v>1</v>
      </c>
      <c r="CJ318">
        <v>1</v>
      </c>
      <c r="CK318">
        <v>21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"080067021380"</f>
        <v>080067021380</v>
      </c>
      <c r="F319" s="3">
        <v>45874</v>
      </c>
      <c r="G319">
        <v>202605</v>
      </c>
      <c r="H319" t="s">
        <v>75</v>
      </c>
      <c r="I319" t="s">
        <v>76</v>
      </c>
      <c r="J319" t="s">
        <v>77</v>
      </c>
      <c r="K319" t="s">
        <v>78</v>
      </c>
      <c r="L319" t="s">
        <v>229</v>
      </c>
      <c r="M319" t="s">
        <v>230</v>
      </c>
      <c r="N319" t="s">
        <v>231</v>
      </c>
      <c r="O319" t="s">
        <v>82</v>
      </c>
      <c r="P319" t="str">
        <f>"4170052894                    "</f>
        <v xml:space="preserve">4170052894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43.78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0.2</v>
      </c>
      <c r="BK319">
        <v>1</v>
      </c>
      <c r="BL319">
        <v>137.94</v>
      </c>
      <c r="BM319">
        <v>20.69</v>
      </c>
      <c r="BN319">
        <v>158.63</v>
      </c>
      <c r="BO319">
        <v>158.63</v>
      </c>
      <c r="BQ319" t="s">
        <v>232</v>
      </c>
      <c r="BR319" t="s">
        <v>84</v>
      </c>
      <c r="BS319" s="3">
        <v>45875</v>
      </c>
      <c r="BT319" s="4">
        <v>0.33333333333333331</v>
      </c>
      <c r="BU319" t="s">
        <v>233</v>
      </c>
      <c r="BV319" t="s">
        <v>86</v>
      </c>
      <c r="BY319">
        <v>1200</v>
      </c>
      <c r="CC319" t="s">
        <v>230</v>
      </c>
      <c r="CD319">
        <v>2740</v>
      </c>
      <c r="CE319" t="s">
        <v>109</v>
      </c>
      <c r="CF319" s="3">
        <v>45876</v>
      </c>
      <c r="CI319">
        <v>1</v>
      </c>
      <c r="CJ319">
        <v>1</v>
      </c>
      <c r="CK319">
        <v>23</v>
      </c>
      <c r="CL319" t="s">
        <v>90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"080067021423"</f>
        <v>080067021423</v>
      </c>
      <c r="F320" s="3">
        <v>45874</v>
      </c>
      <c r="G320">
        <v>202605</v>
      </c>
      <c r="H320" t="s">
        <v>75</v>
      </c>
      <c r="I320" t="s">
        <v>76</v>
      </c>
      <c r="J320" t="s">
        <v>77</v>
      </c>
      <c r="K320" t="s">
        <v>78</v>
      </c>
      <c r="L320" t="s">
        <v>123</v>
      </c>
      <c r="M320" t="s">
        <v>124</v>
      </c>
      <c r="N320" t="s">
        <v>677</v>
      </c>
      <c r="O320" t="s">
        <v>82</v>
      </c>
      <c r="P320" t="str">
        <f>"4170052746                    "</f>
        <v xml:space="preserve">4170052746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22.6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0.9</v>
      </c>
      <c r="BK320">
        <v>1</v>
      </c>
      <c r="BL320">
        <v>71.2</v>
      </c>
      <c r="BM320">
        <v>10.68</v>
      </c>
      <c r="BN320">
        <v>81.88</v>
      </c>
      <c r="BO320">
        <v>81.88</v>
      </c>
      <c r="BQ320" t="s">
        <v>678</v>
      </c>
      <c r="BR320" t="s">
        <v>84</v>
      </c>
      <c r="BS320" s="3">
        <v>45875</v>
      </c>
      <c r="BT320" s="4">
        <v>0.43333333333333335</v>
      </c>
      <c r="BU320" t="s">
        <v>679</v>
      </c>
      <c r="BV320" t="s">
        <v>86</v>
      </c>
      <c r="BY320">
        <v>4275</v>
      </c>
      <c r="CA320" t="s">
        <v>171</v>
      </c>
      <c r="CC320" t="s">
        <v>124</v>
      </c>
      <c r="CD320">
        <v>7530</v>
      </c>
      <c r="CE320" t="s">
        <v>935</v>
      </c>
      <c r="CF320" s="3">
        <v>45876</v>
      </c>
      <c r="CI320">
        <v>1</v>
      </c>
      <c r="CJ320">
        <v>1</v>
      </c>
      <c r="CK320">
        <v>21</v>
      </c>
      <c r="CL320" t="s">
        <v>90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"080067021435"</f>
        <v>080067021435</v>
      </c>
      <c r="F321" s="3">
        <v>45874</v>
      </c>
      <c r="G321">
        <v>202605</v>
      </c>
      <c r="H321" t="s">
        <v>75</v>
      </c>
      <c r="I321" t="s">
        <v>76</v>
      </c>
      <c r="J321" t="s">
        <v>77</v>
      </c>
      <c r="K321" t="s">
        <v>78</v>
      </c>
      <c r="L321" t="s">
        <v>198</v>
      </c>
      <c r="M321" t="s">
        <v>199</v>
      </c>
      <c r="N321" t="s">
        <v>598</v>
      </c>
      <c r="O321" t="s">
        <v>82</v>
      </c>
      <c r="P321" t="str">
        <f>"4170052841                    "</f>
        <v xml:space="preserve">4170052841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22.6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0.2</v>
      </c>
      <c r="BK321">
        <v>1</v>
      </c>
      <c r="BL321">
        <v>71.2</v>
      </c>
      <c r="BM321">
        <v>10.68</v>
      </c>
      <c r="BN321">
        <v>81.88</v>
      </c>
      <c r="BO321">
        <v>81.88</v>
      </c>
      <c r="BQ321" t="s">
        <v>599</v>
      </c>
      <c r="BR321" t="s">
        <v>84</v>
      </c>
      <c r="BS321" s="3">
        <v>45875</v>
      </c>
      <c r="BT321" s="4">
        <v>0.35902777777777778</v>
      </c>
      <c r="BU321" t="s">
        <v>912</v>
      </c>
      <c r="BV321" t="s">
        <v>86</v>
      </c>
      <c r="BY321">
        <v>1200</v>
      </c>
      <c r="CA321" t="s">
        <v>601</v>
      </c>
      <c r="CC321" t="s">
        <v>199</v>
      </c>
      <c r="CD321">
        <v>6001</v>
      </c>
      <c r="CE321" t="s">
        <v>109</v>
      </c>
      <c r="CF321" s="3">
        <v>45875</v>
      </c>
      <c r="CI321">
        <v>1</v>
      </c>
      <c r="CJ321">
        <v>1</v>
      </c>
      <c r="CK321">
        <v>21</v>
      </c>
      <c r="CL321" t="s">
        <v>90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"080067021501"</f>
        <v>080067021501</v>
      </c>
      <c r="F322" s="3">
        <v>45874</v>
      </c>
      <c r="G322">
        <v>202605</v>
      </c>
      <c r="H322" t="s">
        <v>75</v>
      </c>
      <c r="I322" t="s">
        <v>76</v>
      </c>
      <c r="J322" t="s">
        <v>77</v>
      </c>
      <c r="K322" t="s">
        <v>78</v>
      </c>
      <c r="L322" t="s">
        <v>198</v>
      </c>
      <c r="M322" t="s">
        <v>199</v>
      </c>
      <c r="N322" t="s">
        <v>680</v>
      </c>
      <c r="O322" t="s">
        <v>82</v>
      </c>
      <c r="P322" t="str">
        <f>"4170052838                    "</f>
        <v xml:space="preserve">4170052838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22.6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0.2</v>
      </c>
      <c r="BK322">
        <v>1</v>
      </c>
      <c r="BL322">
        <v>71.2</v>
      </c>
      <c r="BM322">
        <v>10.68</v>
      </c>
      <c r="BN322">
        <v>81.88</v>
      </c>
      <c r="BO322">
        <v>81.88</v>
      </c>
      <c r="BQ322" t="s">
        <v>681</v>
      </c>
      <c r="BR322" t="s">
        <v>84</v>
      </c>
      <c r="BS322" s="3">
        <v>45875</v>
      </c>
      <c r="BT322" s="4">
        <v>0.38611111111111113</v>
      </c>
      <c r="BU322" t="s">
        <v>936</v>
      </c>
      <c r="BV322" t="s">
        <v>86</v>
      </c>
      <c r="BY322">
        <v>1200</v>
      </c>
      <c r="CA322" t="s">
        <v>923</v>
      </c>
      <c r="CC322" t="s">
        <v>199</v>
      </c>
      <c r="CD322">
        <v>6001</v>
      </c>
      <c r="CE322" t="s">
        <v>109</v>
      </c>
      <c r="CF322" s="3">
        <v>45875</v>
      </c>
      <c r="CI322">
        <v>1</v>
      </c>
      <c r="CJ322">
        <v>1</v>
      </c>
      <c r="CK322">
        <v>21</v>
      </c>
      <c r="CL322" t="s">
        <v>90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"080067021537"</f>
        <v>080067021537</v>
      </c>
      <c r="F323" s="3">
        <v>45874</v>
      </c>
      <c r="G323">
        <v>202605</v>
      </c>
      <c r="H323" t="s">
        <v>75</v>
      </c>
      <c r="I323" t="s">
        <v>76</v>
      </c>
      <c r="J323" t="s">
        <v>77</v>
      </c>
      <c r="K323" t="s">
        <v>78</v>
      </c>
      <c r="L323" t="s">
        <v>234</v>
      </c>
      <c r="M323" t="s">
        <v>235</v>
      </c>
      <c r="N323" t="s">
        <v>821</v>
      </c>
      <c r="O323" t="s">
        <v>95</v>
      </c>
      <c r="P323" t="str">
        <f>"4170052816                    "</f>
        <v xml:space="preserve">4170052816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126.69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2</v>
      </c>
      <c r="BI323">
        <v>26</v>
      </c>
      <c r="BJ323">
        <v>60.7</v>
      </c>
      <c r="BK323">
        <v>61</v>
      </c>
      <c r="BL323">
        <v>405.02</v>
      </c>
      <c r="BM323">
        <v>60.75</v>
      </c>
      <c r="BN323">
        <v>465.77</v>
      </c>
      <c r="BO323">
        <v>465.77</v>
      </c>
      <c r="BQ323" t="s">
        <v>822</v>
      </c>
      <c r="BR323" t="s">
        <v>84</v>
      </c>
      <c r="BS323" s="3">
        <v>45875</v>
      </c>
      <c r="BT323" s="4">
        <v>0.67083333333333328</v>
      </c>
      <c r="BU323" t="s">
        <v>937</v>
      </c>
      <c r="BV323" t="s">
        <v>86</v>
      </c>
      <c r="BY323">
        <v>303600</v>
      </c>
      <c r="CA323" t="s">
        <v>938</v>
      </c>
      <c r="CC323" t="s">
        <v>235</v>
      </c>
      <c r="CD323" s="5" t="s">
        <v>240</v>
      </c>
      <c r="CE323" t="s">
        <v>147</v>
      </c>
      <c r="CF323" s="3">
        <v>45875</v>
      </c>
      <c r="CI323">
        <v>1</v>
      </c>
      <c r="CJ323">
        <v>1</v>
      </c>
      <c r="CK323">
        <v>41</v>
      </c>
      <c r="CL323" t="s">
        <v>90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"080067021553"</f>
        <v>080067021553</v>
      </c>
      <c r="F324" s="3">
        <v>45874</v>
      </c>
      <c r="G324">
        <v>202605</v>
      </c>
      <c r="H324" t="s">
        <v>75</v>
      </c>
      <c r="I324" t="s">
        <v>76</v>
      </c>
      <c r="J324" t="s">
        <v>77</v>
      </c>
      <c r="K324" t="s">
        <v>78</v>
      </c>
      <c r="L324" t="s">
        <v>223</v>
      </c>
      <c r="M324" t="s">
        <v>224</v>
      </c>
      <c r="N324" t="s">
        <v>939</v>
      </c>
      <c r="O324" t="s">
        <v>82</v>
      </c>
      <c r="P324" t="str">
        <f>"4170052941                    "</f>
        <v xml:space="preserve">4170052941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22.6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0.2</v>
      </c>
      <c r="BK324">
        <v>1</v>
      </c>
      <c r="BL324">
        <v>71.2</v>
      </c>
      <c r="BM324">
        <v>10.68</v>
      </c>
      <c r="BN324">
        <v>81.88</v>
      </c>
      <c r="BO324">
        <v>81.88</v>
      </c>
      <c r="BQ324" t="s">
        <v>940</v>
      </c>
      <c r="BR324" t="s">
        <v>84</v>
      </c>
      <c r="BS324" s="3">
        <v>45876</v>
      </c>
      <c r="BT324" s="4">
        <v>0.61041666666666672</v>
      </c>
      <c r="BU324" t="s">
        <v>295</v>
      </c>
      <c r="BV324" t="s">
        <v>90</v>
      </c>
      <c r="BY324">
        <v>1200</v>
      </c>
      <c r="CA324" t="s">
        <v>228</v>
      </c>
      <c r="CC324" t="s">
        <v>224</v>
      </c>
      <c r="CD324">
        <v>5201</v>
      </c>
      <c r="CE324" t="s">
        <v>109</v>
      </c>
      <c r="CF324" s="3">
        <v>45877</v>
      </c>
      <c r="CI324">
        <v>1</v>
      </c>
      <c r="CJ324">
        <v>2</v>
      </c>
      <c r="CK324">
        <v>21</v>
      </c>
      <c r="CL324" t="s">
        <v>90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"080067021614"</f>
        <v>080067021614</v>
      </c>
      <c r="F325" s="3">
        <v>45874</v>
      </c>
      <c r="G325">
        <v>202605</v>
      </c>
      <c r="H325" t="s">
        <v>75</v>
      </c>
      <c r="I325" t="s">
        <v>76</v>
      </c>
      <c r="J325" t="s">
        <v>77</v>
      </c>
      <c r="K325" t="s">
        <v>78</v>
      </c>
      <c r="L325" t="s">
        <v>207</v>
      </c>
      <c r="M325" t="s">
        <v>208</v>
      </c>
      <c r="N325" t="s">
        <v>209</v>
      </c>
      <c r="O325" t="s">
        <v>82</v>
      </c>
      <c r="P325" t="str">
        <f>"4170052782                    "</f>
        <v xml:space="preserve">4170052782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43.78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0.2</v>
      </c>
      <c r="BK325">
        <v>1</v>
      </c>
      <c r="BL325">
        <v>137.94</v>
      </c>
      <c r="BM325">
        <v>20.69</v>
      </c>
      <c r="BN325">
        <v>158.63</v>
      </c>
      <c r="BO325">
        <v>158.63</v>
      </c>
      <c r="BQ325" t="s">
        <v>313</v>
      </c>
      <c r="BR325" t="s">
        <v>84</v>
      </c>
      <c r="BS325" s="3">
        <v>45875</v>
      </c>
      <c r="BT325" s="4">
        <v>0.54027777777777775</v>
      </c>
      <c r="BU325" t="s">
        <v>211</v>
      </c>
      <c r="BV325" t="s">
        <v>86</v>
      </c>
      <c r="BY325">
        <v>1200</v>
      </c>
      <c r="CA325" t="s">
        <v>212</v>
      </c>
      <c r="CC325" t="s">
        <v>208</v>
      </c>
      <c r="CD325">
        <v>7299</v>
      </c>
      <c r="CE325" t="s">
        <v>109</v>
      </c>
      <c r="CF325" s="3">
        <v>45877</v>
      </c>
      <c r="CI325">
        <v>1</v>
      </c>
      <c r="CJ325">
        <v>1</v>
      </c>
      <c r="CK325">
        <v>23</v>
      </c>
      <c r="CL325" t="s">
        <v>90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"080067021681"</f>
        <v>080067021681</v>
      </c>
      <c r="F326" s="3">
        <v>45874</v>
      </c>
      <c r="G326">
        <v>202605</v>
      </c>
      <c r="H326" t="s">
        <v>75</v>
      </c>
      <c r="I326" t="s">
        <v>76</v>
      </c>
      <c r="J326" t="s">
        <v>77</v>
      </c>
      <c r="K326" t="s">
        <v>78</v>
      </c>
      <c r="L326" t="s">
        <v>198</v>
      </c>
      <c r="M326" t="s">
        <v>199</v>
      </c>
      <c r="N326" t="s">
        <v>200</v>
      </c>
      <c r="O326" t="s">
        <v>82</v>
      </c>
      <c r="P326" t="str">
        <f>"4170052908                    "</f>
        <v xml:space="preserve">4170052908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22.6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</v>
      </c>
      <c r="BJ326">
        <v>0.2</v>
      </c>
      <c r="BK326">
        <v>1</v>
      </c>
      <c r="BL326">
        <v>71.2</v>
      </c>
      <c r="BM326">
        <v>10.68</v>
      </c>
      <c r="BN326">
        <v>81.88</v>
      </c>
      <c r="BO326">
        <v>81.88</v>
      </c>
      <c r="BQ326" t="s">
        <v>201</v>
      </c>
      <c r="BR326" t="s">
        <v>84</v>
      </c>
      <c r="BS326" s="3">
        <v>45875</v>
      </c>
      <c r="BT326" s="4">
        <v>0.41111111111111109</v>
      </c>
      <c r="BU326" t="s">
        <v>941</v>
      </c>
      <c r="BV326" t="s">
        <v>86</v>
      </c>
      <c r="BY326">
        <v>1200</v>
      </c>
      <c r="CA326" t="s">
        <v>915</v>
      </c>
      <c r="CC326" t="s">
        <v>199</v>
      </c>
      <c r="CD326">
        <v>6001</v>
      </c>
      <c r="CE326" t="s">
        <v>109</v>
      </c>
      <c r="CF326" s="3">
        <v>45875</v>
      </c>
      <c r="CI326">
        <v>1</v>
      </c>
      <c r="CJ326">
        <v>1</v>
      </c>
      <c r="CK326">
        <v>21</v>
      </c>
      <c r="CL326" t="s">
        <v>90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"080067021889"</f>
        <v>080067021889</v>
      </c>
      <c r="F327" s="3">
        <v>45874</v>
      </c>
      <c r="G327">
        <v>202605</v>
      </c>
      <c r="H327" t="s">
        <v>75</v>
      </c>
      <c r="I327" t="s">
        <v>76</v>
      </c>
      <c r="J327" t="s">
        <v>77</v>
      </c>
      <c r="K327" t="s">
        <v>78</v>
      </c>
      <c r="L327" t="s">
        <v>217</v>
      </c>
      <c r="M327" t="s">
        <v>218</v>
      </c>
      <c r="N327" t="s">
        <v>942</v>
      </c>
      <c r="O327" t="s">
        <v>113</v>
      </c>
      <c r="P327" t="str">
        <f>"4170052830                    "</f>
        <v xml:space="preserve">4170052830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42.38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2</v>
      </c>
      <c r="BJ327">
        <v>1.1000000000000001</v>
      </c>
      <c r="BK327">
        <v>2</v>
      </c>
      <c r="BL327">
        <v>133.51</v>
      </c>
      <c r="BM327">
        <v>20.03</v>
      </c>
      <c r="BN327">
        <v>153.54</v>
      </c>
      <c r="BO327">
        <v>153.54</v>
      </c>
      <c r="BQ327" t="s">
        <v>943</v>
      </c>
      <c r="BR327" t="s">
        <v>84</v>
      </c>
      <c r="BS327" s="3">
        <v>45875</v>
      </c>
      <c r="BT327" s="4">
        <v>0.4201388888888889</v>
      </c>
      <c r="BU327" t="s">
        <v>944</v>
      </c>
      <c r="BV327" t="s">
        <v>86</v>
      </c>
      <c r="BY327">
        <v>5320</v>
      </c>
      <c r="CA327" t="s">
        <v>945</v>
      </c>
      <c r="CC327" t="s">
        <v>218</v>
      </c>
      <c r="CD327">
        <v>4080</v>
      </c>
      <c r="CE327" t="s">
        <v>147</v>
      </c>
      <c r="CF327" s="3">
        <v>45875</v>
      </c>
      <c r="CI327">
        <v>1</v>
      </c>
      <c r="CJ327">
        <v>1</v>
      </c>
      <c r="CK327">
        <v>31</v>
      </c>
      <c r="CL327" t="s">
        <v>90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"080067021737"</f>
        <v>080067021737</v>
      </c>
      <c r="F328" s="3">
        <v>45874</v>
      </c>
      <c r="G328">
        <v>202605</v>
      </c>
      <c r="H328" t="s">
        <v>75</v>
      </c>
      <c r="I328" t="s">
        <v>76</v>
      </c>
      <c r="J328" t="s">
        <v>77</v>
      </c>
      <c r="K328" t="s">
        <v>78</v>
      </c>
      <c r="L328" t="s">
        <v>373</v>
      </c>
      <c r="M328" t="s">
        <v>374</v>
      </c>
      <c r="N328" t="s">
        <v>946</v>
      </c>
      <c r="O328" t="s">
        <v>82</v>
      </c>
      <c r="P328" t="str">
        <f>"4170052755                    "</f>
        <v xml:space="preserve">4170052755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22.6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0.2</v>
      </c>
      <c r="BK328">
        <v>1</v>
      </c>
      <c r="BL328">
        <v>71.2</v>
      </c>
      <c r="BM328">
        <v>10.68</v>
      </c>
      <c r="BN328">
        <v>81.88</v>
      </c>
      <c r="BO328">
        <v>81.88</v>
      </c>
      <c r="BQ328" t="s">
        <v>947</v>
      </c>
      <c r="BR328" t="s">
        <v>84</v>
      </c>
      <c r="BS328" s="3">
        <v>45875</v>
      </c>
      <c r="BT328" s="4">
        <v>0.41041666666666665</v>
      </c>
      <c r="BU328" t="s">
        <v>948</v>
      </c>
      <c r="BV328" t="s">
        <v>86</v>
      </c>
      <c r="BY328">
        <v>1200</v>
      </c>
      <c r="CA328" t="s">
        <v>203</v>
      </c>
      <c r="CC328" t="s">
        <v>374</v>
      </c>
      <c r="CD328">
        <v>6220</v>
      </c>
      <c r="CE328" t="s">
        <v>109</v>
      </c>
      <c r="CF328" s="3">
        <v>45875</v>
      </c>
      <c r="CI328">
        <v>1</v>
      </c>
      <c r="CJ328">
        <v>1</v>
      </c>
      <c r="CK328">
        <v>21</v>
      </c>
      <c r="CL328" t="s">
        <v>90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"080067021942"</f>
        <v>080067021942</v>
      </c>
      <c r="F329" s="3">
        <v>45874</v>
      </c>
      <c r="G329">
        <v>202605</v>
      </c>
      <c r="H329" t="s">
        <v>75</v>
      </c>
      <c r="I329" t="s">
        <v>76</v>
      </c>
      <c r="J329" t="s">
        <v>77</v>
      </c>
      <c r="K329" t="s">
        <v>78</v>
      </c>
      <c r="L329" t="s">
        <v>198</v>
      </c>
      <c r="M329" t="s">
        <v>199</v>
      </c>
      <c r="N329" t="s">
        <v>680</v>
      </c>
      <c r="O329" t="s">
        <v>82</v>
      </c>
      <c r="P329" t="str">
        <f>"4170052839                    "</f>
        <v xml:space="preserve">4170052839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22.6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</v>
      </c>
      <c r="BJ329">
        <v>0.2</v>
      </c>
      <c r="BK329">
        <v>1</v>
      </c>
      <c r="BL329">
        <v>71.2</v>
      </c>
      <c r="BM329">
        <v>10.68</v>
      </c>
      <c r="BN329">
        <v>81.88</v>
      </c>
      <c r="BO329">
        <v>81.88</v>
      </c>
      <c r="BQ329" t="s">
        <v>681</v>
      </c>
      <c r="BR329" t="s">
        <v>84</v>
      </c>
      <c r="BS329" s="3">
        <v>45875</v>
      </c>
      <c r="BT329" s="4">
        <v>0.38611111111111113</v>
      </c>
      <c r="BU329" t="s">
        <v>936</v>
      </c>
      <c r="BV329" t="s">
        <v>86</v>
      </c>
      <c r="BY329">
        <v>1200</v>
      </c>
      <c r="CA329" t="s">
        <v>923</v>
      </c>
      <c r="CC329" t="s">
        <v>199</v>
      </c>
      <c r="CD329">
        <v>6001</v>
      </c>
      <c r="CE329" t="s">
        <v>109</v>
      </c>
      <c r="CF329" s="3">
        <v>45875</v>
      </c>
      <c r="CI329">
        <v>1</v>
      </c>
      <c r="CJ329">
        <v>1</v>
      </c>
      <c r="CK329">
        <v>21</v>
      </c>
      <c r="CL329" t="s">
        <v>90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"080067021989"</f>
        <v>080067021989</v>
      </c>
      <c r="F330" s="3">
        <v>45874</v>
      </c>
      <c r="G330">
        <v>202605</v>
      </c>
      <c r="H330" t="s">
        <v>75</v>
      </c>
      <c r="I330" t="s">
        <v>76</v>
      </c>
      <c r="J330" t="s">
        <v>77</v>
      </c>
      <c r="K330" t="s">
        <v>78</v>
      </c>
      <c r="L330" t="s">
        <v>223</v>
      </c>
      <c r="M330" t="s">
        <v>224</v>
      </c>
      <c r="N330" t="s">
        <v>498</v>
      </c>
      <c r="O330" t="s">
        <v>82</v>
      </c>
      <c r="P330" t="str">
        <f>"4170052810                    "</f>
        <v xml:space="preserve">4170052810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22.6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</v>
      </c>
      <c r="BJ330">
        <v>0.2</v>
      </c>
      <c r="BK330">
        <v>1</v>
      </c>
      <c r="BL330">
        <v>71.2</v>
      </c>
      <c r="BM330">
        <v>10.68</v>
      </c>
      <c r="BN330">
        <v>81.88</v>
      </c>
      <c r="BO330">
        <v>81.88</v>
      </c>
      <c r="BQ330" t="s">
        <v>499</v>
      </c>
      <c r="BR330" t="s">
        <v>84</v>
      </c>
      <c r="BS330" s="3">
        <v>45875</v>
      </c>
      <c r="BT330" s="4">
        <v>0.4375</v>
      </c>
      <c r="BU330" t="s">
        <v>949</v>
      </c>
      <c r="BV330" t="s">
        <v>86</v>
      </c>
      <c r="BY330">
        <v>1200</v>
      </c>
      <c r="CA330" t="s">
        <v>268</v>
      </c>
      <c r="CC330" t="s">
        <v>224</v>
      </c>
      <c r="CD330">
        <v>5201</v>
      </c>
      <c r="CE330" t="s">
        <v>109</v>
      </c>
      <c r="CF330" s="3">
        <v>45876</v>
      </c>
      <c r="CI330">
        <v>5</v>
      </c>
      <c r="CJ330">
        <v>1</v>
      </c>
      <c r="CK330">
        <v>21</v>
      </c>
      <c r="CL330" t="s">
        <v>90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"080067022022"</f>
        <v>080067022022</v>
      </c>
      <c r="F331" s="3">
        <v>45874</v>
      </c>
      <c r="G331">
        <v>202605</v>
      </c>
      <c r="H331" t="s">
        <v>75</v>
      </c>
      <c r="I331" t="s">
        <v>76</v>
      </c>
      <c r="J331" t="s">
        <v>77</v>
      </c>
      <c r="K331" t="s">
        <v>78</v>
      </c>
      <c r="L331" t="s">
        <v>198</v>
      </c>
      <c r="M331" t="s">
        <v>199</v>
      </c>
      <c r="N331" t="s">
        <v>200</v>
      </c>
      <c r="O331" t="s">
        <v>82</v>
      </c>
      <c r="P331" t="str">
        <f>"4170052915                    "</f>
        <v xml:space="preserve">4170052915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22.6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</v>
      </c>
      <c r="BJ331">
        <v>0.2</v>
      </c>
      <c r="BK331">
        <v>1</v>
      </c>
      <c r="BL331">
        <v>71.2</v>
      </c>
      <c r="BM331">
        <v>10.68</v>
      </c>
      <c r="BN331">
        <v>81.88</v>
      </c>
      <c r="BO331">
        <v>81.88</v>
      </c>
      <c r="BQ331" t="s">
        <v>201</v>
      </c>
      <c r="BR331" t="s">
        <v>84</v>
      </c>
      <c r="BS331" s="3">
        <v>45875</v>
      </c>
      <c r="BT331" s="4">
        <v>0.41111111111111109</v>
      </c>
      <c r="BU331" t="s">
        <v>950</v>
      </c>
      <c r="BV331" t="s">
        <v>86</v>
      </c>
      <c r="BY331">
        <v>1200</v>
      </c>
      <c r="CA331" t="s">
        <v>915</v>
      </c>
      <c r="CC331" t="s">
        <v>199</v>
      </c>
      <c r="CD331">
        <v>6001</v>
      </c>
      <c r="CE331" t="s">
        <v>109</v>
      </c>
      <c r="CF331" s="3">
        <v>45875</v>
      </c>
      <c r="CI331">
        <v>1</v>
      </c>
      <c r="CJ331">
        <v>1</v>
      </c>
      <c r="CK331">
        <v>21</v>
      </c>
      <c r="CL331" t="s">
        <v>90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"080067022066"</f>
        <v>080067022066</v>
      </c>
      <c r="F332" s="3">
        <v>45874</v>
      </c>
      <c r="G332">
        <v>202605</v>
      </c>
      <c r="H332" t="s">
        <v>75</v>
      </c>
      <c r="I332" t="s">
        <v>76</v>
      </c>
      <c r="J332" t="s">
        <v>77</v>
      </c>
      <c r="K332" t="s">
        <v>78</v>
      </c>
      <c r="L332" t="s">
        <v>385</v>
      </c>
      <c r="M332" t="s">
        <v>386</v>
      </c>
      <c r="N332" t="s">
        <v>397</v>
      </c>
      <c r="O332" t="s">
        <v>82</v>
      </c>
      <c r="P332" t="str">
        <f>"4170052809                    "</f>
        <v xml:space="preserve">4170052809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17.649999999999999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</v>
      </c>
      <c r="BJ332">
        <v>0.2</v>
      </c>
      <c r="BK332">
        <v>1</v>
      </c>
      <c r="BL332">
        <v>55.61</v>
      </c>
      <c r="BM332">
        <v>8.34</v>
      </c>
      <c r="BN332">
        <v>63.95</v>
      </c>
      <c r="BO332">
        <v>63.95</v>
      </c>
      <c r="BQ332" t="s">
        <v>398</v>
      </c>
      <c r="BR332" t="s">
        <v>84</v>
      </c>
      <c r="BS332" s="3">
        <v>45875</v>
      </c>
      <c r="BT332" s="4">
        <v>0.45833333333333331</v>
      </c>
      <c r="BU332" t="s">
        <v>951</v>
      </c>
      <c r="BV332" t="s">
        <v>86</v>
      </c>
      <c r="BY332">
        <v>1200</v>
      </c>
      <c r="CA332" t="s">
        <v>851</v>
      </c>
      <c r="CC332" t="s">
        <v>386</v>
      </c>
      <c r="CD332">
        <v>1559</v>
      </c>
      <c r="CE332" t="s">
        <v>109</v>
      </c>
      <c r="CF332" s="3">
        <v>45875</v>
      </c>
      <c r="CI332">
        <v>1</v>
      </c>
      <c r="CJ332">
        <v>1</v>
      </c>
      <c r="CK332">
        <v>22</v>
      </c>
      <c r="CL332" t="s">
        <v>90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"080067022217"</f>
        <v>080067022217</v>
      </c>
      <c r="F333" s="3">
        <v>45874</v>
      </c>
      <c r="G333">
        <v>202605</v>
      </c>
      <c r="H333" t="s">
        <v>75</v>
      </c>
      <c r="I333" t="s">
        <v>76</v>
      </c>
      <c r="J333" t="s">
        <v>77</v>
      </c>
      <c r="K333" t="s">
        <v>78</v>
      </c>
      <c r="L333" t="s">
        <v>137</v>
      </c>
      <c r="M333" t="s">
        <v>138</v>
      </c>
      <c r="N333" t="s">
        <v>781</v>
      </c>
      <c r="O333" t="s">
        <v>82</v>
      </c>
      <c r="P333" t="str">
        <f>"4170052742                    "</f>
        <v xml:space="preserve">4170052742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22.6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0.2</v>
      </c>
      <c r="BK333">
        <v>1</v>
      </c>
      <c r="BL333">
        <v>71.2</v>
      </c>
      <c r="BM333">
        <v>10.68</v>
      </c>
      <c r="BN333">
        <v>81.88</v>
      </c>
      <c r="BO333">
        <v>81.88</v>
      </c>
      <c r="BQ333" t="s">
        <v>782</v>
      </c>
      <c r="BR333" t="s">
        <v>84</v>
      </c>
      <c r="BS333" s="3">
        <v>45875</v>
      </c>
      <c r="BT333" s="4">
        <v>0.40208333333333335</v>
      </c>
      <c r="BU333" t="s">
        <v>952</v>
      </c>
      <c r="BV333" t="s">
        <v>86</v>
      </c>
      <c r="BY333">
        <v>1200</v>
      </c>
      <c r="CA333" t="s">
        <v>953</v>
      </c>
      <c r="CC333" t="s">
        <v>138</v>
      </c>
      <c r="CD333">
        <v>3610</v>
      </c>
      <c r="CE333" t="s">
        <v>109</v>
      </c>
      <c r="CF333" s="3">
        <v>45876</v>
      </c>
      <c r="CI333">
        <v>1</v>
      </c>
      <c r="CJ333">
        <v>1</v>
      </c>
      <c r="CK333">
        <v>21</v>
      </c>
      <c r="CL333" t="s">
        <v>90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"080067022262"</f>
        <v>080067022262</v>
      </c>
      <c r="F334" s="3">
        <v>45874</v>
      </c>
      <c r="G334">
        <v>202605</v>
      </c>
      <c r="H334" t="s">
        <v>75</v>
      </c>
      <c r="I334" t="s">
        <v>76</v>
      </c>
      <c r="J334" t="s">
        <v>77</v>
      </c>
      <c r="K334" t="s">
        <v>78</v>
      </c>
      <c r="L334" t="s">
        <v>123</v>
      </c>
      <c r="M334" t="s">
        <v>124</v>
      </c>
      <c r="N334" t="s">
        <v>663</v>
      </c>
      <c r="O334" t="s">
        <v>82</v>
      </c>
      <c r="P334" t="str">
        <f>"4170052787                    "</f>
        <v xml:space="preserve">4170052787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22.6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0.2</v>
      </c>
      <c r="BK334">
        <v>1</v>
      </c>
      <c r="BL334">
        <v>71.2</v>
      </c>
      <c r="BM334">
        <v>10.68</v>
      </c>
      <c r="BN334">
        <v>81.88</v>
      </c>
      <c r="BO334">
        <v>81.88</v>
      </c>
      <c r="BQ334" t="s">
        <v>664</v>
      </c>
      <c r="BR334" t="s">
        <v>84</v>
      </c>
      <c r="BS334" s="3">
        <v>45875</v>
      </c>
      <c r="BT334" s="4">
        <v>0.47083333333333333</v>
      </c>
      <c r="BU334" t="s">
        <v>665</v>
      </c>
      <c r="BV334" t="s">
        <v>86</v>
      </c>
      <c r="BY334">
        <v>1200</v>
      </c>
      <c r="CA334" t="s">
        <v>666</v>
      </c>
      <c r="CC334" t="s">
        <v>124</v>
      </c>
      <c r="CD334">
        <v>7975</v>
      </c>
      <c r="CE334" t="s">
        <v>109</v>
      </c>
      <c r="CF334" s="3">
        <v>45876</v>
      </c>
      <c r="CI334">
        <v>1</v>
      </c>
      <c r="CJ334">
        <v>1</v>
      </c>
      <c r="CK334">
        <v>21</v>
      </c>
      <c r="CL334" t="s">
        <v>90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"080067022310"</f>
        <v>080067022310</v>
      </c>
      <c r="F335" s="3">
        <v>45874</v>
      </c>
      <c r="G335">
        <v>202605</v>
      </c>
      <c r="H335" t="s">
        <v>75</v>
      </c>
      <c r="I335" t="s">
        <v>76</v>
      </c>
      <c r="J335" t="s">
        <v>77</v>
      </c>
      <c r="K335" t="s">
        <v>78</v>
      </c>
      <c r="L335" t="s">
        <v>198</v>
      </c>
      <c r="M335" t="s">
        <v>199</v>
      </c>
      <c r="N335" t="s">
        <v>680</v>
      </c>
      <c r="O335" t="s">
        <v>82</v>
      </c>
      <c r="P335" t="str">
        <f>"4170052985                    "</f>
        <v xml:space="preserve">4170052985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22.6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0.2</v>
      </c>
      <c r="BK335">
        <v>1</v>
      </c>
      <c r="BL335">
        <v>71.2</v>
      </c>
      <c r="BM335">
        <v>10.68</v>
      </c>
      <c r="BN335">
        <v>81.88</v>
      </c>
      <c r="BO335">
        <v>81.88</v>
      </c>
      <c r="BQ335" t="s">
        <v>681</v>
      </c>
      <c r="BR335" t="s">
        <v>84</v>
      </c>
      <c r="BS335" s="3">
        <v>45875</v>
      </c>
      <c r="BT335" s="4">
        <v>0.38611111111111113</v>
      </c>
      <c r="BU335" t="s">
        <v>936</v>
      </c>
      <c r="BV335" t="s">
        <v>86</v>
      </c>
      <c r="BY335">
        <v>1200</v>
      </c>
      <c r="CA335" t="s">
        <v>923</v>
      </c>
      <c r="CC335" t="s">
        <v>199</v>
      </c>
      <c r="CD335">
        <v>6001</v>
      </c>
      <c r="CE335" t="s">
        <v>109</v>
      </c>
      <c r="CF335" s="3">
        <v>45875</v>
      </c>
      <c r="CI335">
        <v>1</v>
      </c>
      <c r="CJ335">
        <v>1</v>
      </c>
      <c r="CK335">
        <v>21</v>
      </c>
      <c r="CL335" t="s">
        <v>90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"080067022327"</f>
        <v>080067022327</v>
      </c>
      <c r="F336" s="3">
        <v>45874</v>
      </c>
      <c r="G336">
        <v>202605</v>
      </c>
      <c r="H336" t="s">
        <v>75</v>
      </c>
      <c r="I336" t="s">
        <v>76</v>
      </c>
      <c r="J336" t="s">
        <v>77</v>
      </c>
      <c r="K336" t="s">
        <v>78</v>
      </c>
      <c r="L336" t="s">
        <v>229</v>
      </c>
      <c r="M336" t="s">
        <v>230</v>
      </c>
      <c r="N336" t="s">
        <v>231</v>
      </c>
      <c r="O336" t="s">
        <v>82</v>
      </c>
      <c r="P336" t="str">
        <f>"4170052953                    "</f>
        <v xml:space="preserve">4170052953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142.63999999999999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7</v>
      </c>
      <c r="BJ336">
        <v>3.4</v>
      </c>
      <c r="BK336">
        <v>7</v>
      </c>
      <c r="BL336">
        <v>449.4</v>
      </c>
      <c r="BM336">
        <v>67.41</v>
      </c>
      <c r="BN336">
        <v>516.80999999999995</v>
      </c>
      <c r="BO336">
        <v>516.80999999999995</v>
      </c>
      <c r="BQ336" t="s">
        <v>232</v>
      </c>
      <c r="BR336" t="s">
        <v>84</v>
      </c>
      <c r="BS336" s="3">
        <v>45875</v>
      </c>
      <c r="BT336" s="4">
        <v>0.33333333333333331</v>
      </c>
      <c r="BU336" t="s">
        <v>233</v>
      </c>
      <c r="BV336" t="s">
        <v>86</v>
      </c>
      <c r="BY336">
        <v>16965</v>
      </c>
      <c r="CC336" t="s">
        <v>230</v>
      </c>
      <c r="CD336">
        <v>2740</v>
      </c>
      <c r="CE336" t="s">
        <v>147</v>
      </c>
      <c r="CF336" s="3">
        <v>45876</v>
      </c>
      <c r="CI336">
        <v>1</v>
      </c>
      <c r="CJ336">
        <v>1</v>
      </c>
      <c r="CK336">
        <v>23</v>
      </c>
      <c r="CL336" t="s">
        <v>90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"080067022362"</f>
        <v>080067022362</v>
      </c>
      <c r="F337" s="3">
        <v>45874</v>
      </c>
      <c r="G337">
        <v>202605</v>
      </c>
      <c r="H337" t="s">
        <v>75</v>
      </c>
      <c r="I337" t="s">
        <v>76</v>
      </c>
      <c r="J337" t="s">
        <v>77</v>
      </c>
      <c r="K337" t="s">
        <v>78</v>
      </c>
      <c r="L337" t="s">
        <v>123</v>
      </c>
      <c r="M337" t="s">
        <v>124</v>
      </c>
      <c r="N337" t="s">
        <v>406</v>
      </c>
      <c r="O337" t="s">
        <v>82</v>
      </c>
      <c r="P337" t="str">
        <f>"4170052904                    "</f>
        <v xml:space="preserve">4170052904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50.82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3</v>
      </c>
      <c r="BJ337">
        <v>4.0999999999999996</v>
      </c>
      <c r="BK337">
        <v>4.5</v>
      </c>
      <c r="BL337">
        <v>160.12</v>
      </c>
      <c r="BM337">
        <v>24.02</v>
      </c>
      <c r="BN337">
        <v>184.14</v>
      </c>
      <c r="BO337">
        <v>184.14</v>
      </c>
      <c r="BQ337" t="s">
        <v>407</v>
      </c>
      <c r="BR337" t="s">
        <v>84</v>
      </c>
      <c r="BS337" s="3">
        <v>45875</v>
      </c>
      <c r="BT337" s="4">
        <v>0.38263888888888886</v>
      </c>
      <c r="BU337" t="s">
        <v>408</v>
      </c>
      <c r="BV337" t="s">
        <v>86</v>
      </c>
      <c r="BY337">
        <v>20358</v>
      </c>
      <c r="CA337" t="s">
        <v>192</v>
      </c>
      <c r="CC337" t="s">
        <v>124</v>
      </c>
      <c r="CD337">
        <v>7441</v>
      </c>
      <c r="CE337" t="s">
        <v>147</v>
      </c>
      <c r="CF337" s="3">
        <v>45876</v>
      </c>
      <c r="CI337">
        <v>1</v>
      </c>
      <c r="CJ337">
        <v>1</v>
      </c>
      <c r="CK337">
        <v>21</v>
      </c>
      <c r="CL337" t="s">
        <v>90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"080067022379"</f>
        <v>080067022379</v>
      </c>
      <c r="F338" s="3">
        <v>45874</v>
      </c>
      <c r="G338">
        <v>202605</v>
      </c>
      <c r="H338" t="s">
        <v>75</v>
      </c>
      <c r="I338" t="s">
        <v>76</v>
      </c>
      <c r="J338" t="s">
        <v>77</v>
      </c>
      <c r="K338" t="s">
        <v>78</v>
      </c>
      <c r="L338" t="s">
        <v>110</v>
      </c>
      <c r="M338" t="s">
        <v>111</v>
      </c>
      <c r="N338" t="s">
        <v>309</v>
      </c>
      <c r="O338" t="s">
        <v>82</v>
      </c>
      <c r="P338" t="str">
        <f>"4170052960                    "</f>
        <v xml:space="preserve">4170052960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17.649999999999999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</v>
      </c>
      <c r="BJ338">
        <v>0.2</v>
      </c>
      <c r="BK338">
        <v>1</v>
      </c>
      <c r="BL338">
        <v>55.61</v>
      </c>
      <c r="BM338">
        <v>8.34</v>
      </c>
      <c r="BN338">
        <v>63.95</v>
      </c>
      <c r="BO338">
        <v>63.95</v>
      </c>
      <c r="BQ338" t="s">
        <v>310</v>
      </c>
      <c r="BR338" t="s">
        <v>84</v>
      </c>
      <c r="BS338" s="3">
        <v>45875</v>
      </c>
      <c r="BT338" s="4">
        <v>0.40277777777777779</v>
      </c>
      <c r="BU338" t="s">
        <v>954</v>
      </c>
      <c r="BV338" t="s">
        <v>86</v>
      </c>
      <c r="BY338">
        <v>1200</v>
      </c>
      <c r="CA338" t="s">
        <v>312</v>
      </c>
      <c r="CC338" t="s">
        <v>111</v>
      </c>
      <c r="CD338">
        <v>2163</v>
      </c>
      <c r="CE338" t="s">
        <v>109</v>
      </c>
      <c r="CF338" s="3">
        <v>45876</v>
      </c>
      <c r="CI338">
        <v>1</v>
      </c>
      <c r="CJ338">
        <v>1</v>
      </c>
      <c r="CK338">
        <v>22</v>
      </c>
      <c r="CL338" t="s">
        <v>90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"080067022403"</f>
        <v>080067022403</v>
      </c>
      <c r="F339" s="3">
        <v>45874</v>
      </c>
      <c r="G339">
        <v>202605</v>
      </c>
      <c r="H339" t="s">
        <v>75</v>
      </c>
      <c r="I339" t="s">
        <v>76</v>
      </c>
      <c r="J339" t="s">
        <v>77</v>
      </c>
      <c r="K339" t="s">
        <v>78</v>
      </c>
      <c r="L339" t="s">
        <v>198</v>
      </c>
      <c r="M339" t="s">
        <v>199</v>
      </c>
      <c r="N339" t="s">
        <v>955</v>
      </c>
      <c r="O339" t="s">
        <v>82</v>
      </c>
      <c r="P339" t="str">
        <f>"4170052795                    "</f>
        <v xml:space="preserve">4170052795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22.6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1</v>
      </c>
      <c r="BJ339">
        <v>2</v>
      </c>
      <c r="BK339">
        <v>2</v>
      </c>
      <c r="BL339">
        <v>71.2</v>
      </c>
      <c r="BM339">
        <v>10.68</v>
      </c>
      <c r="BN339">
        <v>81.88</v>
      </c>
      <c r="BO339">
        <v>81.88</v>
      </c>
      <c r="BQ339" t="s">
        <v>956</v>
      </c>
      <c r="BR339" t="s">
        <v>84</v>
      </c>
      <c r="BS339" s="3">
        <v>45875</v>
      </c>
      <c r="BT339" s="4">
        <v>0.42777777777777776</v>
      </c>
      <c r="BU339" t="s">
        <v>957</v>
      </c>
      <c r="BV339" t="s">
        <v>86</v>
      </c>
      <c r="BY339">
        <v>9918</v>
      </c>
      <c r="CC339" t="s">
        <v>199</v>
      </c>
      <c r="CD339">
        <v>6012</v>
      </c>
      <c r="CE339" t="s">
        <v>147</v>
      </c>
      <c r="CF339" s="3">
        <v>45875</v>
      </c>
      <c r="CI339">
        <v>1</v>
      </c>
      <c r="CJ339">
        <v>1</v>
      </c>
      <c r="CK339">
        <v>21</v>
      </c>
      <c r="CL339" t="s">
        <v>90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"080067022434"</f>
        <v>080067022434</v>
      </c>
      <c r="F340" s="3">
        <v>45874</v>
      </c>
      <c r="G340">
        <v>202605</v>
      </c>
      <c r="H340" t="s">
        <v>75</v>
      </c>
      <c r="I340" t="s">
        <v>76</v>
      </c>
      <c r="J340" t="s">
        <v>77</v>
      </c>
      <c r="K340" t="s">
        <v>78</v>
      </c>
      <c r="L340" t="s">
        <v>278</v>
      </c>
      <c r="M340" t="s">
        <v>279</v>
      </c>
      <c r="N340" t="s">
        <v>958</v>
      </c>
      <c r="O340" t="s">
        <v>82</v>
      </c>
      <c r="P340" t="str">
        <f>"4170052888                    "</f>
        <v xml:space="preserve">4170052888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22.6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</v>
      </c>
      <c r="BJ340">
        <v>0.2</v>
      </c>
      <c r="BK340">
        <v>1</v>
      </c>
      <c r="BL340">
        <v>71.2</v>
      </c>
      <c r="BM340">
        <v>10.68</v>
      </c>
      <c r="BN340">
        <v>81.88</v>
      </c>
      <c r="BO340">
        <v>81.88</v>
      </c>
      <c r="BQ340" t="s">
        <v>959</v>
      </c>
      <c r="BR340" t="s">
        <v>84</v>
      </c>
      <c r="BS340" s="3">
        <v>45875</v>
      </c>
      <c r="BT340" s="4">
        <v>0.3659722222222222</v>
      </c>
      <c r="BU340" t="s">
        <v>960</v>
      </c>
      <c r="BV340" t="s">
        <v>86</v>
      </c>
      <c r="BY340">
        <v>1200</v>
      </c>
      <c r="CA340" t="s">
        <v>961</v>
      </c>
      <c r="CC340" t="s">
        <v>279</v>
      </c>
      <c r="CD340" s="5" t="s">
        <v>962</v>
      </c>
      <c r="CE340" t="s">
        <v>109</v>
      </c>
      <c r="CF340" s="3">
        <v>45875</v>
      </c>
      <c r="CI340">
        <v>1</v>
      </c>
      <c r="CJ340">
        <v>1</v>
      </c>
      <c r="CK340">
        <v>21</v>
      </c>
      <c r="CL340" t="s">
        <v>90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"080067022447"</f>
        <v>080067022447</v>
      </c>
      <c r="F341" s="3">
        <v>45874</v>
      </c>
      <c r="G341">
        <v>202605</v>
      </c>
      <c r="H341" t="s">
        <v>75</v>
      </c>
      <c r="I341" t="s">
        <v>76</v>
      </c>
      <c r="J341" t="s">
        <v>77</v>
      </c>
      <c r="K341" t="s">
        <v>78</v>
      </c>
      <c r="L341" t="s">
        <v>241</v>
      </c>
      <c r="M341" t="s">
        <v>242</v>
      </c>
      <c r="N341" t="s">
        <v>494</v>
      </c>
      <c r="O341" t="s">
        <v>82</v>
      </c>
      <c r="P341" t="str">
        <f>"4170052769                    "</f>
        <v xml:space="preserve">4170052769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17.649999999999999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</v>
      </c>
      <c r="BJ341">
        <v>1.1000000000000001</v>
      </c>
      <c r="BK341">
        <v>2</v>
      </c>
      <c r="BL341">
        <v>55.61</v>
      </c>
      <c r="BM341">
        <v>8.34</v>
      </c>
      <c r="BN341">
        <v>63.95</v>
      </c>
      <c r="BO341">
        <v>63.95</v>
      </c>
      <c r="BQ341" t="s">
        <v>495</v>
      </c>
      <c r="BR341" t="s">
        <v>84</v>
      </c>
      <c r="BS341" s="3">
        <v>45875</v>
      </c>
      <c r="BT341" s="4">
        <v>0.43194444444444446</v>
      </c>
      <c r="BU341" t="s">
        <v>963</v>
      </c>
      <c r="BV341" t="s">
        <v>86</v>
      </c>
      <c r="BY341">
        <v>5320</v>
      </c>
      <c r="CA341" t="s">
        <v>576</v>
      </c>
      <c r="CC341" t="s">
        <v>242</v>
      </c>
      <c r="CD341">
        <v>1459</v>
      </c>
      <c r="CE341" t="s">
        <v>147</v>
      </c>
      <c r="CF341" s="3">
        <v>45875</v>
      </c>
      <c r="CI341">
        <v>1</v>
      </c>
      <c r="CJ341">
        <v>1</v>
      </c>
      <c r="CK341">
        <v>22</v>
      </c>
      <c r="CL341" t="s">
        <v>90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"080067022478"</f>
        <v>080067022478</v>
      </c>
      <c r="F342" s="3">
        <v>45874</v>
      </c>
      <c r="G342">
        <v>202605</v>
      </c>
      <c r="H342" t="s">
        <v>75</v>
      </c>
      <c r="I342" t="s">
        <v>76</v>
      </c>
      <c r="J342" t="s">
        <v>77</v>
      </c>
      <c r="K342" t="s">
        <v>78</v>
      </c>
      <c r="L342" t="s">
        <v>400</v>
      </c>
      <c r="M342" t="s">
        <v>401</v>
      </c>
      <c r="N342" t="s">
        <v>932</v>
      </c>
      <c r="O342" t="s">
        <v>82</v>
      </c>
      <c r="P342" t="str">
        <f>"4170052964                    "</f>
        <v xml:space="preserve">4170052964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56.47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5</v>
      </c>
      <c r="BJ342">
        <v>4.4000000000000004</v>
      </c>
      <c r="BK342">
        <v>5</v>
      </c>
      <c r="BL342">
        <v>177.91</v>
      </c>
      <c r="BM342">
        <v>26.69</v>
      </c>
      <c r="BN342">
        <v>204.6</v>
      </c>
      <c r="BO342">
        <v>204.6</v>
      </c>
      <c r="BQ342" t="s">
        <v>933</v>
      </c>
      <c r="BR342" t="s">
        <v>84</v>
      </c>
      <c r="BS342" s="3">
        <v>45875</v>
      </c>
      <c r="BT342" s="4">
        <v>0.46875</v>
      </c>
      <c r="BU342" t="s">
        <v>964</v>
      </c>
      <c r="BV342" t="s">
        <v>90</v>
      </c>
      <c r="BW342" t="s">
        <v>364</v>
      </c>
      <c r="BX342" t="s">
        <v>965</v>
      </c>
      <c r="BY342">
        <v>22090</v>
      </c>
      <c r="CC342" t="s">
        <v>401</v>
      </c>
      <c r="CD342">
        <v>6230</v>
      </c>
      <c r="CE342" t="s">
        <v>147</v>
      </c>
      <c r="CF342" s="3">
        <v>45875</v>
      </c>
      <c r="CI342">
        <v>1</v>
      </c>
      <c r="CJ342">
        <v>1</v>
      </c>
      <c r="CK342">
        <v>21</v>
      </c>
      <c r="CL342" t="s">
        <v>90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"080067022552"</f>
        <v>080067022552</v>
      </c>
      <c r="F343" s="3">
        <v>45874</v>
      </c>
      <c r="G343">
        <v>202605</v>
      </c>
      <c r="H343" t="s">
        <v>75</v>
      </c>
      <c r="I343" t="s">
        <v>76</v>
      </c>
      <c r="J343" t="s">
        <v>77</v>
      </c>
      <c r="K343" t="s">
        <v>78</v>
      </c>
      <c r="L343" t="s">
        <v>255</v>
      </c>
      <c r="M343" t="s">
        <v>256</v>
      </c>
      <c r="N343" t="s">
        <v>966</v>
      </c>
      <c r="O343" t="s">
        <v>113</v>
      </c>
      <c r="P343" t="str">
        <f>"4170052857                    "</f>
        <v xml:space="preserve">4170052857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29.54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14</v>
      </c>
      <c r="BJ343">
        <v>9.1</v>
      </c>
      <c r="BK343">
        <v>14</v>
      </c>
      <c r="BL343">
        <v>93.07</v>
      </c>
      <c r="BM343">
        <v>13.96</v>
      </c>
      <c r="BN343">
        <v>107.03</v>
      </c>
      <c r="BO343">
        <v>107.03</v>
      </c>
      <c r="BQ343" t="s">
        <v>967</v>
      </c>
      <c r="BR343" t="s">
        <v>84</v>
      </c>
      <c r="BS343" s="3">
        <v>45875</v>
      </c>
      <c r="BT343" s="4">
        <v>0.51944444444444449</v>
      </c>
      <c r="BU343" t="s">
        <v>968</v>
      </c>
      <c r="BV343" t="s">
        <v>86</v>
      </c>
      <c r="BY343">
        <v>45375</v>
      </c>
      <c r="CA343" t="s">
        <v>969</v>
      </c>
      <c r="CC343" t="s">
        <v>256</v>
      </c>
      <c r="CD343">
        <v>1510</v>
      </c>
      <c r="CE343" t="s">
        <v>970</v>
      </c>
      <c r="CF343" s="3">
        <v>45875</v>
      </c>
      <c r="CI343">
        <v>1</v>
      </c>
      <c r="CJ343">
        <v>1</v>
      </c>
      <c r="CK343">
        <v>32</v>
      </c>
      <c r="CL343" t="s">
        <v>90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"R080066944356"</f>
        <v>R080066944356</v>
      </c>
      <c r="F344" s="3">
        <v>45874</v>
      </c>
      <c r="G344">
        <v>202605</v>
      </c>
      <c r="H344" t="s">
        <v>75</v>
      </c>
      <c r="I344" t="s">
        <v>76</v>
      </c>
      <c r="J344" t="s">
        <v>971</v>
      </c>
      <c r="K344" t="s">
        <v>78</v>
      </c>
      <c r="L344" t="s">
        <v>118</v>
      </c>
      <c r="M344" t="s">
        <v>118</v>
      </c>
      <c r="N344" t="s">
        <v>972</v>
      </c>
      <c r="O344" t="s">
        <v>82</v>
      </c>
      <c r="P344" t="str">
        <f>"4170052369                    "</f>
        <v xml:space="preserve">4170052369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43.78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</v>
      </c>
      <c r="BJ344">
        <v>0.2</v>
      </c>
      <c r="BK344">
        <v>1</v>
      </c>
      <c r="BL344">
        <v>137.94</v>
      </c>
      <c r="BM344">
        <v>20.69</v>
      </c>
      <c r="BN344">
        <v>158.63</v>
      </c>
      <c r="BO344">
        <v>158.63</v>
      </c>
      <c r="BQ344" t="s">
        <v>973</v>
      </c>
      <c r="BR344" t="s">
        <v>84</v>
      </c>
      <c r="BS344" s="3">
        <v>45875</v>
      </c>
      <c r="BT344" s="4">
        <v>0.5180555555555556</v>
      </c>
      <c r="BU344" t="s">
        <v>974</v>
      </c>
      <c r="BV344" t="s">
        <v>86</v>
      </c>
      <c r="BY344">
        <v>1200</v>
      </c>
      <c r="BZ344" t="s">
        <v>330</v>
      </c>
      <c r="CA344" t="s">
        <v>122</v>
      </c>
      <c r="CC344" t="s">
        <v>118</v>
      </c>
      <c r="CD344">
        <v>7646</v>
      </c>
      <c r="CE344" t="s">
        <v>109</v>
      </c>
      <c r="CF344" s="3">
        <v>45876</v>
      </c>
      <c r="CI344">
        <v>1</v>
      </c>
      <c r="CJ344">
        <v>1</v>
      </c>
      <c r="CK344">
        <v>23</v>
      </c>
      <c r="CL344" t="s">
        <v>90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"080067022942"</f>
        <v>080067022942</v>
      </c>
      <c r="F345" s="3">
        <v>45874</v>
      </c>
      <c r="G345">
        <v>202605</v>
      </c>
      <c r="H345" t="s">
        <v>75</v>
      </c>
      <c r="I345" t="s">
        <v>76</v>
      </c>
      <c r="J345" t="s">
        <v>77</v>
      </c>
      <c r="K345" t="s">
        <v>78</v>
      </c>
      <c r="L345" t="s">
        <v>162</v>
      </c>
      <c r="M345" t="s">
        <v>163</v>
      </c>
      <c r="N345" t="s">
        <v>975</v>
      </c>
      <c r="O345" t="s">
        <v>82</v>
      </c>
      <c r="P345" t="str">
        <f>"4170052823                    "</f>
        <v xml:space="preserve">4170052823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22.6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16.739999999999998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</v>
      </c>
      <c r="BJ345">
        <v>0.2</v>
      </c>
      <c r="BK345">
        <v>1</v>
      </c>
      <c r="BL345">
        <v>87.94</v>
      </c>
      <c r="BM345">
        <v>13.19</v>
      </c>
      <c r="BN345">
        <v>101.13</v>
      </c>
      <c r="BO345">
        <v>101.13</v>
      </c>
      <c r="BQ345" t="s">
        <v>976</v>
      </c>
      <c r="BR345" t="s">
        <v>84</v>
      </c>
      <c r="BS345" s="3">
        <v>45875</v>
      </c>
      <c r="BT345" s="4">
        <v>0.41666666666666669</v>
      </c>
      <c r="BU345" t="s">
        <v>977</v>
      </c>
      <c r="BV345" t="s">
        <v>86</v>
      </c>
      <c r="BY345">
        <v>1200</v>
      </c>
      <c r="BZ345" t="s">
        <v>30</v>
      </c>
      <c r="CA345" t="s">
        <v>593</v>
      </c>
      <c r="CC345" t="s">
        <v>163</v>
      </c>
      <c r="CD345">
        <v>3699</v>
      </c>
      <c r="CE345" t="s">
        <v>109</v>
      </c>
      <c r="CF345" s="3">
        <v>45876</v>
      </c>
      <c r="CI345">
        <v>1</v>
      </c>
      <c r="CJ345">
        <v>1</v>
      </c>
      <c r="CK345">
        <v>21</v>
      </c>
      <c r="CL345" t="s">
        <v>90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"080067022984"</f>
        <v>080067022984</v>
      </c>
      <c r="F346" s="3">
        <v>45874</v>
      </c>
      <c r="G346">
        <v>202605</v>
      </c>
      <c r="H346" t="s">
        <v>75</v>
      </c>
      <c r="I346" t="s">
        <v>76</v>
      </c>
      <c r="J346" t="s">
        <v>77</v>
      </c>
      <c r="K346" t="s">
        <v>78</v>
      </c>
      <c r="L346" t="s">
        <v>241</v>
      </c>
      <c r="M346" t="s">
        <v>242</v>
      </c>
      <c r="N346" t="s">
        <v>978</v>
      </c>
      <c r="O346" t="s">
        <v>82</v>
      </c>
      <c r="P346" t="str">
        <f>"4170052905                    "</f>
        <v xml:space="preserve">4170052905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17.649999999999999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</v>
      </c>
      <c r="BJ346">
        <v>0.2</v>
      </c>
      <c r="BK346">
        <v>1</v>
      </c>
      <c r="BL346">
        <v>55.61</v>
      </c>
      <c r="BM346">
        <v>8.34</v>
      </c>
      <c r="BN346">
        <v>63.95</v>
      </c>
      <c r="BO346">
        <v>63.95</v>
      </c>
      <c r="BQ346" t="s">
        <v>979</v>
      </c>
      <c r="BR346" t="s">
        <v>84</v>
      </c>
      <c r="BS346" s="3">
        <v>45875</v>
      </c>
      <c r="BT346" s="4">
        <v>0.3298611111111111</v>
      </c>
      <c r="BU346" t="s">
        <v>900</v>
      </c>
      <c r="BV346" t="s">
        <v>86</v>
      </c>
      <c r="BY346">
        <v>1200</v>
      </c>
      <c r="CA346" t="s">
        <v>720</v>
      </c>
      <c r="CC346" t="s">
        <v>242</v>
      </c>
      <c r="CD346">
        <v>1459</v>
      </c>
      <c r="CE346" t="s">
        <v>109</v>
      </c>
      <c r="CF346" s="3">
        <v>45875</v>
      </c>
      <c r="CI346">
        <v>1</v>
      </c>
      <c r="CJ346">
        <v>1</v>
      </c>
      <c r="CK346">
        <v>22</v>
      </c>
      <c r="CL346" t="s">
        <v>90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"080067023020"</f>
        <v>080067023020</v>
      </c>
      <c r="F347" s="3">
        <v>45874</v>
      </c>
      <c r="G347">
        <v>202605</v>
      </c>
      <c r="H347" t="s">
        <v>75</v>
      </c>
      <c r="I347" t="s">
        <v>76</v>
      </c>
      <c r="J347" t="s">
        <v>77</v>
      </c>
      <c r="K347" t="s">
        <v>78</v>
      </c>
      <c r="L347" t="s">
        <v>325</v>
      </c>
      <c r="M347" t="s">
        <v>326</v>
      </c>
      <c r="N347" t="s">
        <v>980</v>
      </c>
      <c r="O347" t="s">
        <v>82</v>
      </c>
      <c r="P347" t="str">
        <f>"4170052943                    "</f>
        <v xml:space="preserve">4170052943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17.649999999999999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</v>
      </c>
      <c r="BJ347">
        <v>0.2</v>
      </c>
      <c r="BK347">
        <v>1</v>
      </c>
      <c r="BL347">
        <v>55.61</v>
      </c>
      <c r="BM347">
        <v>8.34</v>
      </c>
      <c r="BN347">
        <v>63.95</v>
      </c>
      <c r="BO347">
        <v>63.95</v>
      </c>
      <c r="BQ347" t="s">
        <v>981</v>
      </c>
      <c r="BR347" t="s">
        <v>84</v>
      </c>
      <c r="BS347" s="3">
        <v>45875</v>
      </c>
      <c r="BT347" s="4">
        <v>0.3888888888888889</v>
      </c>
      <c r="BU347" t="s">
        <v>982</v>
      </c>
      <c r="BV347" t="s">
        <v>86</v>
      </c>
      <c r="BY347">
        <v>1200</v>
      </c>
      <c r="CA347" t="s">
        <v>461</v>
      </c>
      <c r="CC347" t="s">
        <v>326</v>
      </c>
      <c r="CD347">
        <v>2094</v>
      </c>
      <c r="CE347" t="s">
        <v>109</v>
      </c>
      <c r="CF347" s="3">
        <v>45876</v>
      </c>
      <c r="CI347">
        <v>1</v>
      </c>
      <c r="CJ347">
        <v>1</v>
      </c>
      <c r="CK347">
        <v>22</v>
      </c>
      <c r="CL347" t="s">
        <v>90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"080067023029"</f>
        <v>080067023029</v>
      </c>
      <c r="F348" s="3">
        <v>45874</v>
      </c>
      <c r="G348">
        <v>202605</v>
      </c>
      <c r="H348" t="s">
        <v>75</v>
      </c>
      <c r="I348" t="s">
        <v>76</v>
      </c>
      <c r="J348" t="s">
        <v>77</v>
      </c>
      <c r="K348" t="s">
        <v>78</v>
      </c>
      <c r="L348" t="s">
        <v>983</v>
      </c>
      <c r="M348" t="s">
        <v>984</v>
      </c>
      <c r="N348" t="s">
        <v>985</v>
      </c>
      <c r="O348" t="s">
        <v>82</v>
      </c>
      <c r="P348" t="str">
        <f>"4170052948                    "</f>
        <v xml:space="preserve">4170052948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17.649999999999999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2</v>
      </c>
      <c r="BJ348">
        <v>1.7</v>
      </c>
      <c r="BK348">
        <v>2</v>
      </c>
      <c r="BL348">
        <v>55.61</v>
      </c>
      <c r="BM348">
        <v>8.34</v>
      </c>
      <c r="BN348">
        <v>63.95</v>
      </c>
      <c r="BO348">
        <v>63.95</v>
      </c>
      <c r="BQ348" t="s">
        <v>986</v>
      </c>
      <c r="BR348" t="s">
        <v>84</v>
      </c>
      <c r="BS348" s="3">
        <v>45875</v>
      </c>
      <c r="BT348" s="4">
        <v>0.39027777777777778</v>
      </c>
      <c r="BU348" t="s">
        <v>987</v>
      </c>
      <c r="BV348" t="s">
        <v>86</v>
      </c>
      <c r="BY348">
        <v>8512</v>
      </c>
      <c r="CA348" t="s">
        <v>988</v>
      </c>
      <c r="CC348" t="s">
        <v>984</v>
      </c>
      <c r="CD348">
        <v>1540</v>
      </c>
      <c r="CE348" t="s">
        <v>147</v>
      </c>
      <c r="CF348" s="3">
        <v>45875</v>
      </c>
      <c r="CI348">
        <v>1</v>
      </c>
      <c r="CJ348">
        <v>1</v>
      </c>
      <c r="CK348">
        <v>22</v>
      </c>
      <c r="CL348" t="s">
        <v>90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"080067023055"</f>
        <v>080067023055</v>
      </c>
      <c r="F349" s="3">
        <v>45874</v>
      </c>
      <c r="G349">
        <v>202605</v>
      </c>
      <c r="H349" t="s">
        <v>75</v>
      </c>
      <c r="I349" t="s">
        <v>76</v>
      </c>
      <c r="J349" t="s">
        <v>77</v>
      </c>
      <c r="K349" t="s">
        <v>78</v>
      </c>
      <c r="L349" t="s">
        <v>325</v>
      </c>
      <c r="M349" t="s">
        <v>326</v>
      </c>
      <c r="N349" t="s">
        <v>656</v>
      </c>
      <c r="O349" t="s">
        <v>82</v>
      </c>
      <c r="P349" t="str">
        <f>"4170052979                    "</f>
        <v xml:space="preserve">4170052979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17.649999999999999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1</v>
      </c>
      <c r="BJ349">
        <v>0.2</v>
      </c>
      <c r="BK349">
        <v>1</v>
      </c>
      <c r="BL349">
        <v>55.61</v>
      </c>
      <c r="BM349">
        <v>8.34</v>
      </c>
      <c r="BN349">
        <v>63.95</v>
      </c>
      <c r="BO349">
        <v>63.95</v>
      </c>
      <c r="BQ349" t="s">
        <v>989</v>
      </c>
      <c r="BR349" t="s">
        <v>84</v>
      </c>
      <c r="BS349" s="3">
        <v>45875</v>
      </c>
      <c r="BT349" s="4">
        <v>0.39583333333333331</v>
      </c>
      <c r="BU349" t="s">
        <v>634</v>
      </c>
      <c r="BV349" t="s">
        <v>86</v>
      </c>
      <c r="BY349">
        <v>1200</v>
      </c>
      <c r="CA349" t="s">
        <v>990</v>
      </c>
      <c r="CC349" t="s">
        <v>326</v>
      </c>
      <c r="CD349">
        <v>2042</v>
      </c>
      <c r="CE349" t="s">
        <v>109</v>
      </c>
      <c r="CF349" s="3">
        <v>45875</v>
      </c>
      <c r="CI349">
        <v>1</v>
      </c>
      <c r="CJ349">
        <v>1</v>
      </c>
      <c r="CK349">
        <v>22</v>
      </c>
      <c r="CL349" t="s">
        <v>90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"080067023073"</f>
        <v>080067023073</v>
      </c>
      <c r="F350" s="3">
        <v>45874</v>
      </c>
      <c r="G350">
        <v>202605</v>
      </c>
      <c r="H350" t="s">
        <v>75</v>
      </c>
      <c r="I350" t="s">
        <v>76</v>
      </c>
      <c r="J350" t="s">
        <v>77</v>
      </c>
      <c r="K350" t="s">
        <v>78</v>
      </c>
      <c r="L350" t="s">
        <v>278</v>
      </c>
      <c r="M350" t="s">
        <v>279</v>
      </c>
      <c r="N350" t="s">
        <v>749</v>
      </c>
      <c r="O350" t="s">
        <v>95</v>
      </c>
      <c r="P350" t="str">
        <f>"4170052873                    "</f>
        <v xml:space="preserve">4170052873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52.72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2</v>
      </c>
      <c r="BI350">
        <v>8</v>
      </c>
      <c r="BJ350">
        <v>19.600000000000001</v>
      </c>
      <c r="BK350">
        <v>20</v>
      </c>
      <c r="BL350">
        <v>171.97</v>
      </c>
      <c r="BM350">
        <v>25.8</v>
      </c>
      <c r="BN350">
        <v>197.77</v>
      </c>
      <c r="BO350">
        <v>197.77</v>
      </c>
      <c r="BQ350" t="s">
        <v>750</v>
      </c>
      <c r="BR350" t="s">
        <v>84</v>
      </c>
      <c r="BS350" s="3">
        <v>45875</v>
      </c>
      <c r="BT350" s="4">
        <v>0.40069444444444446</v>
      </c>
      <c r="BU350" t="s">
        <v>991</v>
      </c>
      <c r="BV350" t="s">
        <v>86</v>
      </c>
      <c r="BY350">
        <v>97965</v>
      </c>
      <c r="CA350" t="s">
        <v>283</v>
      </c>
      <c r="CC350" t="s">
        <v>279</v>
      </c>
      <c r="CD350" s="5" t="s">
        <v>753</v>
      </c>
      <c r="CE350" t="s">
        <v>147</v>
      </c>
      <c r="CF350" s="3">
        <v>45875</v>
      </c>
      <c r="CI350">
        <v>1</v>
      </c>
      <c r="CJ350">
        <v>1</v>
      </c>
      <c r="CK350">
        <v>41</v>
      </c>
      <c r="CL350" t="s">
        <v>90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"080067023116"</f>
        <v>080067023116</v>
      </c>
      <c r="F351" s="3">
        <v>45874</v>
      </c>
      <c r="G351">
        <v>202605</v>
      </c>
      <c r="H351" t="s">
        <v>75</v>
      </c>
      <c r="I351" t="s">
        <v>76</v>
      </c>
      <c r="J351" t="s">
        <v>77</v>
      </c>
      <c r="K351" t="s">
        <v>78</v>
      </c>
      <c r="L351" t="s">
        <v>217</v>
      </c>
      <c r="M351" t="s">
        <v>218</v>
      </c>
      <c r="N351" t="s">
        <v>219</v>
      </c>
      <c r="O351" t="s">
        <v>82</v>
      </c>
      <c r="P351" t="str">
        <f>"4170052819                    "</f>
        <v xml:space="preserve">4170052819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95.99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6</v>
      </c>
      <c r="BJ351">
        <v>8.1</v>
      </c>
      <c r="BK351">
        <v>8.5</v>
      </c>
      <c r="BL351">
        <v>302.41000000000003</v>
      </c>
      <c r="BM351">
        <v>45.36</v>
      </c>
      <c r="BN351">
        <v>347.77</v>
      </c>
      <c r="BO351">
        <v>347.77</v>
      </c>
      <c r="BQ351" t="s">
        <v>220</v>
      </c>
      <c r="BR351" t="s">
        <v>84</v>
      </c>
      <c r="BS351" s="3">
        <v>45875</v>
      </c>
      <c r="BT351" s="4">
        <v>0.33611111111111114</v>
      </c>
      <c r="BU351" t="s">
        <v>565</v>
      </c>
      <c r="BV351" t="s">
        <v>86</v>
      </c>
      <c r="BY351">
        <v>40432</v>
      </c>
      <c r="BZ351" t="s">
        <v>330</v>
      </c>
      <c r="CA351" t="s">
        <v>566</v>
      </c>
      <c r="CC351" t="s">
        <v>218</v>
      </c>
      <c r="CD351">
        <v>4051</v>
      </c>
      <c r="CE351" t="s">
        <v>117</v>
      </c>
      <c r="CF351" s="3">
        <v>45875</v>
      </c>
      <c r="CI351">
        <v>1</v>
      </c>
      <c r="CJ351">
        <v>1</v>
      </c>
      <c r="CK351">
        <v>21</v>
      </c>
      <c r="CL351" t="s">
        <v>90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"080067023133"</f>
        <v>080067023133</v>
      </c>
      <c r="F352" s="3">
        <v>45874</v>
      </c>
      <c r="G352">
        <v>202605</v>
      </c>
      <c r="H352" t="s">
        <v>75</v>
      </c>
      <c r="I352" t="s">
        <v>76</v>
      </c>
      <c r="J352" t="s">
        <v>77</v>
      </c>
      <c r="K352" t="s">
        <v>78</v>
      </c>
      <c r="L352" t="s">
        <v>672</v>
      </c>
      <c r="M352" t="s">
        <v>673</v>
      </c>
      <c r="N352" t="s">
        <v>992</v>
      </c>
      <c r="O352" t="s">
        <v>82</v>
      </c>
      <c r="P352" t="str">
        <f>"4170052813                    "</f>
        <v xml:space="preserve">4170052813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261.27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13</v>
      </c>
      <c r="BJ352">
        <v>9.1999999999999993</v>
      </c>
      <c r="BK352">
        <v>13</v>
      </c>
      <c r="BL352">
        <v>823.15</v>
      </c>
      <c r="BM352">
        <v>123.47</v>
      </c>
      <c r="BN352">
        <v>946.62</v>
      </c>
      <c r="BO352">
        <v>946.62</v>
      </c>
      <c r="BQ352" t="s">
        <v>993</v>
      </c>
      <c r="BR352" t="s">
        <v>84</v>
      </c>
      <c r="BS352" s="3">
        <v>45875</v>
      </c>
      <c r="BT352" s="4">
        <v>0.66666666666666663</v>
      </c>
      <c r="BU352" t="s">
        <v>805</v>
      </c>
      <c r="BV352" t="s">
        <v>86</v>
      </c>
      <c r="BY352">
        <v>46080</v>
      </c>
      <c r="BZ352" t="s">
        <v>330</v>
      </c>
      <c r="CA352" t="s">
        <v>806</v>
      </c>
      <c r="CC352" t="s">
        <v>673</v>
      </c>
      <c r="CD352">
        <v>3370</v>
      </c>
      <c r="CE352" t="s">
        <v>994</v>
      </c>
      <c r="CF352" s="3">
        <v>45876</v>
      </c>
      <c r="CI352">
        <v>2</v>
      </c>
      <c r="CJ352">
        <v>1</v>
      </c>
      <c r="CK352">
        <v>23</v>
      </c>
      <c r="CL352" t="s">
        <v>90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"080067023154"</f>
        <v>080067023154</v>
      </c>
      <c r="F353" s="3">
        <v>45874</v>
      </c>
      <c r="G353">
        <v>202605</v>
      </c>
      <c r="H353" t="s">
        <v>75</v>
      </c>
      <c r="I353" t="s">
        <v>76</v>
      </c>
      <c r="J353" t="s">
        <v>77</v>
      </c>
      <c r="K353" t="s">
        <v>78</v>
      </c>
      <c r="L353" t="s">
        <v>75</v>
      </c>
      <c r="M353" t="s">
        <v>76</v>
      </c>
      <c r="N353" t="s">
        <v>152</v>
      </c>
      <c r="O353" t="s">
        <v>82</v>
      </c>
      <c r="P353" t="str">
        <f>"4170052807                    "</f>
        <v xml:space="preserve">4170052807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17.649999999999999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2</v>
      </c>
      <c r="BJ353">
        <v>3.4</v>
      </c>
      <c r="BK353">
        <v>4</v>
      </c>
      <c r="BL353">
        <v>55.61</v>
      </c>
      <c r="BM353">
        <v>8.34</v>
      </c>
      <c r="BN353">
        <v>63.95</v>
      </c>
      <c r="BO353">
        <v>63.95</v>
      </c>
      <c r="BQ353" t="s">
        <v>153</v>
      </c>
      <c r="BR353" t="s">
        <v>84</v>
      </c>
      <c r="BS353" s="3">
        <v>45875</v>
      </c>
      <c r="BT353" s="4">
        <v>0.32013888888888886</v>
      </c>
      <c r="BU353" t="s">
        <v>995</v>
      </c>
      <c r="BV353" t="s">
        <v>86</v>
      </c>
      <c r="BY353">
        <v>16965</v>
      </c>
      <c r="BZ353" t="s">
        <v>330</v>
      </c>
      <c r="CA353" t="s">
        <v>155</v>
      </c>
      <c r="CC353" t="s">
        <v>76</v>
      </c>
      <c r="CD353">
        <v>1600</v>
      </c>
      <c r="CE353" t="s">
        <v>89</v>
      </c>
      <c r="CF353" s="3">
        <v>45875</v>
      </c>
      <c r="CI353">
        <v>1</v>
      </c>
      <c r="CJ353">
        <v>1</v>
      </c>
      <c r="CK353">
        <v>22</v>
      </c>
      <c r="CL353" t="s">
        <v>90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"080067023321"</f>
        <v>080067023321</v>
      </c>
      <c r="F354" s="3">
        <v>45874</v>
      </c>
      <c r="G354">
        <v>202605</v>
      </c>
      <c r="H354" t="s">
        <v>75</v>
      </c>
      <c r="I354" t="s">
        <v>76</v>
      </c>
      <c r="J354" t="s">
        <v>77</v>
      </c>
      <c r="K354" t="s">
        <v>78</v>
      </c>
      <c r="L354" t="s">
        <v>229</v>
      </c>
      <c r="M354" t="s">
        <v>230</v>
      </c>
      <c r="N354" t="s">
        <v>231</v>
      </c>
      <c r="O354" t="s">
        <v>82</v>
      </c>
      <c r="P354" t="str">
        <f>"4170052959                    "</f>
        <v xml:space="preserve">4170052959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142.63999999999999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7</v>
      </c>
      <c r="BJ354">
        <v>6.1</v>
      </c>
      <c r="BK354">
        <v>7</v>
      </c>
      <c r="BL354">
        <v>449.4</v>
      </c>
      <c r="BM354">
        <v>67.41</v>
      </c>
      <c r="BN354">
        <v>516.80999999999995</v>
      </c>
      <c r="BO354">
        <v>516.80999999999995</v>
      </c>
      <c r="BQ354" t="s">
        <v>232</v>
      </c>
      <c r="BR354" t="s">
        <v>84</v>
      </c>
      <c r="BS354" s="3">
        <v>45875</v>
      </c>
      <c r="BT354" s="4">
        <v>0.33333333333333331</v>
      </c>
      <c r="BU354" t="s">
        <v>996</v>
      </c>
      <c r="BV354" t="s">
        <v>86</v>
      </c>
      <c r="BY354">
        <v>30400</v>
      </c>
      <c r="CA354" t="s">
        <v>457</v>
      </c>
      <c r="CC354" t="s">
        <v>230</v>
      </c>
      <c r="CD354">
        <v>2740</v>
      </c>
      <c r="CE354" t="s">
        <v>117</v>
      </c>
      <c r="CF354" s="3">
        <v>45876</v>
      </c>
      <c r="CI354">
        <v>1</v>
      </c>
      <c r="CJ354">
        <v>1</v>
      </c>
      <c r="CK354">
        <v>23</v>
      </c>
      <c r="CL354" t="s">
        <v>90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"080067023360"</f>
        <v>080067023360</v>
      </c>
      <c r="F355" s="3">
        <v>45874</v>
      </c>
      <c r="G355">
        <v>202605</v>
      </c>
      <c r="H355" t="s">
        <v>75</v>
      </c>
      <c r="I355" t="s">
        <v>76</v>
      </c>
      <c r="J355" t="s">
        <v>77</v>
      </c>
      <c r="K355" t="s">
        <v>78</v>
      </c>
      <c r="L355" t="s">
        <v>234</v>
      </c>
      <c r="M355" t="s">
        <v>235</v>
      </c>
      <c r="N355" t="s">
        <v>236</v>
      </c>
      <c r="O355" t="s">
        <v>82</v>
      </c>
      <c r="P355" t="str">
        <f>"4170052785                    "</f>
        <v xml:space="preserve">4170052785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39.53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2</v>
      </c>
      <c r="BJ355">
        <v>3.4</v>
      </c>
      <c r="BK355">
        <v>3.5</v>
      </c>
      <c r="BL355">
        <v>124.55</v>
      </c>
      <c r="BM355">
        <v>18.68</v>
      </c>
      <c r="BN355">
        <v>143.22999999999999</v>
      </c>
      <c r="BO355">
        <v>143.22999999999999</v>
      </c>
      <c r="BQ355" t="s">
        <v>237</v>
      </c>
      <c r="BR355" t="s">
        <v>84</v>
      </c>
      <c r="BS355" s="3">
        <v>45875</v>
      </c>
      <c r="BT355" s="4">
        <v>0.40347222222222223</v>
      </c>
      <c r="BU355" t="s">
        <v>238</v>
      </c>
      <c r="BV355" t="s">
        <v>86</v>
      </c>
      <c r="BY355">
        <v>16965</v>
      </c>
      <c r="CA355" t="s">
        <v>239</v>
      </c>
      <c r="CC355" t="s">
        <v>235</v>
      </c>
      <c r="CD355" s="5" t="s">
        <v>240</v>
      </c>
      <c r="CE355" t="s">
        <v>147</v>
      </c>
      <c r="CF355" s="3">
        <v>45875</v>
      </c>
      <c r="CI355">
        <v>1</v>
      </c>
      <c r="CJ355">
        <v>1</v>
      </c>
      <c r="CK355">
        <v>21</v>
      </c>
      <c r="CL355" t="s">
        <v>90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"080067023504"</f>
        <v>080067023504</v>
      </c>
      <c r="F356" s="3">
        <v>45874</v>
      </c>
      <c r="G356">
        <v>202605</v>
      </c>
      <c r="H356" t="s">
        <v>75</v>
      </c>
      <c r="I356" t="s">
        <v>76</v>
      </c>
      <c r="J356" t="s">
        <v>77</v>
      </c>
      <c r="K356" t="s">
        <v>78</v>
      </c>
      <c r="L356" t="s">
        <v>278</v>
      </c>
      <c r="M356" t="s">
        <v>279</v>
      </c>
      <c r="N356" t="s">
        <v>928</v>
      </c>
      <c r="O356" t="s">
        <v>82</v>
      </c>
      <c r="P356" t="str">
        <f>"4170052866                    "</f>
        <v xml:space="preserve">4170052866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22.6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2</v>
      </c>
      <c r="BJ356">
        <v>1.9</v>
      </c>
      <c r="BK356">
        <v>2</v>
      </c>
      <c r="BL356">
        <v>71.2</v>
      </c>
      <c r="BM356">
        <v>10.68</v>
      </c>
      <c r="BN356">
        <v>81.88</v>
      </c>
      <c r="BO356">
        <v>81.88</v>
      </c>
      <c r="BQ356" t="s">
        <v>929</v>
      </c>
      <c r="BR356" t="s">
        <v>84</v>
      </c>
      <c r="BS356" s="3">
        <v>45875</v>
      </c>
      <c r="BT356" s="4">
        <v>0.3659722222222222</v>
      </c>
      <c r="BU356" t="s">
        <v>930</v>
      </c>
      <c r="BV356" t="s">
        <v>86</v>
      </c>
      <c r="BY356">
        <v>9576</v>
      </c>
      <c r="CA356" t="s">
        <v>511</v>
      </c>
      <c r="CC356" t="s">
        <v>279</v>
      </c>
      <c r="CD356" s="5" t="s">
        <v>512</v>
      </c>
      <c r="CE356" t="s">
        <v>147</v>
      </c>
      <c r="CF356" s="3">
        <v>45875</v>
      </c>
      <c r="CI356">
        <v>1</v>
      </c>
      <c r="CJ356">
        <v>1</v>
      </c>
      <c r="CK356">
        <v>21</v>
      </c>
      <c r="CL356" t="s">
        <v>90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"080067023532"</f>
        <v>080067023532</v>
      </c>
      <c r="F357" s="3">
        <v>45874</v>
      </c>
      <c r="G357">
        <v>202605</v>
      </c>
      <c r="H357" t="s">
        <v>75</v>
      </c>
      <c r="I357" t="s">
        <v>76</v>
      </c>
      <c r="J357" t="s">
        <v>77</v>
      </c>
      <c r="K357" t="s">
        <v>78</v>
      </c>
      <c r="L357" t="s">
        <v>325</v>
      </c>
      <c r="M357" t="s">
        <v>326</v>
      </c>
      <c r="N357" t="s">
        <v>997</v>
      </c>
      <c r="O357" t="s">
        <v>82</v>
      </c>
      <c r="P357" t="str">
        <f>"4170052754                    "</f>
        <v xml:space="preserve">4170052754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17.649999999999999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1</v>
      </c>
      <c r="BJ357">
        <v>1.1000000000000001</v>
      </c>
      <c r="BK357">
        <v>2</v>
      </c>
      <c r="BL357">
        <v>55.61</v>
      </c>
      <c r="BM357">
        <v>8.34</v>
      </c>
      <c r="BN357">
        <v>63.95</v>
      </c>
      <c r="BO357">
        <v>63.95</v>
      </c>
      <c r="BQ357" t="s">
        <v>998</v>
      </c>
      <c r="BR357" t="s">
        <v>84</v>
      </c>
      <c r="BS357" s="3">
        <v>45875</v>
      </c>
      <c r="BT357" s="4">
        <v>0.39305555555555555</v>
      </c>
      <c r="BU357" t="s">
        <v>604</v>
      </c>
      <c r="BV357" t="s">
        <v>86</v>
      </c>
      <c r="BY357">
        <v>5320</v>
      </c>
      <c r="CA357" t="s">
        <v>461</v>
      </c>
      <c r="CC357" t="s">
        <v>326</v>
      </c>
      <c r="CD357">
        <v>2049</v>
      </c>
      <c r="CE357" t="s">
        <v>147</v>
      </c>
      <c r="CF357" s="3">
        <v>45876</v>
      </c>
      <c r="CI357">
        <v>1</v>
      </c>
      <c r="CJ357">
        <v>1</v>
      </c>
      <c r="CK357">
        <v>22</v>
      </c>
      <c r="CL357" t="s">
        <v>90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"080067024841"</f>
        <v>080067024841</v>
      </c>
      <c r="F358" s="3">
        <v>45874</v>
      </c>
      <c r="G358">
        <v>202605</v>
      </c>
      <c r="H358" t="s">
        <v>75</v>
      </c>
      <c r="I358" t="s">
        <v>76</v>
      </c>
      <c r="J358" t="s">
        <v>77</v>
      </c>
      <c r="K358" t="s">
        <v>78</v>
      </c>
      <c r="L358" t="s">
        <v>198</v>
      </c>
      <c r="M358" t="s">
        <v>199</v>
      </c>
      <c r="N358" t="s">
        <v>598</v>
      </c>
      <c r="O358" t="s">
        <v>82</v>
      </c>
      <c r="P358" t="str">
        <f>"4170052951                    "</f>
        <v xml:space="preserve">4170052951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22.6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1</v>
      </c>
      <c r="BJ358">
        <v>0.2</v>
      </c>
      <c r="BK358">
        <v>1</v>
      </c>
      <c r="BL358">
        <v>71.2</v>
      </c>
      <c r="BM358">
        <v>10.68</v>
      </c>
      <c r="BN358">
        <v>81.88</v>
      </c>
      <c r="BO358">
        <v>81.88</v>
      </c>
      <c r="BQ358" t="s">
        <v>599</v>
      </c>
      <c r="BR358" t="s">
        <v>84</v>
      </c>
      <c r="BS358" s="3">
        <v>45875</v>
      </c>
      <c r="BT358" s="4">
        <v>0.35902777777777778</v>
      </c>
      <c r="BU358" t="s">
        <v>912</v>
      </c>
      <c r="BV358" t="s">
        <v>86</v>
      </c>
      <c r="BY358">
        <v>1200</v>
      </c>
      <c r="CA358" t="s">
        <v>601</v>
      </c>
      <c r="CC358" t="s">
        <v>199</v>
      </c>
      <c r="CD358">
        <v>6001</v>
      </c>
      <c r="CE358" t="s">
        <v>178</v>
      </c>
      <c r="CF358" s="3">
        <v>45875</v>
      </c>
      <c r="CI358">
        <v>1</v>
      </c>
      <c r="CJ358">
        <v>1</v>
      </c>
      <c r="CK358">
        <v>21</v>
      </c>
      <c r="CL358" t="s">
        <v>90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"080067024892"</f>
        <v>080067024892</v>
      </c>
      <c r="F359" s="3">
        <v>45874</v>
      </c>
      <c r="G359">
        <v>202605</v>
      </c>
      <c r="H359" t="s">
        <v>75</v>
      </c>
      <c r="I359" t="s">
        <v>76</v>
      </c>
      <c r="J359" t="s">
        <v>77</v>
      </c>
      <c r="K359" t="s">
        <v>78</v>
      </c>
      <c r="L359" t="s">
        <v>123</v>
      </c>
      <c r="M359" t="s">
        <v>124</v>
      </c>
      <c r="N359" t="s">
        <v>406</v>
      </c>
      <c r="O359" t="s">
        <v>82</v>
      </c>
      <c r="P359" t="str">
        <f>"4170052966                    "</f>
        <v xml:space="preserve">4170052966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22.6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</v>
      </c>
      <c r="BJ359">
        <v>0.2</v>
      </c>
      <c r="BK359">
        <v>1</v>
      </c>
      <c r="BL359">
        <v>71.2</v>
      </c>
      <c r="BM359">
        <v>10.68</v>
      </c>
      <c r="BN359">
        <v>81.88</v>
      </c>
      <c r="BO359">
        <v>81.88</v>
      </c>
      <c r="BQ359" t="s">
        <v>407</v>
      </c>
      <c r="BR359" t="s">
        <v>84</v>
      </c>
      <c r="BS359" s="3">
        <v>45875</v>
      </c>
      <c r="BT359" s="4">
        <v>0.38263888888888886</v>
      </c>
      <c r="BU359" t="s">
        <v>408</v>
      </c>
      <c r="BV359" t="s">
        <v>86</v>
      </c>
      <c r="BY359">
        <v>1200</v>
      </c>
      <c r="CA359" t="s">
        <v>192</v>
      </c>
      <c r="CC359" t="s">
        <v>124</v>
      </c>
      <c r="CD359">
        <v>7441</v>
      </c>
      <c r="CE359" t="s">
        <v>178</v>
      </c>
      <c r="CF359" s="3">
        <v>45876</v>
      </c>
      <c r="CI359">
        <v>1</v>
      </c>
      <c r="CJ359">
        <v>1</v>
      </c>
      <c r="CK359">
        <v>21</v>
      </c>
      <c r="CL359" t="s">
        <v>90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"080067024909"</f>
        <v>080067024909</v>
      </c>
      <c r="F360" s="3">
        <v>45874</v>
      </c>
      <c r="G360">
        <v>202605</v>
      </c>
      <c r="H360" t="s">
        <v>75</v>
      </c>
      <c r="I360" t="s">
        <v>76</v>
      </c>
      <c r="J360" t="s">
        <v>77</v>
      </c>
      <c r="K360" t="s">
        <v>78</v>
      </c>
      <c r="L360" t="s">
        <v>123</v>
      </c>
      <c r="M360" t="s">
        <v>124</v>
      </c>
      <c r="N360" t="s">
        <v>406</v>
      </c>
      <c r="O360" t="s">
        <v>82</v>
      </c>
      <c r="P360" t="str">
        <f>"4170052971                    "</f>
        <v xml:space="preserve">4170052971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22.6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1</v>
      </c>
      <c r="BJ360">
        <v>1.1000000000000001</v>
      </c>
      <c r="BK360">
        <v>1.5</v>
      </c>
      <c r="BL360">
        <v>71.2</v>
      </c>
      <c r="BM360">
        <v>10.68</v>
      </c>
      <c r="BN360">
        <v>81.88</v>
      </c>
      <c r="BO360">
        <v>81.88</v>
      </c>
      <c r="BQ360" t="s">
        <v>407</v>
      </c>
      <c r="BR360" t="s">
        <v>84</v>
      </c>
      <c r="BS360" s="3">
        <v>45875</v>
      </c>
      <c r="BT360" s="4">
        <v>0.38263888888888886</v>
      </c>
      <c r="BU360" t="s">
        <v>408</v>
      </c>
      <c r="BV360" t="s">
        <v>86</v>
      </c>
      <c r="BY360">
        <v>5320</v>
      </c>
      <c r="CA360" t="s">
        <v>192</v>
      </c>
      <c r="CC360" t="s">
        <v>124</v>
      </c>
      <c r="CD360">
        <v>7441</v>
      </c>
      <c r="CE360" t="s">
        <v>178</v>
      </c>
      <c r="CF360" s="3">
        <v>45876</v>
      </c>
      <c r="CI360">
        <v>1</v>
      </c>
      <c r="CJ360">
        <v>1</v>
      </c>
      <c r="CK360">
        <v>21</v>
      </c>
      <c r="CL360" t="s">
        <v>90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"080067024927"</f>
        <v>080067024927</v>
      </c>
      <c r="F361" s="3">
        <v>45874</v>
      </c>
      <c r="G361">
        <v>202605</v>
      </c>
      <c r="H361" t="s">
        <v>75</v>
      </c>
      <c r="I361" t="s">
        <v>76</v>
      </c>
      <c r="J361" t="s">
        <v>77</v>
      </c>
      <c r="K361" t="s">
        <v>78</v>
      </c>
      <c r="L361" t="s">
        <v>234</v>
      </c>
      <c r="M361" t="s">
        <v>235</v>
      </c>
      <c r="N361" t="s">
        <v>236</v>
      </c>
      <c r="O361" t="s">
        <v>82</v>
      </c>
      <c r="P361" t="str">
        <f>"4170052774                    "</f>
        <v xml:space="preserve">4170052774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22.6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</v>
      </c>
      <c r="BJ361">
        <v>0.2</v>
      </c>
      <c r="BK361">
        <v>1</v>
      </c>
      <c r="BL361">
        <v>71.2</v>
      </c>
      <c r="BM361">
        <v>10.68</v>
      </c>
      <c r="BN361">
        <v>81.88</v>
      </c>
      <c r="BO361">
        <v>81.88</v>
      </c>
      <c r="BQ361" t="s">
        <v>237</v>
      </c>
      <c r="BR361" t="s">
        <v>84</v>
      </c>
      <c r="BS361" s="3">
        <v>45875</v>
      </c>
      <c r="BT361" s="4">
        <v>0.40416666666666667</v>
      </c>
      <c r="BU361" t="s">
        <v>238</v>
      </c>
      <c r="BV361" t="s">
        <v>86</v>
      </c>
      <c r="BY361">
        <v>1200</v>
      </c>
      <c r="CA361" t="s">
        <v>239</v>
      </c>
      <c r="CC361" t="s">
        <v>235</v>
      </c>
      <c r="CD361" s="5" t="s">
        <v>240</v>
      </c>
      <c r="CE361" t="s">
        <v>109</v>
      </c>
      <c r="CF361" s="3">
        <v>45875</v>
      </c>
      <c r="CI361">
        <v>1</v>
      </c>
      <c r="CJ361">
        <v>1</v>
      </c>
      <c r="CK361">
        <v>21</v>
      </c>
      <c r="CL361" t="s">
        <v>90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"080067025037"</f>
        <v>080067025037</v>
      </c>
      <c r="F362" s="3">
        <v>45874</v>
      </c>
      <c r="G362">
        <v>202605</v>
      </c>
      <c r="H362" t="s">
        <v>75</v>
      </c>
      <c r="I362" t="s">
        <v>76</v>
      </c>
      <c r="J362" t="s">
        <v>77</v>
      </c>
      <c r="K362" t="s">
        <v>78</v>
      </c>
      <c r="L362" t="s">
        <v>198</v>
      </c>
      <c r="M362" t="s">
        <v>199</v>
      </c>
      <c r="N362" t="s">
        <v>342</v>
      </c>
      <c r="O362" t="s">
        <v>82</v>
      </c>
      <c r="P362" t="str">
        <f>"4170052957                    "</f>
        <v xml:space="preserve">4170052957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22.6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1</v>
      </c>
      <c r="BJ362">
        <v>1.7</v>
      </c>
      <c r="BK362">
        <v>2</v>
      </c>
      <c r="BL362">
        <v>71.2</v>
      </c>
      <c r="BM362">
        <v>10.68</v>
      </c>
      <c r="BN362">
        <v>81.88</v>
      </c>
      <c r="BO362">
        <v>81.88</v>
      </c>
      <c r="BQ362" t="s">
        <v>343</v>
      </c>
      <c r="BR362" t="s">
        <v>84</v>
      </c>
      <c r="BS362" s="3">
        <v>45875</v>
      </c>
      <c r="BT362" s="4">
        <v>0.54166666666666663</v>
      </c>
      <c r="BU362" t="s">
        <v>999</v>
      </c>
      <c r="BV362" t="s">
        <v>90</v>
      </c>
      <c r="BW362" t="s">
        <v>134</v>
      </c>
      <c r="BX362" t="s">
        <v>747</v>
      </c>
      <c r="BY362">
        <v>8512</v>
      </c>
      <c r="CA362" t="s">
        <v>1000</v>
      </c>
      <c r="CC362" t="s">
        <v>199</v>
      </c>
      <c r="CD362">
        <v>6001</v>
      </c>
      <c r="CE362" t="s">
        <v>147</v>
      </c>
      <c r="CF362" s="3">
        <v>45875</v>
      </c>
      <c r="CI362">
        <v>1</v>
      </c>
      <c r="CJ362">
        <v>1</v>
      </c>
      <c r="CK362">
        <v>21</v>
      </c>
      <c r="CL362" t="s">
        <v>90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"080067024983"</f>
        <v>080067024983</v>
      </c>
      <c r="F363" s="3">
        <v>45874</v>
      </c>
      <c r="G363">
        <v>202605</v>
      </c>
      <c r="H363" t="s">
        <v>75</v>
      </c>
      <c r="I363" t="s">
        <v>76</v>
      </c>
      <c r="J363" t="s">
        <v>77</v>
      </c>
      <c r="K363" t="s">
        <v>78</v>
      </c>
      <c r="L363" t="s">
        <v>198</v>
      </c>
      <c r="M363" t="s">
        <v>199</v>
      </c>
      <c r="N363" t="s">
        <v>598</v>
      </c>
      <c r="O363" t="s">
        <v>82</v>
      </c>
      <c r="P363" t="str">
        <f>"4170052980                    "</f>
        <v xml:space="preserve">4170052980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22.6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0.2</v>
      </c>
      <c r="BK363">
        <v>1</v>
      </c>
      <c r="BL363">
        <v>71.2</v>
      </c>
      <c r="BM363">
        <v>10.68</v>
      </c>
      <c r="BN363">
        <v>81.88</v>
      </c>
      <c r="BO363">
        <v>81.88</v>
      </c>
      <c r="BQ363" t="s">
        <v>599</v>
      </c>
      <c r="BR363" t="s">
        <v>84</v>
      </c>
      <c r="BS363" s="3">
        <v>45875</v>
      </c>
      <c r="BT363" s="4">
        <v>0.35972222222222222</v>
      </c>
      <c r="BU363" t="s">
        <v>912</v>
      </c>
      <c r="BV363" t="s">
        <v>86</v>
      </c>
      <c r="BY363">
        <v>1200</v>
      </c>
      <c r="CA363" t="s">
        <v>601</v>
      </c>
      <c r="CC363" t="s">
        <v>199</v>
      </c>
      <c r="CD363">
        <v>6001</v>
      </c>
      <c r="CE363" t="s">
        <v>109</v>
      </c>
      <c r="CF363" s="3">
        <v>45875</v>
      </c>
      <c r="CI363">
        <v>1</v>
      </c>
      <c r="CJ363">
        <v>1</v>
      </c>
      <c r="CK363">
        <v>21</v>
      </c>
      <c r="CL363" t="s">
        <v>90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"080067025141"</f>
        <v>080067025141</v>
      </c>
      <c r="F364" s="3">
        <v>45874</v>
      </c>
      <c r="G364">
        <v>202605</v>
      </c>
      <c r="H364" t="s">
        <v>75</v>
      </c>
      <c r="I364" t="s">
        <v>76</v>
      </c>
      <c r="J364" t="s">
        <v>77</v>
      </c>
      <c r="K364" t="s">
        <v>78</v>
      </c>
      <c r="L364" t="s">
        <v>198</v>
      </c>
      <c r="M364" t="s">
        <v>199</v>
      </c>
      <c r="N364" t="s">
        <v>1001</v>
      </c>
      <c r="O364" t="s">
        <v>82</v>
      </c>
      <c r="P364" t="str">
        <f>"4170052917                    "</f>
        <v xml:space="preserve">4170052917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39.53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3</v>
      </c>
      <c r="BJ364">
        <v>3.4</v>
      </c>
      <c r="BK364">
        <v>3.5</v>
      </c>
      <c r="BL364">
        <v>124.55</v>
      </c>
      <c r="BM364">
        <v>18.68</v>
      </c>
      <c r="BN364">
        <v>143.22999999999999</v>
      </c>
      <c r="BO364">
        <v>143.22999999999999</v>
      </c>
      <c r="BQ364" t="s">
        <v>1002</v>
      </c>
      <c r="BR364" t="s">
        <v>84</v>
      </c>
      <c r="BS364" s="3">
        <v>45875</v>
      </c>
      <c r="BT364" s="4">
        <v>0.39166666666666666</v>
      </c>
      <c r="BU364" t="s">
        <v>622</v>
      </c>
      <c r="BV364" t="s">
        <v>86</v>
      </c>
      <c r="BY364">
        <v>16965</v>
      </c>
      <c r="CA364" t="s">
        <v>689</v>
      </c>
      <c r="CC364" t="s">
        <v>199</v>
      </c>
      <c r="CD364">
        <v>6001</v>
      </c>
      <c r="CE364" t="s">
        <v>147</v>
      </c>
      <c r="CF364" s="3">
        <v>45875</v>
      </c>
      <c r="CI364">
        <v>1</v>
      </c>
      <c r="CJ364">
        <v>1</v>
      </c>
      <c r="CK364">
        <v>21</v>
      </c>
      <c r="CL364" t="s">
        <v>90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"080067025285"</f>
        <v>080067025285</v>
      </c>
      <c r="F365" s="3">
        <v>45874</v>
      </c>
      <c r="G365">
        <v>202605</v>
      </c>
      <c r="H365" t="s">
        <v>75</v>
      </c>
      <c r="I365" t="s">
        <v>76</v>
      </c>
      <c r="J365" t="s">
        <v>77</v>
      </c>
      <c r="K365" t="s">
        <v>78</v>
      </c>
      <c r="L365" t="s">
        <v>207</v>
      </c>
      <c r="M365" t="s">
        <v>208</v>
      </c>
      <c r="N365" t="s">
        <v>209</v>
      </c>
      <c r="O365" t="s">
        <v>82</v>
      </c>
      <c r="P365" t="str">
        <f>"4170052990                    "</f>
        <v xml:space="preserve">4170052990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43.78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2</v>
      </c>
      <c r="BJ365">
        <v>0.6</v>
      </c>
      <c r="BK365">
        <v>2</v>
      </c>
      <c r="BL365">
        <v>137.94</v>
      </c>
      <c r="BM365">
        <v>20.69</v>
      </c>
      <c r="BN365">
        <v>158.63</v>
      </c>
      <c r="BO365">
        <v>158.63</v>
      </c>
      <c r="BQ365" t="s">
        <v>210</v>
      </c>
      <c r="BR365" t="s">
        <v>84</v>
      </c>
      <c r="BS365" s="3">
        <v>45875</v>
      </c>
      <c r="BT365" s="4">
        <v>0.53888888888888886</v>
      </c>
      <c r="BU365" t="s">
        <v>211</v>
      </c>
      <c r="BV365" t="s">
        <v>86</v>
      </c>
      <c r="BY365">
        <v>3192</v>
      </c>
      <c r="CA365" t="s">
        <v>212</v>
      </c>
      <c r="CC365" t="s">
        <v>208</v>
      </c>
      <c r="CD365">
        <v>7300</v>
      </c>
      <c r="CE365" t="s">
        <v>147</v>
      </c>
      <c r="CF365" s="3">
        <v>45876</v>
      </c>
      <c r="CI365">
        <v>1</v>
      </c>
      <c r="CJ365">
        <v>1</v>
      </c>
      <c r="CK365">
        <v>23</v>
      </c>
      <c r="CL365" t="s">
        <v>90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"080067025463"</f>
        <v>080067025463</v>
      </c>
      <c r="F366" s="3">
        <v>45874</v>
      </c>
      <c r="G366">
        <v>202605</v>
      </c>
      <c r="H366" t="s">
        <v>75</v>
      </c>
      <c r="I366" t="s">
        <v>76</v>
      </c>
      <c r="J366" t="s">
        <v>77</v>
      </c>
      <c r="K366" t="s">
        <v>78</v>
      </c>
      <c r="L366" t="s">
        <v>162</v>
      </c>
      <c r="M366" t="s">
        <v>163</v>
      </c>
      <c r="N366" t="s">
        <v>246</v>
      </c>
      <c r="O366" t="s">
        <v>82</v>
      </c>
      <c r="P366" t="str">
        <f>"4170052743                    "</f>
        <v xml:space="preserve">4170052743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22.6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</v>
      </c>
      <c r="BJ366">
        <v>1.1000000000000001</v>
      </c>
      <c r="BK366">
        <v>1.5</v>
      </c>
      <c r="BL366">
        <v>71.2</v>
      </c>
      <c r="BM366">
        <v>10.68</v>
      </c>
      <c r="BN366">
        <v>81.88</v>
      </c>
      <c r="BO366">
        <v>81.88</v>
      </c>
      <c r="BQ366" t="s">
        <v>247</v>
      </c>
      <c r="BR366" t="s">
        <v>84</v>
      </c>
      <c r="BS366" s="3">
        <v>45875</v>
      </c>
      <c r="BT366" s="4">
        <v>0.41666666666666669</v>
      </c>
      <c r="BU366" t="s">
        <v>485</v>
      </c>
      <c r="BV366" t="s">
        <v>86</v>
      </c>
      <c r="BY366">
        <v>5320</v>
      </c>
      <c r="CC366" t="s">
        <v>163</v>
      </c>
      <c r="CD366">
        <v>3201</v>
      </c>
      <c r="CE366" t="s">
        <v>147</v>
      </c>
      <c r="CF366" s="3">
        <v>45876</v>
      </c>
      <c r="CI366">
        <v>1</v>
      </c>
      <c r="CJ366">
        <v>1</v>
      </c>
      <c r="CK366">
        <v>21</v>
      </c>
      <c r="CL366" t="s">
        <v>90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"080067025533"</f>
        <v>080067025533</v>
      </c>
      <c r="F367" s="3">
        <v>45874</v>
      </c>
      <c r="G367">
        <v>202605</v>
      </c>
      <c r="H367" t="s">
        <v>75</v>
      </c>
      <c r="I367" t="s">
        <v>76</v>
      </c>
      <c r="J367" t="s">
        <v>77</v>
      </c>
      <c r="K367" t="s">
        <v>78</v>
      </c>
      <c r="L367" t="s">
        <v>234</v>
      </c>
      <c r="M367" t="s">
        <v>235</v>
      </c>
      <c r="N367" t="s">
        <v>236</v>
      </c>
      <c r="O367" t="s">
        <v>82</v>
      </c>
      <c r="P367" t="str">
        <f>"4170052783                    "</f>
        <v xml:space="preserve">4170052783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22.6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2</v>
      </c>
      <c r="BJ367">
        <v>1.1000000000000001</v>
      </c>
      <c r="BK367">
        <v>2</v>
      </c>
      <c r="BL367">
        <v>71.2</v>
      </c>
      <c r="BM367">
        <v>10.68</v>
      </c>
      <c r="BN367">
        <v>81.88</v>
      </c>
      <c r="BO367">
        <v>81.88</v>
      </c>
      <c r="BQ367" t="s">
        <v>237</v>
      </c>
      <c r="BR367" t="s">
        <v>84</v>
      </c>
      <c r="BS367" s="3">
        <v>45875</v>
      </c>
      <c r="BT367" s="4">
        <v>0.40208333333333335</v>
      </c>
      <c r="BU367" t="s">
        <v>238</v>
      </c>
      <c r="BV367" t="s">
        <v>86</v>
      </c>
      <c r="BY367">
        <v>5320</v>
      </c>
      <c r="CA367" t="s">
        <v>239</v>
      </c>
      <c r="CC367" t="s">
        <v>235</v>
      </c>
      <c r="CD367" s="5" t="s">
        <v>240</v>
      </c>
      <c r="CE367" t="s">
        <v>147</v>
      </c>
      <c r="CF367" s="3">
        <v>45875</v>
      </c>
      <c r="CI367">
        <v>1</v>
      </c>
      <c r="CJ367">
        <v>1</v>
      </c>
      <c r="CK367">
        <v>21</v>
      </c>
      <c r="CL367" t="s">
        <v>90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"080067025606"</f>
        <v>080067025606</v>
      </c>
      <c r="F368" s="3">
        <v>45874</v>
      </c>
      <c r="G368">
        <v>202605</v>
      </c>
      <c r="H368" t="s">
        <v>75</v>
      </c>
      <c r="I368" t="s">
        <v>76</v>
      </c>
      <c r="J368" t="s">
        <v>77</v>
      </c>
      <c r="K368" t="s">
        <v>78</v>
      </c>
      <c r="L368" t="s">
        <v>234</v>
      </c>
      <c r="M368" t="s">
        <v>235</v>
      </c>
      <c r="N368" t="s">
        <v>236</v>
      </c>
      <c r="O368" t="s">
        <v>82</v>
      </c>
      <c r="P368" t="str">
        <f>"4170052802                    "</f>
        <v xml:space="preserve">4170052802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22.6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2</v>
      </c>
      <c r="BJ368">
        <v>1.1000000000000001</v>
      </c>
      <c r="BK368">
        <v>2</v>
      </c>
      <c r="BL368">
        <v>71.2</v>
      </c>
      <c r="BM368">
        <v>10.68</v>
      </c>
      <c r="BN368">
        <v>81.88</v>
      </c>
      <c r="BO368">
        <v>81.88</v>
      </c>
      <c r="BQ368" t="s">
        <v>237</v>
      </c>
      <c r="BR368" t="s">
        <v>84</v>
      </c>
      <c r="BS368" s="3">
        <v>45875</v>
      </c>
      <c r="BT368" s="4">
        <v>0.40347222222222223</v>
      </c>
      <c r="BU368" t="s">
        <v>238</v>
      </c>
      <c r="BV368" t="s">
        <v>86</v>
      </c>
      <c r="BY368">
        <v>5320</v>
      </c>
      <c r="CA368" t="s">
        <v>239</v>
      </c>
      <c r="CC368" t="s">
        <v>235</v>
      </c>
      <c r="CD368" s="5" t="s">
        <v>240</v>
      </c>
      <c r="CE368" t="s">
        <v>147</v>
      </c>
      <c r="CF368" s="3">
        <v>45875</v>
      </c>
      <c r="CI368">
        <v>1</v>
      </c>
      <c r="CJ368">
        <v>1</v>
      </c>
      <c r="CK368">
        <v>21</v>
      </c>
      <c r="CL368" t="s">
        <v>90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"080067025699"</f>
        <v>080067025699</v>
      </c>
      <c r="F369" s="3">
        <v>45874</v>
      </c>
      <c r="G369">
        <v>202605</v>
      </c>
      <c r="H369" t="s">
        <v>75</v>
      </c>
      <c r="I369" t="s">
        <v>76</v>
      </c>
      <c r="J369" t="s">
        <v>77</v>
      </c>
      <c r="K369" t="s">
        <v>78</v>
      </c>
      <c r="L369" t="s">
        <v>1003</v>
      </c>
      <c r="M369" t="s">
        <v>1004</v>
      </c>
      <c r="N369" t="s">
        <v>1005</v>
      </c>
      <c r="O369" t="s">
        <v>82</v>
      </c>
      <c r="P369" t="str">
        <f>"4170052891                    "</f>
        <v xml:space="preserve">4170052891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152.53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5</v>
      </c>
      <c r="BJ369">
        <v>7.3</v>
      </c>
      <c r="BK369">
        <v>7.5</v>
      </c>
      <c r="BL369">
        <v>480.55</v>
      </c>
      <c r="BM369">
        <v>72.08</v>
      </c>
      <c r="BN369">
        <v>552.63</v>
      </c>
      <c r="BO369">
        <v>552.63</v>
      </c>
      <c r="BQ369" t="s">
        <v>1006</v>
      </c>
      <c r="BR369" t="s">
        <v>84</v>
      </c>
      <c r="BS369" s="3">
        <v>45875</v>
      </c>
      <c r="BT369" s="4">
        <v>0.41666666666666669</v>
      </c>
      <c r="BU369" t="s">
        <v>1007</v>
      </c>
      <c r="BV369" t="s">
        <v>86</v>
      </c>
      <c r="BY369">
        <v>36400</v>
      </c>
      <c r="CA369" t="s">
        <v>457</v>
      </c>
      <c r="CC369" t="s">
        <v>1004</v>
      </c>
      <c r="CD369">
        <v>3310</v>
      </c>
      <c r="CE369" t="s">
        <v>117</v>
      </c>
      <c r="CF369" s="3">
        <v>45876</v>
      </c>
      <c r="CI369">
        <v>1</v>
      </c>
      <c r="CJ369">
        <v>1</v>
      </c>
      <c r="CK369">
        <v>23</v>
      </c>
      <c r="CL369" t="s">
        <v>90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"080067025944"</f>
        <v>080067025944</v>
      </c>
      <c r="F370" s="3">
        <v>45874</v>
      </c>
      <c r="G370">
        <v>202605</v>
      </c>
      <c r="H370" t="s">
        <v>75</v>
      </c>
      <c r="I370" t="s">
        <v>76</v>
      </c>
      <c r="J370" t="s">
        <v>77</v>
      </c>
      <c r="K370" t="s">
        <v>78</v>
      </c>
      <c r="L370" t="s">
        <v>349</v>
      </c>
      <c r="M370" t="s">
        <v>350</v>
      </c>
      <c r="N370" t="s">
        <v>1008</v>
      </c>
      <c r="O370" t="s">
        <v>82</v>
      </c>
      <c r="P370" t="str">
        <f>"4170052972                    "</f>
        <v xml:space="preserve">4170052972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43.78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16.739999999999998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</v>
      </c>
      <c r="BJ370">
        <v>0.2</v>
      </c>
      <c r="BK370">
        <v>1</v>
      </c>
      <c r="BL370">
        <v>154.68</v>
      </c>
      <c r="BM370">
        <v>23.2</v>
      </c>
      <c r="BN370">
        <v>177.88</v>
      </c>
      <c r="BO370">
        <v>177.88</v>
      </c>
      <c r="BQ370" t="s">
        <v>1009</v>
      </c>
      <c r="BR370" t="s">
        <v>84</v>
      </c>
      <c r="BS370" s="3">
        <v>45875</v>
      </c>
      <c r="BT370" s="4">
        <v>0.62152777777777779</v>
      </c>
      <c r="BU370" t="s">
        <v>1010</v>
      </c>
      <c r="BV370" t="s">
        <v>86</v>
      </c>
      <c r="BY370">
        <v>1200</v>
      </c>
      <c r="BZ370" t="s">
        <v>30</v>
      </c>
      <c r="CA370" t="s">
        <v>651</v>
      </c>
      <c r="CC370" t="s">
        <v>350</v>
      </c>
      <c r="CD370" s="5" t="s">
        <v>1011</v>
      </c>
      <c r="CE370" t="s">
        <v>109</v>
      </c>
      <c r="CF370" s="3">
        <v>45875</v>
      </c>
      <c r="CI370">
        <v>1</v>
      </c>
      <c r="CJ370">
        <v>1</v>
      </c>
      <c r="CK370">
        <v>23</v>
      </c>
      <c r="CL370" t="s">
        <v>90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"080067025974"</f>
        <v>080067025974</v>
      </c>
      <c r="F371" s="3">
        <v>45874</v>
      </c>
      <c r="G371">
        <v>202605</v>
      </c>
      <c r="H371" t="s">
        <v>75</v>
      </c>
      <c r="I371" t="s">
        <v>76</v>
      </c>
      <c r="J371" t="s">
        <v>77</v>
      </c>
      <c r="K371" t="s">
        <v>78</v>
      </c>
      <c r="L371" t="s">
        <v>325</v>
      </c>
      <c r="M371" t="s">
        <v>326</v>
      </c>
      <c r="N371" t="s">
        <v>1012</v>
      </c>
      <c r="O371" t="s">
        <v>82</v>
      </c>
      <c r="P371" t="str">
        <f>"4170052976                    "</f>
        <v xml:space="preserve">4170052976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17.649999999999999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</v>
      </c>
      <c r="BJ371">
        <v>0.2</v>
      </c>
      <c r="BK371">
        <v>1</v>
      </c>
      <c r="BL371">
        <v>55.61</v>
      </c>
      <c r="BM371">
        <v>8.34</v>
      </c>
      <c r="BN371">
        <v>63.95</v>
      </c>
      <c r="BO371">
        <v>63.95</v>
      </c>
      <c r="BQ371" t="s">
        <v>1013</v>
      </c>
      <c r="BR371" t="s">
        <v>84</v>
      </c>
      <c r="BS371" s="3">
        <v>45876</v>
      </c>
      <c r="BT371" s="4">
        <v>0.42152777777777778</v>
      </c>
      <c r="BU371" t="s">
        <v>1014</v>
      </c>
      <c r="BV371" t="s">
        <v>90</v>
      </c>
      <c r="BY371">
        <v>1200</v>
      </c>
      <c r="CA371" t="s">
        <v>1015</v>
      </c>
      <c r="CC371" t="s">
        <v>326</v>
      </c>
      <c r="CD371">
        <v>2092</v>
      </c>
      <c r="CE371" t="s">
        <v>109</v>
      </c>
      <c r="CF371" s="3">
        <v>45877</v>
      </c>
      <c r="CI371">
        <v>1</v>
      </c>
      <c r="CJ371">
        <v>2</v>
      </c>
      <c r="CK371">
        <v>22</v>
      </c>
      <c r="CL371" t="s">
        <v>90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"080067026000"</f>
        <v>080067026000</v>
      </c>
      <c r="F372" s="3">
        <v>45874</v>
      </c>
      <c r="G372">
        <v>202605</v>
      </c>
      <c r="H372" t="s">
        <v>75</v>
      </c>
      <c r="I372" t="s">
        <v>76</v>
      </c>
      <c r="J372" t="s">
        <v>77</v>
      </c>
      <c r="K372" t="s">
        <v>78</v>
      </c>
      <c r="L372" t="s">
        <v>123</v>
      </c>
      <c r="M372" t="s">
        <v>124</v>
      </c>
      <c r="N372" t="s">
        <v>612</v>
      </c>
      <c r="O372" t="s">
        <v>82</v>
      </c>
      <c r="P372" t="str">
        <f>"4170052928                    "</f>
        <v xml:space="preserve">4170052928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169.37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15</v>
      </c>
      <c r="BJ372">
        <v>3.4</v>
      </c>
      <c r="BK372">
        <v>15</v>
      </c>
      <c r="BL372">
        <v>533.61</v>
      </c>
      <c r="BM372">
        <v>80.040000000000006</v>
      </c>
      <c r="BN372">
        <v>613.65</v>
      </c>
      <c r="BO372">
        <v>613.65</v>
      </c>
      <c r="BQ372" t="s">
        <v>613</v>
      </c>
      <c r="BR372" t="s">
        <v>84</v>
      </c>
      <c r="BS372" s="3">
        <v>45875</v>
      </c>
      <c r="BT372" s="4">
        <v>0.40347222222222223</v>
      </c>
      <c r="BU372" t="s">
        <v>1016</v>
      </c>
      <c r="BV372" t="s">
        <v>86</v>
      </c>
      <c r="BY372">
        <v>16965</v>
      </c>
      <c r="CA372" t="s">
        <v>128</v>
      </c>
      <c r="CC372" t="s">
        <v>124</v>
      </c>
      <c r="CD372">
        <v>7561</v>
      </c>
      <c r="CE372" t="s">
        <v>147</v>
      </c>
      <c r="CF372" s="3">
        <v>45876</v>
      </c>
      <c r="CI372">
        <v>1</v>
      </c>
      <c r="CJ372">
        <v>1</v>
      </c>
      <c r="CK372">
        <v>21</v>
      </c>
      <c r="CL372" t="s">
        <v>90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"080067026019"</f>
        <v>080067026019</v>
      </c>
      <c r="F373" s="3">
        <v>45874</v>
      </c>
      <c r="G373">
        <v>202605</v>
      </c>
      <c r="H373" t="s">
        <v>75</v>
      </c>
      <c r="I373" t="s">
        <v>76</v>
      </c>
      <c r="J373" t="s">
        <v>77</v>
      </c>
      <c r="K373" t="s">
        <v>78</v>
      </c>
      <c r="L373" t="s">
        <v>513</v>
      </c>
      <c r="M373" t="s">
        <v>514</v>
      </c>
      <c r="N373" t="s">
        <v>1017</v>
      </c>
      <c r="O373" t="s">
        <v>82</v>
      </c>
      <c r="P373" t="str">
        <f>"4170052910                    "</f>
        <v xml:space="preserve">4170052910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43.78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0.2</v>
      </c>
      <c r="BK373">
        <v>1</v>
      </c>
      <c r="BL373">
        <v>137.94</v>
      </c>
      <c r="BM373">
        <v>20.69</v>
      </c>
      <c r="BN373">
        <v>158.63</v>
      </c>
      <c r="BO373">
        <v>158.63</v>
      </c>
      <c r="BQ373" t="s">
        <v>1018</v>
      </c>
      <c r="BR373" t="s">
        <v>84</v>
      </c>
      <c r="BS373" s="3">
        <v>45875</v>
      </c>
      <c r="BT373" s="4">
        <v>0.41319444444444442</v>
      </c>
      <c r="BU373" t="s">
        <v>1019</v>
      </c>
      <c r="BV373" t="s">
        <v>86</v>
      </c>
      <c r="BY373">
        <v>1200</v>
      </c>
      <c r="CA373" t="s">
        <v>518</v>
      </c>
      <c r="CC373" t="s">
        <v>514</v>
      </c>
      <c r="CD373" s="5" t="s">
        <v>519</v>
      </c>
      <c r="CE373" t="s">
        <v>109</v>
      </c>
      <c r="CF373" s="3">
        <v>45876</v>
      </c>
      <c r="CI373">
        <v>1</v>
      </c>
      <c r="CJ373">
        <v>1</v>
      </c>
      <c r="CK373">
        <v>23</v>
      </c>
      <c r="CL373" t="s">
        <v>90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"080067026030"</f>
        <v>080067026030</v>
      </c>
      <c r="F374" s="3">
        <v>45874</v>
      </c>
      <c r="G374">
        <v>202605</v>
      </c>
      <c r="H374" t="s">
        <v>75</v>
      </c>
      <c r="I374" t="s">
        <v>76</v>
      </c>
      <c r="J374" t="s">
        <v>77</v>
      </c>
      <c r="K374" t="s">
        <v>78</v>
      </c>
      <c r="L374" t="s">
        <v>75</v>
      </c>
      <c r="M374" t="s">
        <v>76</v>
      </c>
      <c r="N374" t="s">
        <v>1020</v>
      </c>
      <c r="O374" t="s">
        <v>82</v>
      </c>
      <c r="P374" t="str">
        <f>"4170052885                    "</f>
        <v xml:space="preserve">4170052885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17.649999999999999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6</v>
      </c>
      <c r="BJ374">
        <v>3.4</v>
      </c>
      <c r="BK374">
        <v>6</v>
      </c>
      <c r="BL374">
        <v>55.61</v>
      </c>
      <c r="BM374">
        <v>8.34</v>
      </c>
      <c r="BN374">
        <v>63.95</v>
      </c>
      <c r="BO374">
        <v>63.95</v>
      </c>
      <c r="BQ374" t="s">
        <v>1021</v>
      </c>
      <c r="BR374" t="s">
        <v>84</v>
      </c>
      <c r="BS374" s="3">
        <v>45875</v>
      </c>
      <c r="BT374" s="4">
        <v>0.4375</v>
      </c>
      <c r="BU374" t="s">
        <v>1022</v>
      </c>
      <c r="BV374" t="s">
        <v>86</v>
      </c>
      <c r="BY374">
        <v>16965</v>
      </c>
      <c r="CA374" t="s">
        <v>146</v>
      </c>
      <c r="CC374" t="s">
        <v>76</v>
      </c>
      <c r="CD374">
        <v>1645</v>
      </c>
      <c r="CE374" t="s">
        <v>147</v>
      </c>
      <c r="CF374" s="3">
        <v>45876</v>
      </c>
      <c r="CI374">
        <v>1</v>
      </c>
      <c r="CJ374">
        <v>1</v>
      </c>
      <c r="CK374">
        <v>22</v>
      </c>
      <c r="CL374" t="s">
        <v>90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"080067026118"</f>
        <v>080067026118</v>
      </c>
      <c r="F375" s="3">
        <v>45874</v>
      </c>
      <c r="G375">
        <v>202605</v>
      </c>
      <c r="H375" t="s">
        <v>75</v>
      </c>
      <c r="I375" t="s">
        <v>76</v>
      </c>
      <c r="J375" t="s">
        <v>77</v>
      </c>
      <c r="K375" t="s">
        <v>78</v>
      </c>
      <c r="L375" t="s">
        <v>75</v>
      </c>
      <c r="M375" t="s">
        <v>76</v>
      </c>
      <c r="N375" t="s">
        <v>1023</v>
      </c>
      <c r="O375" t="s">
        <v>113</v>
      </c>
      <c r="P375" t="str">
        <f>"4170052859                    "</f>
        <v xml:space="preserve">4170052859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19.64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6</v>
      </c>
      <c r="BJ375">
        <v>8.3000000000000007</v>
      </c>
      <c r="BK375">
        <v>9</v>
      </c>
      <c r="BL375">
        <v>61.87</v>
      </c>
      <c r="BM375">
        <v>9.2799999999999994</v>
      </c>
      <c r="BN375">
        <v>71.150000000000006</v>
      </c>
      <c r="BO375">
        <v>71.150000000000006</v>
      </c>
      <c r="BQ375" t="s">
        <v>1024</v>
      </c>
      <c r="BR375" t="s">
        <v>84</v>
      </c>
      <c r="BS375" s="3">
        <v>45875</v>
      </c>
      <c r="BT375" s="4">
        <v>0.48749999999999999</v>
      </c>
      <c r="BU375" t="s">
        <v>1025</v>
      </c>
      <c r="BV375" t="s">
        <v>86</v>
      </c>
      <c r="BY375">
        <v>41616</v>
      </c>
      <c r="CA375" t="s">
        <v>1026</v>
      </c>
      <c r="CC375" t="s">
        <v>76</v>
      </c>
      <c r="CD375">
        <v>1614</v>
      </c>
      <c r="CE375" t="s">
        <v>117</v>
      </c>
      <c r="CF375" s="3">
        <v>45875</v>
      </c>
      <c r="CI375">
        <v>1</v>
      </c>
      <c r="CJ375">
        <v>1</v>
      </c>
      <c r="CK375">
        <v>32</v>
      </c>
      <c r="CL375" t="s">
        <v>90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"080067026169"</f>
        <v>080067026169</v>
      </c>
      <c r="F376" s="3">
        <v>45874</v>
      </c>
      <c r="G376">
        <v>202605</v>
      </c>
      <c r="H376" t="s">
        <v>75</v>
      </c>
      <c r="I376" t="s">
        <v>76</v>
      </c>
      <c r="J376" t="s">
        <v>77</v>
      </c>
      <c r="K376" t="s">
        <v>78</v>
      </c>
      <c r="L376" t="s">
        <v>79</v>
      </c>
      <c r="M376" t="s">
        <v>80</v>
      </c>
      <c r="N376" t="s">
        <v>1027</v>
      </c>
      <c r="O376" t="s">
        <v>82</v>
      </c>
      <c r="P376" t="str">
        <f>"4170052747                    "</f>
        <v xml:space="preserve">4170052747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17.649999999999999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2</v>
      </c>
      <c r="BJ376">
        <v>3.8</v>
      </c>
      <c r="BK376">
        <v>4</v>
      </c>
      <c r="BL376">
        <v>55.61</v>
      </c>
      <c r="BM376">
        <v>8.34</v>
      </c>
      <c r="BN376">
        <v>63.95</v>
      </c>
      <c r="BO376">
        <v>63.95</v>
      </c>
      <c r="BQ376" t="s">
        <v>1028</v>
      </c>
      <c r="BR376" t="s">
        <v>84</v>
      </c>
      <c r="BS376" s="3">
        <v>45875</v>
      </c>
      <c r="BT376" s="4">
        <v>0.3576388888888889</v>
      </c>
      <c r="BU376" t="s">
        <v>1029</v>
      </c>
      <c r="BV376" t="s">
        <v>86</v>
      </c>
      <c r="BY376">
        <v>19040</v>
      </c>
      <c r="CA376" t="s">
        <v>1026</v>
      </c>
      <c r="CC376" t="s">
        <v>80</v>
      </c>
      <c r="CD376">
        <v>1401</v>
      </c>
      <c r="CE376" t="s">
        <v>117</v>
      </c>
      <c r="CF376" s="3">
        <v>45875</v>
      </c>
      <c r="CI376">
        <v>1</v>
      </c>
      <c r="CJ376">
        <v>1</v>
      </c>
      <c r="CK376">
        <v>22</v>
      </c>
      <c r="CL376" t="s">
        <v>90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"080067026210"</f>
        <v>080067026210</v>
      </c>
      <c r="F377" s="3">
        <v>45874</v>
      </c>
      <c r="G377">
        <v>202605</v>
      </c>
      <c r="H377" t="s">
        <v>75</v>
      </c>
      <c r="I377" t="s">
        <v>76</v>
      </c>
      <c r="J377" t="s">
        <v>77</v>
      </c>
      <c r="K377" t="s">
        <v>78</v>
      </c>
      <c r="L377" t="s">
        <v>385</v>
      </c>
      <c r="M377" t="s">
        <v>386</v>
      </c>
      <c r="N377" t="s">
        <v>1030</v>
      </c>
      <c r="O377" t="s">
        <v>113</v>
      </c>
      <c r="P377" t="str">
        <f>"4170052812                    "</f>
        <v xml:space="preserve">4170052812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17.66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6</v>
      </c>
      <c r="BJ377">
        <v>3.4</v>
      </c>
      <c r="BK377">
        <v>6</v>
      </c>
      <c r="BL377">
        <v>55.63</v>
      </c>
      <c r="BM377">
        <v>8.34</v>
      </c>
      <c r="BN377">
        <v>63.97</v>
      </c>
      <c r="BO377">
        <v>63.97</v>
      </c>
      <c r="BQ377" t="s">
        <v>1031</v>
      </c>
      <c r="BR377" t="s">
        <v>84</v>
      </c>
      <c r="BS377" s="3">
        <v>45875</v>
      </c>
      <c r="BT377" s="4">
        <v>0.33750000000000002</v>
      </c>
      <c r="BU377" t="s">
        <v>1032</v>
      </c>
      <c r="BV377" t="s">
        <v>86</v>
      </c>
      <c r="BY377">
        <v>16900</v>
      </c>
      <c r="CA377" t="s">
        <v>851</v>
      </c>
      <c r="CC377" t="s">
        <v>386</v>
      </c>
      <c r="CD377">
        <v>1559</v>
      </c>
      <c r="CE377" t="s">
        <v>117</v>
      </c>
      <c r="CF377" s="3">
        <v>45875</v>
      </c>
      <c r="CI377">
        <v>1</v>
      </c>
      <c r="CJ377">
        <v>1</v>
      </c>
      <c r="CK377">
        <v>32</v>
      </c>
      <c r="CL377" t="s">
        <v>90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"080067026243"</f>
        <v>080067026243</v>
      </c>
      <c r="F378" s="3">
        <v>45874</v>
      </c>
      <c r="G378">
        <v>202605</v>
      </c>
      <c r="H378" t="s">
        <v>75</v>
      </c>
      <c r="I378" t="s">
        <v>76</v>
      </c>
      <c r="J378" t="s">
        <v>77</v>
      </c>
      <c r="K378" t="s">
        <v>78</v>
      </c>
      <c r="L378" t="s">
        <v>217</v>
      </c>
      <c r="M378" t="s">
        <v>218</v>
      </c>
      <c r="N378" t="s">
        <v>249</v>
      </c>
      <c r="O378" t="s">
        <v>82</v>
      </c>
      <c r="P378" t="str">
        <f>"4170052778                    "</f>
        <v xml:space="preserve">4170052778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22.6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</v>
      </c>
      <c r="BJ378">
        <v>1.1000000000000001</v>
      </c>
      <c r="BK378">
        <v>1.5</v>
      </c>
      <c r="BL378">
        <v>71.2</v>
      </c>
      <c r="BM378">
        <v>10.68</v>
      </c>
      <c r="BN378">
        <v>81.88</v>
      </c>
      <c r="BO378">
        <v>81.88</v>
      </c>
      <c r="BQ378" t="s">
        <v>250</v>
      </c>
      <c r="BR378" t="s">
        <v>84</v>
      </c>
      <c r="BS378" s="3">
        <v>45875</v>
      </c>
      <c r="BT378" s="4">
        <v>0.3576388888888889</v>
      </c>
      <c r="BU378" t="s">
        <v>787</v>
      </c>
      <c r="BV378" t="s">
        <v>86</v>
      </c>
      <c r="BY378">
        <v>5320</v>
      </c>
      <c r="CA378" t="s">
        <v>136</v>
      </c>
      <c r="CC378" t="s">
        <v>218</v>
      </c>
      <c r="CD378">
        <v>4052</v>
      </c>
      <c r="CE378" t="s">
        <v>147</v>
      </c>
      <c r="CF378" s="3">
        <v>45875</v>
      </c>
      <c r="CI378">
        <v>1</v>
      </c>
      <c r="CJ378">
        <v>1</v>
      </c>
      <c r="CK378">
        <v>21</v>
      </c>
      <c r="CL378" t="s">
        <v>90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"080067026291"</f>
        <v>080067026291</v>
      </c>
      <c r="F379" s="3">
        <v>45874</v>
      </c>
      <c r="G379">
        <v>202605</v>
      </c>
      <c r="H379" t="s">
        <v>75</v>
      </c>
      <c r="I379" t="s">
        <v>76</v>
      </c>
      <c r="J379" t="s">
        <v>77</v>
      </c>
      <c r="K379" t="s">
        <v>78</v>
      </c>
      <c r="L379" t="s">
        <v>137</v>
      </c>
      <c r="M379" t="s">
        <v>138</v>
      </c>
      <c r="N379" t="s">
        <v>370</v>
      </c>
      <c r="O379" t="s">
        <v>82</v>
      </c>
      <c r="P379" t="str">
        <f>"4170052818                    "</f>
        <v xml:space="preserve">4170052818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22.6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</v>
      </c>
      <c r="BJ379">
        <v>0.6</v>
      </c>
      <c r="BK379">
        <v>1</v>
      </c>
      <c r="BL379">
        <v>71.2</v>
      </c>
      <c r="BM379">
        <v>10.68</v>
      </c>
      <c r="BN379">
        <v>81.88</v>
      </c>
      <c r="BO379">
        <v>81.88</v>
      </c>
      <c r="BQ379" t="s">
        <v>371</v>
      </c>
      <c r="BR379" t="s">
        <v>84</v>
      </c>
      <c r="BS379" s="3">
        <v>45875</v>
      </c>
      <c r="BT379" s="4">
        <v>0.43055555555555558</v>
      </c>
      <c r="BU379" t="s">
        <v>1033</v>
      </c>
      <c r="BV379" t="s">
        <v>86</v>
      </c>
      <c r="BY379">
        <v>3192</v>
      </c>
      <c r="CA379" t="s">
        <v>264</v>
      </c>
      <c r="CC379" t="s">
        <v>138</v>
      </c>
      <c r="CD379">
        <v>3608</v>
      </c>
      <c r="CE379" t="s">
        <v>147</v>
      </c>
      <c r="CF379" s="3">
        <v>45875</v>
      </c>
      <c r="CI379">
        <v>1</v>
      </c>
      <c r="CJ379">
        <v>1</v>
      </c>
      <c r="CK379">
        <v>21</v>
      </c>
      <c r="CL379" t="s">
        <v>90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"080067026837"</f>
        <v>080067026837</v>
      </c>
      <c r="F380" s="3">
        <v>45874</v>
      </c>
      <c r="G380">
        <v>202605</v>
      </c>
      <c r="H380" t="s">
        <v>75</v>
      </c>
      <c r="I380" t="s">
        <v>76</v>
      </c>
      <c r="J380" t="s">
        <v>77</v>
      </c>
      <c r="K380" t="s">
        <v>78</v>
      </c>
      <c r="L380" t="s">
        <v>75</v>
      </c>
      <c r="M380" t="s">
        <v>76</v>
      </c>
      <c r="N380" t="s">
        <v>602</v>
      </c>
      <c r="O380" t="s">
        <v>95</v>
      </c>
      <c r="P380" t="str">
        <f>"4170052824                    "</f>
        <v xml:space="preserve">4170052824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66.25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21</v>
      </c>
      <c r="BJ380">
        <v>47.5</v>
      </c>
      <c r="BK380">
        <v>48</v>
      </c>
      <c r="BL380">
        <v>214.6</v>
      </c>
      <c r="BM380">
        <v>32.19</v>
      </c>
      <c r="BN380">
        <v>246.79</v>
      </c>
      <c r="BO380">
        <v>246.79</v>
      </c>
      <c r="BQ380" t="s">
        <v>603</v>
      </c>
      <c r="BR380" t="s">
        <v>84</v>
      </c>
      <c r="BS380" s="3">
        <v>45875</v>
      </c>
      <c r="BT380" s="4">
        <v>0.43194444444444446</v>
      </c>
      <c r="BU380" t="s">
        <v>1034</v>
      </c>
      <c r="BV380" t="s">
        <v>86</v>
      </c>
      <c r="BY380">
        <v>237360</v>
      </c>
      <c r="CA380" t="s">
        <v>1035</v>
      </c>
      <c r="CC380" t="s">
        <v>76</v>
      </c>
      <c r="CD380">
        <v>1665</v>
      </c>
      <c r="CE380" t="s">
        <v>147</v>
      </c>
      <c r="CF380" s="3">
        <v>45876</v>
      </c>
      <c r="CI380">
        <v>1</v>
      </c>
      <c r="CJ380">
        <v>1</v>
      </c>
      <c r="CK380">
        <v>42</v>
      </c>
      <c r="CL380" t="s">
        <v>90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"080067026850"</f>
        <v>080067026850</v>
      </c>
      <c r="F381" s="3">
        <v>45874</v>
      </c>
      <c r="G381">
        <v>202605</v>
      </c>
      <c r="H381" t="s">
        <v>75</v>
      </c>
      <c r="I381" t="s">
        <v>76</v>
      </c>
      <c r="J381" t="s">
        <v>77</v>
      </c>
      <c r="K381" t="s">
        <v>78</v>
      </c>
      <c r="L381" t="s">
        <v>278</v>
      </c>
      <c r="M381" t="s">
        <v>279</v>
      </c>
      <c r="N381" t="s">
        <v>1036</v>
      </c>
      <c r="O381" t="s">
        <v>82</v>
      </c>
      <c r="P381" t="str">
        <f>"4170052925                    "</f>
        <v xml:space="preserve">4170052925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22.6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1</v>
      </c>
      <c r="BJ381">
        <v>0.2</v>
      </c>
      <c r="BK381">
        <v>1</v>
      </c>
      <c r="BL381">
        <v>71.2</v>
      </c>
      <c r="BM381">
        <v>10.68</v>
      </c>
      <c r="BN381">
        <v>81.88</v>
      </c>
      <c r="BO381">
        <v>81.88</v>
      </c>
      <c r="BQ381" t="s">
        <v>1037</v>
      </c>
      <c r="BR381" t="s">
        <v>84</v>
      </c>
      <c r="BS381" s="3">
        <v>45875</v>
      </c>
      <c r="BT381" s="4">
        <v>0.47916666666666669</v>
      </c>
      <c r="BU381" t="s">
        <v>1038</v>
      </c>
      <c r="BV381" t="s">
        <v>90</v>
      </c>
      <c r="BW381" t="s">
        <v>380</v>
      </c>
      <c r="BX381" t="s">
        <v>644</v>
      </c>
      <c r="BY381">
        <v>1200</v>
      </c>
      <c r="CA381" t="s">
        <v>1039</v>
      </c>
      <c r="CC381" t="s">
        <v>279</v>
      </c>
      <c r="CD381" s="5" t="s">
        <v>533</v>
      </c>
      <c r="CE381" t="s">
        <v>109</v>
      </c>
      <c r="CF381" s="3">
        <v>45875</v>
      </c>
      <c r="CI381">
        <v>1</v>
      </c>
      <c r="CJ381">
        <v>1</v>
      </c>
      <c r="CK381">
        <v>21</v>
      </c>
      <c r="CL381" t="s">
        <v>90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"080067026890"</f>
        <v>080067026890</v>
      </c>
      <c r="F382" s="3">
        <v>45874</v>
      </c>
      <c r="G382">
        <v>202605</v>
      </c>
      <c r="H382" t="s">
        <v>75</v>
      </c>
      <c r="I382" t="s">
        <v>76</v>
      </c>
      <c r="J382" t="s">
        <v>77</v>
      </c>
      <c r="K382" t="s">
        <v>78</v>
      </c>
      <c r="L382" t="s">
        <v>446</v>
      </c>
      <c r="M382" t="s">
        <v>447</v>
      </c>
      <c r="N382" t="s">
        <v>448</v>
      </c>
      <c r="O382" t="s">
        <v>82</v>
      </c>
      <c r="P382" t="str">
        <f>"4170052872                    "</f>
        <v xml:space="preserve">4170052872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31.78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2</v>
      </c>
      <c r="BJ382">
        <v>1.7</v>
      </c>
      <c r="BK382">
        <v>2</v>
      </c>
      <c r="BL382">
        <v>100.13</v>
      </c>
      <c r="BM382">
        <v>15.02</v>
      </c>
      <c r="BN382">
        <v>115.15</v>
      </c>
      <c r="BO382">
        <v>115.15</v>
      </c>
      <c r="BQ382" t="s">
        <v>449</v>
      </c>
      <c r="BR382" t="s">
        <v>84</v>
      </c>
      <c r="BS382" s="3">
        <v>45875</v>
      </c>
      <c r="BT382" s="4">
        <v>0.4152777777777778</v>
      </c>
      <c r="BU382" t="s">
        <v>1040</v>
      </c>
      <c r="BV382" t="s">
        <v>86</v>
      </c>
      <c r="BY382">
        <v>8512</v>
      </c>
      <c r="CA382" t="s">
        <v>451</v>
      </c>
      <c r="CC382" t="s">
        <v>447</v>
      </c>
      <c r="CD382">
        <v>2210</v>
      </c>
      <c r="CE382" t="s">
        <v>147</v>
      </c>
      <c r="CF382" s="3">
        <v>45875</v>
      </c>
      <c r="CI382">
        <v>1</v>
      </c>
      <c r="CJ382">
        <v>1</v>
      </c>
      <c r="CK382">
        <v>24</v>
      </c>
      <c r="CL382" t="s">
        <v>90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"080067026905"</f>
        <v>080067026905</v>
      </c>
      <c r="F383" s="3">
        <v>45874</v>
      </c>
      <c r="G383">
        <v>202605</v>
      </c>
      <c r="H383" t="s">
        <v>75</v>
      </c>
      <c r="I383" t="s">
        <v>76</v>
      </c>
      <c r="J383" t="s">
        <v>77</v>
      </c>
      <c r="K383" t="s">
        <v>78</v>
      </c>
      <c r="L383" t="s">
        <v>278</v>
      </c>
      <c r="M383" t="s">
        <v>279</v>
      </c>
      <c r="N383" t="s">
        <v>749</v>
      </c>
      <c r="O383" t="s">
        <v>82</v>
      </c>
      <c r="P383" t="str">
        <f>"4170052870                    "</f>
        <v xml:space="preserve">4170052870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22.6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1</v>
      </c>
      <c r="BJ383">
        <v>0.2</v>
      </c>
      <c r="BK383">
        <v>1</v>
      </c>
      <c r="BL383">
        <v>71.2</v>
      </c>
      <c r="BM383">
        <v>10.68</v>
      </c>
      <c r="BN383">
        <v>81.88</v>
      </c>
      <c r="BO383">
        <v>81.88</v>
      </c>
      <c r="BQ383" t="s">
        <v>750</v>
      </c>
      <c r="BR383" t="s">
        <v>84</v>
      </c>
      <c r="BS383" s="3">
        <v>45875</v>
      </c>
      <c r="BT383" s="4">
        <v>0.4152777777777778</v>
      </c>
      <c r="BU383" t="s">
        <v>1041</v>
      </c>
      <c r="BV383" t="s">
        <v>86</v>
      </c>
      <c r="BY383">
        <v>1200</v>
      </c>
      <c r="CA383" t="s">
        <v>283</v>
      </c>
      <c r="CC383" t="s">
        <v>279</v>
      </c>
      <c r="CD383" s="5" t="s">
        <v>1042</v>
      </c>
      <c r="CE383" t="s">
        <v>109</v>
      </c>
      <c r="CF383" s="3">
        <v>45875</v>
      </c>
      <c r="CI383">
        <v>1</v>
      </c>
      <c r="CJ383">
        <v>1</v>
      </c>
      <c r="CK383">
        <v>21</v>
      </c>
      <c r="CL383" t="s">
        <v>90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"080067026925"</f>
        <v>080067026925</v>
      </c>
      <c r="F384" s="3">
        <v>45874</v>
      </c>
      <c r="G384">
        <v>202605</v>
      </c>
      <c r="H384" t="s">
        <v>75</v>
      </c>
      <c r="I384" t="s">
        <v>76</v>
      </c>
      <c r="J384" t="s">
        <v>77</v>
      </c>
      <c r="K384" t="s">
        <v>78</v>
      </c>
      <c r="L384" t="s">
        <v>446</v>
      </c>
      <c r="M384" t="s">
        <v>447</v>
      </c>
      <c r="N384" t="s">
        <v>448</v>
      </c>
      <c r="O384" t="s">
        <v>82</v>
      </c>
      <c r="P384" t="str">
        <f>"4170052871                    "</f>
        <v xml:space="preserve">4170052871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47.26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3</v>
      </c>
      <c r="BJ384">
        <v>1.7</v>
      </c>
      <c r="BK384">
        <v>3</v>
      </c>
      <c r="BL384">
        <v>148.88999999999999</v>
      </c>
      <c r="BM384">
        <v>22.33</v>
      </c>
      <c r="BN384">
        <v>171.22</v>
      </c>
      <c r="BO384">
        <v>171.22</v>
      </c>
      <c r="BQ384" t="s">
        <v>449</v>
      </c>
      <c r="BR384" t="s">
        <v>84</v>
      </c>
      <c r="BS384" s="3">
        <v>45875</v>
      </c>
      <c r="BT384" s="4">
        <v>0.4152777777777778</v>
      </c>
      <c r="BU384" t="s">
        <v>1040</v>
      </c>
      <c r="BV384" t="s">
        <v>86</v>
      </c>
      <c r="BY384">
        <v>8512</v>
      </c>
      <c r="CA384" t="s">
        <v>451</v>
      </c>
      <c r="CC384" t="s">
        <v>447</v>
      </c>
      <c r="CD384">
        <v>2210</v>
      </c>
      <c r="CE384" t="s">
        <v>147</v>
      </c>
      <c r="CF384" s="3">
        <v>45875</v>
      </c>
      <c r="CI384">
        <v>1</v>
      </c>
      <c r="CJ384">
        <v>1</v>
      </c>
      <c r="CK384">
        <v>24</v>
      </c>
      <c r="CL384" t="s">
        <v>90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"080067026932"</f>
        <v>080067026932</v>
      </c>
      <c r="F385" s="3">
        <v>45874</v>
      </c>
      <c r="G385">
        <v>202605</v>
      </c>
      <c r="H385" t="s">
        <v>75</v>
      </c>
      <c r="I385" t="s">
        <v>76</v>
      </c>
      <c r="J385" t="s">
        <v>77</v>
      </c>
      <c r="K385" t="s">
        <v>78</v>
      </c>
      <c r="L385" t="s">
        <v>278</v>
      </c>
      <c r="M385" t="s">
        <v>279</v>
      </c>
      <c r="N385" t="s">
        <v>735</v>
      </c>
      <c r="O385" t="s">
        <v>82</v>
      </c>
      <c r="P385" t="str">
        <f>"4170052858                    "</f>
        <v xml:space="preserve">4170052858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22.6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1</v>
      </c>
      <c r="BJ385">
        <v>0.2</v>
      </c>
      <c r="BK385">
        <v>1</v>
      </c>
      <c r="BL385">
        <v>71.2</v>
      </c>
      <c r="BM385">
        <v>10.68</v>
      </c>
      <c r="BN385">
        <v>81.88</v>
      </c>
      <c r="BO385">
        <v>81.88</v>
      </c>
      <c r="BQ385" t="s">
        <v>736</v>
      </c>
      <c r="BR385" t="s">
        <v>84</v>
      </c>
      <c r="BS385" s="3">
        <v>45875</v>
      </c>
      <c r="BT385" s="4">
        <v>0.6</v>
      </c>
      <c r="BU385" t="s">
        <v>737</v>
      </c>
      <c r="BV385" t="s">
        <v>90</v>
      </c>
      <c r="BW385" t="s">
        <v>380</v>
      </c>
      <c r="BX385" t="s">
        <v>1043</v>
      </c>
      <c r="BY385">
        <v>1200</v>
      </c>
      <c r="CA385" t="s">
        <v>532</v>
      </c>
      <c r="CC385" t="s">
        <v>279</v>
      </c>
      <c r="CD385" s="5" t="s">
        <v>533</v>
      </c>
      <c r="CE385" t="s">
        <v>109</v>
      </c>
      <c r="CF385" s="3">
        <v>45875</v>
      </c>
      <c r="CI385">
        <v>1</v>
      </c>
      <c r="CJ385">
        <v>1</v>
      </c>
      <c r="CK385">
        <v>21</v>
      </c>
      <c r="CL385" t="s">
        <v>90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"080067026958"</f>
        <v>080067026958</v>
      </c>
      <c r="F386" s="3">
        <v>45874</v>
      </c>
      <c r="G386">
        <v>202605</v>
      </c>
      <c r="H386" t="s">
        <v>75</v>
      </c>
      <c r="I386" t="s">
        <v>76</v>
      </c>
      <c r="J386" t="s">
        <v>77</v>
      </c>
      <c r="K386" t="s">
        <v>78</v>
      </c>
      <c r="L386" t="s">
        <v>319</v>
      </c>
      <c r="M386" t="s">
        <v>320</v>
      </c>
      <c r="N386" t="s">
        <v>321</v>
      </c>
      <c r="O386" t="s">
        <v>82</v>
      </c>
      <c r="P386" t="str">
        <f>"4170052893                    "</f>
        <v xml:space="preserve">4170052893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43.78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2</v>
      </c>
      <c r="BJ386">
        <v>0.6</v>
      </c>
      <c r="BK386">
        <v>2</v>
      </c>
      <c r="BL386">
        <v>137.94</v>
      </c>
      <c r="BM386">
        <v>20.69</v>
      </c>
      <c r="BN386">
        <v>158.63</v>
      </c>
      <c r="BO386">
        <v>158.63</v>
      </c>
      <c r="BQ386" t="s">
        <v>322</v>
      </c>
      <c r="BR386" t="s">
        <v>84</v>
      </c>
      <c r="BS386" s="3">
        <v>45875</v>
      </c>
      <c r="BT386" s="4">
        <v>0.61111111111111116</v>
      </c>
      <c r="BU386" t="s">
        <v>1044</v>
      </c>
      <c r="BV386" t="s">
        <v>90</v>
      </c>
      <c r="BW386" t="s">
        <v>1045</v>
      </c>
      <c r="BX386" t="s">
        <v>1046</v>
      </c>
      <c r="BY386">
        <v>3192</v>
      </c>
      <c r="CA386" t="s">
        <v>324</v>
      </c>
      <c r="CC386" t="s">
        <v>320</v>
      </c>
      <c r="CD386">
        <v>2531</v>
      </c>
      <c r="CE386" t="s">
        <v>147</v>
      </c>
      <c r="CF386" s="3">
        <v>45876</v>
      </c>
      <c r="CI386">
        <v>1</v>
      </c>
      <c r="CJ386">
        <v>1</v>
      </c>
      <c r="CK386">
        <v>23</v>
      </c>
      <c r="CL386" t="s">
        <v>90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"080067026970"</f>
        <v>080067026970</v>
      </c>
      <c r="F387" s="3">
        <v>45874</v>
      </c>
      <c r="G387">
        <v>202605</v>
      </c>
      <c r="H387" t="s">
        <v>75</v>
      </c>
      <c r="I387" t="s">
        <v>76</v>
      </c>
      <c r="J387" t="s">
        <v>77</v>
      </c>
      <c r="K387" t="s">
        <v>78</v>
      </c>
      <c r="L387" t="s">
        <v>385</v>
      </c>
      <c r="M387" t="s">
        <v>386</v>
      </c>
      <c r="N387" t="s">
        <v>1047</v>
      </c>
      <c r="O387" t="s">
        <v>82</v>
      </c>
      <c r="P387" t="str">
        <f>"4170052815                    "</f>
        <v xml:space="preserve">4170052815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17.649999999999999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1</v>
      </c>
      <c r="BJ387">
        <v>0.2</v>
      </c>
      <c r="BK387">
        <v>1</v>
      </c>
      <c r="BL387">
        <v>55.61</v>
      </c>
      <c r="BM387">
        <v>8.34</v>
      </c>
      <c r="BN387">
        <v>63.95</v>
      </c>
      <c r="BO387">
        <v>63.95</v>
      </c>
      <c r="BQ387" t="s">
        <v>1048</v>
      </c>
      <c r="BR387" t="s">
        <v>84</v>
      </c>
      <c r="BS387" s="3">
        <v>45875</v>
      </c>
      <c r="BT387" s="4">
        <v>0.40277777777777779</v>
      </c>
      <c r="BU387" t="s">
        <v>1049</v>
      </c>
      <c r="BV387" t="s">
        <v>86</v>
      </c>
      <c r="BY387">
        <v>1200</v>
      </c>
      <c r="BZ387" t="s">
        <v>330</v>
      </c>
      <c r="CA387" t="s">
        <v>851</v>
      </c>
      <c r="CC387" t="s">
        <v>386</v>
      </c>
      <c r="CD387">
        <v>1559</v>
      </c>
      <c r="CE387" t="s">
        <v>597</v>
      </c>
      <c r="CF387" s="3">
        <v>45875</v>
      </c>
      <c r="CI387">
        <v>1</v>
      </c>
      <c r="CJ387">
        <v>1</v>
      </c>
      <c r="CK387">
        <v>22</v>
      </c>
      <c r="CL387" t="s">
        <v>90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"080067026998"</f>
        <v>080067026998</v>
      </c>
      <c r="F388" s="3">
        <v>45874</v>
      </c>
      <c r="G388">
        <v>202605</v>
      </c>
      <c r="H388" t="s">
        <v>75</v>
      </c>
      <c r="I388" t="s">
        <v>76</v>
      </c>
      <c r="J388" t="s">
        <v>77</v>
      </c>
      <c r="K388" t="s">
        <v>78</v>
      </c>
      <c r="L388" t="s">
        <v>241</v>
      </c>
      <c r="M388" t="s">
        <v>242</v>
      </c>
      <c r="N388" t="s">
        <v>620</v>
      </c>
      <c r="O388" t="s">
        <v>113</v>
      </c>
      <c r="P388" t="str">
        <f>"4170052863                    "</f>
        <v xml:space="preserve">4170052863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17.66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4</v>
      </c>
      <c r="BJ388">
        <v>1.7</v>
      </c>
      <c r="BK388">
        <v>4</v>
      </c>
      <c r="BL388">
        <v>55.63</v>
      </c>
      <c r="BM388">
        <v>8.34</v>
      </c>
      <c r="BN388">
        <v>63.97</v>
      </c>
      <c r="BO388">
        <v>63.97</v>
      </c>
      <c r="BQ388" t="s">
        <v>621</v>
      </c>
      <c r="BR388" t="s">
        <v>84</v>
      </c>
      <c r="BS388" s="3">
        <v>45875</v>
      </c>
      <c r="BT388" s="4">
        <v>0.41666666666666669</v>
      </c>
      <c r="BU388" t="s">
        <v>1050</v>
      </c>
      <c r="BV388" t="s">
        <v>86</v>
      </c>
      <c r="BY388">
        <v>8550</v>
      </c>
      <c r="BZ388" t="s">
        <v>100</v>
      </c>
      <c r="CA388" t="s">
        <v>623</v>
      </c>
      <c r="CC388" t="s">
        <v>242</v>
      </c>
      <c r="CD388">
        <v>1459</v>
      </c>
      <c r="CE388" t="s">
        <v>89</v>
      </c>
      <c r="CF388" s="3">
        <v>45875</v>
      </c>
      <c r="CI388">
        <v>1</v>
      </c>
      <c r="CJ388">
        <v>1</v>
      </c>
      <c r="CK388">
        <v>32</v>
      </c>
      <c r="CL388" t="s">
        <v>90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"080067027011"</f>
        <v>080067027011</v>
      </c>
      <c r="F389" s="3">
        <v>45874</v>
      </c>
      <c r="G389">
        <v>202605</v>
      </c>
      <c r="H389" t="s">
        <v>75</v>
      </c>
      <c r="I389" t="s">
        <v>76</v>
      </c>
      <c r="J389" t="s">
        <v>77</v>
      </c>
      <c r="K389" t="s">
        <v>78</v>
      </c>
      <c r="L389" t="s">
        <v>123</v>
      </c>
      <c r="M389" t="s">
        <v>124</v>
      </c>
      <c r="N389" t="s">
        <v>1051</v>
      </c>
      <c r="O389" t="s">
        <v>82</v>
      </c>
      <c r="P389" t="str">
        <f>"4170052879                    "</f>
        <v xml:space="preserve">4170052879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22.6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1</v>
      </c>
      <c r="BJ389">
        <v>0.2</v>
      </c>
      <c r="BK389">
        <v>1</v>
      </c>
      <c r="BL389">
        <v>71.2</v>
      </c>
      <c r="BM389">
        <v>10.68</v>
      </c>
      <c r="BN389">
        <v>81.88</v>
      </c>
      <c r="BO389">
        <v>81.88</v>
      </c>
      <c r="BQ389" t="s">
        <v>1052</v>
      </c>
      <c r="BR389" t="s">
        <v>84</v>
      </c>
      <c r="BS389" s="3">
        <v>45875</v>
      </c>
      <c r="BT389" s="4">
        <v>0.40694444444444444</v>
      </c>
      <c r="BU389" t="s">
        <v>1053</v>
      </c>
      <c r="BV389" t="s">
        <v>86</v>
      </c>
      <c r="BY389">
        <v>1200</v>
      </c>
      <c r="CA389" t="s">
        <v>1054</v>
      </c>
      <c r="CC389" t="s">
        <v>124</v>
      </c>
      <c r="CD389">
        <v>8001</v>
      </c>
      <c r="CE389" t="s">
        <v>109</v>
      </c>
      <c r="CF389" s="3">
        <v>45876</v>
      </c>
      <c r="CI389">
        <v>1</v>
      </c>
      <c r="CJ389">
        <v>1</v>
      </c>
      <c r="CK389">
        <v>21</v>
      </c>
      <c r="CL389" t="s">
        <v>90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"080067027041"</f>
        <v>080067027041</v>
      </c>
      <c r="F390" s="3">
        <v>45874</v>
      </c>
      <c r="G390">
        <v>202605</v>
      </c>
      <c r="H390" t="s">
        <v>75</v>
      </c>
      <c r="I390" t="s">
        <v>76</v>
      </c>
      <c r="J390" t="s">
        <v>77</v>
      </c>
      <c r="K390" t="s">
        <v>78</v>
      </c>
      <c r="L390" t="s">
        <v>75</v>
      </c>
      <c r="M390" t="s">
        <v>76</v>
      </c>
      <c r="N390" t="s">
        <v>1020</v>
      </c>
      <c r="O390" t="s">
        <v>82</v>
      </c>
      <c r="P390" t="str">
        <f>"4170052831                    "</f>
        <v xml:space="preserve">4170052831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17.649999999999999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</v>
      </c>
      <c r="BJ390">
        <v>0.2</v>
      </c>
      <c r="BK390">
        <v>1</v>
      </c>
      <c r="BL390">
        <v>55.61</v>
      </c>
      <c r="BM390">
        <v>8.34</v>
      </c>
      <c r="BN390">
        <v>63.95</v>
      </c>
      <c r="BO390">
        <v>63.95</v>
      </c>
      <c r="BQ390" t="s">
        <v>1021</v>
      </c>
      <c r="BR390" t="s">
        <v>84</v>
      </c>
      <c r="BS390" s="3">
        <v>45875</v>
      </c>
      <c r="BT390" s="4">
        <v>0.4375</v>
      </c>
      <c r="BU390" t="s">
        <v>1022</v>
      </c>
      <c r="BV390" t="s">
        <v>86</v>
      </c>
      <c r="BY390">
        <v>1200</v>
      </c>
      <c r="CA390" t="s">
        <v>146</v>
      </c>
      <c r="CC390" t="s">
        <v>76</v>
      </c>
      <c r="CD390">
        <v>1645</v>
      </c>
      <c r="CE390" t="s">
        <v>109</v>
      </c>
      <c r="CF390" s="3">
        <v>45876</v>
      </c>
      <c r="CI390">
        <v>1</v>
      </c>
      <c r="CJ390">
        <v>1</v>
      </c>
      <c r="CK390">
        <v>22</v>
      </c>
      <c r="CL390" t="s">
        <v>90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"080067027057"</f>
        <v>080067027057</v>
      </c>
      <c r="F391" s="3">
        <v>45874</v>
      </c>
      <c r="G391">
        <v>202605</v>
      </c>
      <c r="H391" t="s">
        <v>75</v>
      </c>
      <c r="I391" t="s">
        <v>76</v>
      </c>
      <c r="J391" t="s">
        <v>77</v>
      </c>
      <c r="K391" t="s">
        <v>78</v>
      </c>
      <c r="L391" t="s">
        <v>325</v>
      </c>
      <c r="M391" t="s">
        <v>326</v>
      </c>
      <c r="N391" t="s">
        <v>1055</v>
      </c>
      <c r="O391" t="s">
        <v>82</v>
      </c>
      <c r="P391" t="str">
        <f>"4170052884                    "</f>
        <v xml:space="preserve">4170052884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17.649999999999999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1.4</v>
      </c>
      <c r="BK391">
        <v>2</v>
      </c>
      <c r="BL391">
        <v>55.61</v>
      </c>
      <c r="BM391">
        <v>8.34</v>
      </c>
      <c r="BN391">
        <v>63.95</v>
      </c>
      <c r="BO391">
        <v>63.95</v>
      </c>
      <c r="BQ391" t="s">
        <v>1056</v>
      </c>
      <c r="BR391" t="s">
        <v>84</v>
      </c>
      <c r="BS391" s="3">
        <v>45875</v>
      </c>
      <c r="BT391" s="4">
        <v>0.36736111111111114</v>
      </c>
      <c r="BU391" t="s">
        <v>1057</v>
      </c>
      <c r="BV391" t="s">
        <v>86</v>
      </c>
      <c r="BY391">
        <v>7000</v>
      </c>
      <c r="CA391" t="s">
        <v>461</v>
      </c>
      <c r="CC391" t="s">
        <v>326</v>
      </c>
      <c r="CD391">
        <v>2094</v>
      </c>
      <c r="CE391" t="s">
        <v>147</v>
      </c>
      <c r="CF391" s="3">
        <v>45876</v>
      </c>
      <c r="CI391">
        <v>1</v>
      </c>
      <c r="CJ391">
        <v>1</v>
      </c>
      <c r="CK391">
        <v>22</v>
      </c>
      <c r="CL391" t="s">
        <v>90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"080067027079"</f>
        <v>080067027079</v>
      </c>
      <c r="F392" s="3">
        <v>45874</v>
      </c>
      <c r="G392">
        <v>202605</v>
      </c>
      <c r="H392" t="s">
        <v>75</v>
      </c>
      <c r="I392" t="s">
        <v>76</v>
      </c>
      <c r="J392" t="s">
        <v>77</v>
      </c>
      <c r="K392" t="s">
        <v>78</v>
      </c>
      <c r="L392" t="s">
        <v>75</v>
      </c>
      <c r="M392" t="s">
        <v>76</v>
      </c>
      <c r="N392" t="s">
        <v>1058</v>
      </c>
      <c r="O392" t="s">
        <v>82</v>
      </c>
      <c r="P392" t="str">
        <f>"4170052821                    "</f>
        <v xml:space="preserve">4170052821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17.649999999999999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0.2</v>
      </c>
      <c r="BK392">
        <v>1</v>
      </c>
      <c r="BL392">
        <v>55.61</v>
      </c>
      <c r="BM392">
        <v>8.34</v>
      </c>
      <c r="BN392">
        <v>63.95</v>
      </c>
      <c r="BO392">
        <v>63.95</v>
      </c>
      <c r="BQ392" t="s">
        <v>1059</v>
      </c>
      <c r="BR392" t="s">
        <v>84</v>
      </c>
      <c r="BS392" s="3">
        <v>45875</v>
      </c>
      <c r="BT392" s="4">
        <v>0.40486111111111112</v>
      </c>
      <c r="BU392" t="s">
        <v>1060</v>
      </c>
      <c r="BV392" t="s">
        <v>86</v>
      </c>
      <c r="BY392">
        <v>1200</v>
      </c>
      <c r="CA392" t="s">
        <v>1026</v>
      </c>
      <c r="CC392" t="s">
        <v>76</v>
      </c>
      <c r="CD392">
        <v>1614</v>
      </c>
      <c r="CE392" t="s">
        <v>109</v>
      </c>
      <c r="CF392" s="3">
        <v>45875</v>
      </c>
      <c r="CI392">
        <v>1</v>
      </c>
      <c r="CJ392">
        <v>1</v>
      </c>
      <c r="CK392">
        <v>22</v>
      </c>
      <c r="CL392" t="s">
        <v>90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"080067027099"</f>
        <v>080067027099</v>
      </c>
      <c r="F393" s="3">
        <v>45874</v>
      </c>
      <c r="G393">
        <v>202605</v>
      </c>
      <c r="H393" t="s">
        <v>75</v>
      </c>
      <c r="I393" t="s">
        <v>76</v>
      </c>
      <c r="J393" t="s">
        <v>77</v>
      </c>
      <c r="K393" t="s">
        <v>78</v>
      </c>
      <c r="L393" t="s">
        <v>79</v>
      </c>
      <c r="M393" t="s">
        <v>80</v>
      </c>
      <c r="N393" t="s">
        <v>1061</v>
      </c>
      <c r="O393" t="s">
        <v>113</v>
      </c>
      <c r="P393" t="str">
        <f>"4170052803                    "</f>
        <v xml:space="preserve">4170052803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17.66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4</v>
      </c>
      <c r="BJ393">
        <v>6.7</v>
      </c>
      <c r="BK393">
        <v>7</v>
      </c>
      <c r="BL393">
        <v>55.63</v>
      </c>
      <c r="BM393">
        <v>8.34</v>
      </c>
      <c r="BN393">
        <v>63.97</v>
      </c>
      <c r="BO393">
        <v>63.97</v>
      </c>
      <c r="BQ393" t="s">
        <v>1062</v>
      </c>
      <c r="BR393" t="s">
        <v>84</v>
      </c>
      <c r="BS393" s="3">
        <v>45875</v>
      </c>
      <c r="BT393" s="4">
        <v>0.42291666666666666</v>
      </c>
      <c r="BU393" t="s">
        <v>1063</v>
      </c>
      <c r="BV393" t="s">
        <v>86</v>
      </c>
      <c r="BY393">
        <v>33660</v>
      </c>
      <c r="CA393" t="s">
        <v>1026</v>
      </c>
      <c r="CC393" t="s">
        <v>80</v>
      </c>
      <c r="CD393">
        <v>1406</v>
      </c>
      <c r="CE393" t="s">
        <v>117</v>
      </c>
      <c r="CF393" s="3">
        <v>45875</v>
      </c>
      <c r="CI393">
        <v>1</v>
      </c>
      <c r="CJ393">
        <v>1</v>
      </c>
      <c r="CK393">
        <v>32</v>
      </c>
      <c r="CL393" t="s">
        <v>90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"080067027124"</f>
        <v>080067027124</v>
      </c>
      <c r="F394" s="3">
        <v>45874</v>
      </c>
      <c r="G394">
        <v>202605</v>
      </c>
      <c r="H394" t="s">
        <v>75</v>
      </c>
      <c r="I394" t="s">
        <v>76</v>
      </c>
      <c r="J394" t="s">
        <v>77</v>
      </c>
      <c r="K394" t="s">
        <v>78</v>
      </c>
      <c r="L394" t="s">
        <v>162</v>
      </c>
      <c r="M394" t="s">
        <v>163</v>
      </c>
      <c r="N394" t="s">
        <v>1064</v>
      </c>
      <c r="O394" t="s">
        <v>82</v>
      </c>
      <c r="P394" t="str">
        <f>"4170052877                    "</f>
        <v xml:space="preserve">4170052877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22.6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</v>
      </c>
      <c r="BJ394">
        <v>0.2</v>
      </c>
      <c r="BK394">
        <v>1</v>
      </c>
      <c r="BL394">
        <v>71.2</v>
      </c>
      <c r="BM394">
        <v>10.68</v>
      </c>
      <c r="BN394">
        <v>81.88</v>
      </c>
      <c r="BO394">
        <v>81.88</v>
      </c>
      <c r="BQ394" t="s">
        <v>1065</v>
      </c>
      <c r="BR394" t="s">
        <v>84</v>
      </c>
      <c r="BS394" s="3">
        <v>45875</v>
      </c>
      <c r="BT394" s="4">
        <v>0.41666666666666669</v>
      </c>
      <c r="BU394" t="s">
        <v>1066</v>
      </c>
      <c r="BV394" t="s">
        <v>86</v>
      </c>
      <c r="BY394">
        <v>1200</v>
      </c>
      <c r="CA394" t="s">
        <v>919</v>
      </c>
      <c r="CC394" t="s">
        <v>163</v>
      </c>
      <c r="CD394">
        <v>3200</v>
      </c>
      <c r="CE394" t="s">
        <v>109</v>
      </c>
      <c r="CF394" s="3">
        <v>45876</v>
      </c>
      <c r="CI394">
        <v>1</v>
      </c>
      <c r="CJ394">
        <v>1</v>
      </c>
      <c r="CK394">
        <v>21</v>
      </c>
      <c r="CL394" t="s">
        <v>90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"080067027163"</f>
        <v>080067027163</v>
      </c>
      <c r="F395" s="3">
        <v>45874</v>
      </c>
      <c r="G395">
        <v>202605</v>
      </c>
      <c r="H395" t="s">
        <v>75</v>
      </c>
      <c r="I395" t="s">
        <v>76</v>
      </c>
      <c r="J395" t="s">
        <v>77</v>
      </c>
      <c r="K395" t="s">
        <v>78</v>
      </c>
      <c r="L395" t="s">
        <v>325</v>
      </c>
      <c r="M395" t="s">
        <v>326</v>
      </c>
      <c r="N395" t="s">
        <v>852</v>
      </c>
      <c r="O395" t="s">
        <v>82</v>
      </c>
      <c r="P395" t="str">
        <f>"4170052847                    "</f>
        <v xml:space="preserve">4170052847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17.649999999999999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0.2</v>
      </c>
      <c r="BK395">
        <v>1</v>
      </c>
      <c r="BL395">
        <v>55.61</v>
      </c>
      <c r="BM395">
        <v>8.34</v>
      </c>
      <c r="BN395">
        <v>63.95</v>
      </c>
      <c r="BO395">
        <v>63.95</v>
      </c>
      <c r="BQ395" t="s">
        <v>853</v>
      </c>
      <c r="BR395" t="s">
        <v>84</v>
      </c>
      <c r="BS395" s="3">
        <v>45875</v>
      </c>
      <c r="BT395" s="4">
        <v>0.43055555555555558</v>
      </c>
      <c r="BU395" t="s">
        <v>854</v>
      </c>
      <c r="BV395" t="s">
        <v>86</v>
      </c>
      <c r="BY395">
        <v>1200</v>
      </c>
      <c r="CA395" t="s">
        <v>331</v>
      </c>
      <c r="CC395" t="s">
        <v>326</v>
      </c>
      <c r="CD395">
        <v>2091</v>
      </c>
      <c r="CE395" t="s">
        <v>109</v>
      </c>
      <c r="CF395" s="3">
        <v>45875</v>
      </c>
      <c r="CI395">
        <v>1</v>
      </c>
      <c r="CJ395">
        <v>1</v>
      </c>
      <c r="CK395">
        <v>22</v>
      </c>
      <c r="CL395" t="s">
        <v>90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"080067027194"</f>
        <v>080067027194</v>
      </c>
      <c r="F396" s="3">
        <v>45874</v>
      </c>
      <c r="G396">
        <v>202605</v>
      </c>
      <c r="H396" t="s">
        <v>75</v>
      </c>
      <c r="I396" t="s">
        <v>76</v>
      </c>
      <c r="J396" t="s">
        <v>77</v>
      </c>
      <c r="K396" t="s">
        <v>78</v>
      </c>
      <c r="L396" t="s">
        <v>123</v>
      </c>
      <c r="M396" t="s">
        <v>124</v>
      </c>
      <c r="N396" t="s">
        <v>406</v>
      </c>
      <c r="O396" t="s">
        <v>82</v>
      </c>
      <c r="P396" t="str">
        <f>"4170052843                    "</f>
        <v xml:space="preserve">4170052843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22.6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1</v>
      </c>
      <c r="BJ396">
        <v>0.2</v>
      </c>
      <c r="BK396">
        <v>1</v>
      </c>
      <c r="BL396">
        <v>71.2</v>
      </c>
      <c r="BM396">
        <v>10.68</v>
      </c>
      <c r="BN396">
        <v>81.88</v>
      </c>
      <c r="BO396">
        <v>81.88</v>
      </c>
      <c r="BQ396" t="s">
        <v>407</v>
      </c>
      <c r="BR396" t="s">
        <v>84</v>
      </c>
      <c r="BS396" s="3">
        <v>45875</v>
      </c>
      <c r="BT396" s="4">
        <v>0.38263888888888886</v>
      </c>
      <c r="BU396" t="s">
        <v>408</v>
      </c>
      <c r="BV396" t="s">
        <v>86</v>
      </c>
      <c r="BY396">
        <v>1200</v>
      </c>
      <c r="CA396" t="s">
        <v>192</v>
      </c>
      <c r="CC396" t="s">
        <v>124</v>
      </c>
      <c r="CD396">
        <v>7441</v>
      </c>
      <c r="CE396" t="s">
        <v>109</v>
      </c>
      <c r="CF396" s="3">
        <v>45876</v>
      </c>
      <c r="CI396">
        <v>1</v>
      </c>
      <c r="CJ396">
        <v>1</v>
      </c>
      <c r="CK396">
        <v>21</v>
      </c>
      <c r="CL396" t="s">
        <v>90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"080067027232"</f>
        <v>080067027232</v>
      </c>
      <c r="F397" s="3">
        <v>45874</v>
      </c>
      <c r="G397">
        <v>202605</v>
      </c>
      <c r="H397" t="s">
        <v>75</v>
      </c>
      <c r="I397" t="s">
        <v>76</v>
      </c>
      <c r="J397" t="s">
        <v>77</v>
      </c>
      <c r="K397" t="s">
        <v>78</v>
      </c>
      <c r="L397" t="s">
        <v>79</v>
      </c>
      <c r="M397" t="s">
        <v>80</v>
      </c>
      <c r="N397" t="s">
        <v>1067</v>
      </c>
      <c r="O397" t="s">
        <v>82</v>
      </c>
      <c r="P397" t="str">
        <f>"4170052912                    "</f>
        <v xml:space="preserve">4170052912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17.649999999999999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0.2</v>
      </c>
      <c r="BK397">
        <v>1</v>
      </c>
      <c r="BL397">
        <v>55.61</v>
      </c>
      <c r="BM397">
        <v>8.34</v>
      </c>
      <c r="BN397">
        <v>63.95</v>
      </c>
      <c r="BO397">
        <v>63.95</v>
      </c>
      <c r="BQ397" t="s">
        <v>1068</v>
      </c>
      <c r="BR397" t="s">
        <v>84</v>
      </c>
      <c r="BS397" s="3">
        <v>45875</v>
      </c>
      <c r="BT397" s="4">
        <v>0.3923611111111111</v>
      </c>
      <c r="BU397" t="s">
        <v>379</v>
      </c>
      <c r="BV397" t="s">
        <v>86</v>
      </c>
      <c r="BY397">
        <v>1200</v>
      </c>
      <c r="CA397" t="s">
        <v>1069</v>
      </c>
      <c r="CC397" t="s">
        <v>80</v>
      </c>
      <c r="CD397">
        <v>1428</v>
      </c>
      <c r="CE397" t="s">
        <v>178</v>
      </c>
      <c r="CF397" s="3">
        <v>45876</v>
      </c>
      <c r="CI397">
        <v>1</v>
      </c>
      <c r="CJ397">
        <v>1</v>
      </c>
      <c r="CK397">
        <v>22</v>
      </c>
      <c r="CL397" t="s">
        <v>90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"080067027276"</f>
        <v>080067027276</v>
      </c>
      <c r="F398" s="3">
        <v>45874</v>
      </c>
      <c r="G398">
        <v>202605</v>
      </c>
      <c r="H398" t="s">
        <v>75</v>
      </c>
      <c r="I398" t="s">
        <v>76</v>
      </c>
      <c r="J398" t="s">
        <v>77</v>
      </c>
      <c r="K398" t="s">
        <v>78</v>
      </c>
      <c r="L398" t="s">
        <v>198</v>
      </c>
      <c r="M398" t="s">
        <v>199</v>
      </c>
      <c r="N398" t="s">
        <v>1070</v>
      </c>
      <c r="O398" t="s">
        <v>82</v>
      </c>
      <c r="P398" t="str">
        <f>"4170052987                    "</f>
        <v xml:space="preserve">4170052987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22.6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1</v>
      </c>
      <c r="BJ398">
        <v>0.2</v>
      </c>
      <c r="BK398">
        <v>1</v>
      </c>
      <c r="BL398">
        <v>71.2</v>
      </c>
      <c r="BM398">
        <v>10.68</v>
      </c>
      <c r="BN398">
        <v>81.88</v>
      </c>
      <c r="BO398">
        <v>81.88</v>
      </c>
      <c r="BQ398" t="s">
        <v>1071</v>
      </c>
      <c r="BR398" t="s">
        <v>84</v>
      </c>
      <c r="BS398" s="3">
        <v>45875</v>
      </c>
      <c r="BT398" s="4">
        <v>0.32083333333333336</v>
      </c>
      <c r="BU398" t="s">
        <v>1072</v>
      </c>
      <c r="BV398" t="s">
        <v>86</v>
      </c>
      <c r="BY398">
        <v>1200</v>
      </c>
      <c r="CA398" t="s">
        <v>915</v>
      </c>
      <c r="CC398" t="s">
        <v>199</v>
      </c>
      <c r="CD398">
        <v>6045</v>
      </c>
      <c r="CE398" t="s">
        <v>178</v>
      </c>
      <c r="CF398" s="3">
        <v>45875</v>
      </c>
      <c r="CI398">
        <v>1</v>
      </c>
      <c r="CJ398">
        <v>1</v>
      </c>
      <c r="CK398">
        <v>21</v>
      </c>
      <c r="CL398" t="s">
        <v>90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"080067027321"</f>
        <v>080067027321</v>
      </c>
      <c r="F399" s="3">
        <v>45874</v>
      </c>
      <c r="G399">
        <v>202605</v>
      </c>
      <c r="H399" t="s">
        <v>75</v>
      </c>
      <c r="I399" t="s">
        <v>76</v>
      </c>
      <c r="J399" t="s">
        <v>77</v>
      </c>
      <c r="K399" t="s">
        <v>78</v>
      </c>
      <c r="L399" t="s">
        <v>137</v>
      </c>
      <c r="M399" t="s">
        <v>138</v>
      </c>
      <c r="N399" t="s">
        <v>1073</v>
      </c>
      <c r="O399" t="s">
        <v>82</v>
      </c>
      <c r="P399" t="str">
        <f>"4170052846                    "</f>
        <v xml:space="preserve">4170052846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22.6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</v>
      </c>
      <c r="BJ399">
        <v>0.2</v>
      </c>
      <c r="BK399">
        <v>1</v>
      </c>
      <c r="BL399">
        <v>71.2</v>
      </c>
      <c r="BM399">
        <v>10.68</v>
      </c>
      <c r="BN399">
        <v>81.88</v>
      </c>
      <c r="BO399">
        <v>81.88</v>
      </c>
      <c r="BQ399" t="s">
        <v>1074</v>
      </c>
      <c r="BR399" t="s">
        <v>84</v>
      </c>
      <c r="BS399" s="3">
        <v>45875</v>
      </c>
      <c r="BT399" s="4">
        <v>0.5708333333333333</v>
      </c>
      <c r="BU399" t="s">
        <v>1075</v>
      </c>
      <c r="BV399" t="s">
        <v>90</v>
      </c>
      <c r="BW399" t="s">
        <v>134</v>
      </c>
      <c r="BX399" t="s">
        <v>659</v>
      </c>
      <c r="BY399">
        <v>1200</v>
      </c>
      <c r="CC399" t="s">
        <v>138</v>
      </c>
      <c r="CD399">
        <v>3610</v>
      </c>
      <c r="CE399" t="s">
        <v>109</v>
      </c>
      <c r="CF399" s="3">
        <v>45876</v>
      </c>
      <c r="CI399">
        <v>1</v>
      </c>
      <c r="CJ399">
        <v>1</v>
      </c>
      <c r="CK399">
        <v>21</v>
      </c>
      <c r="CL399" t="s">
        <v>90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"080067027519"</f>
        <v>080067027519</v>
      </c>
      <c r="F400" s="3">
        <v>45874</v>
      </c>
      <c r="G400">
        <v>202605</v>
      </c>
      <c r="H400" t="s">
        <v>75</v>
      </c>
      <c r="I400" t="s">
        <v>76</v>
      </c>
      <c r="J400" t="s">
        <v>77</v>
      </c>
      <c r="K400" t="s">
        <v>78</v>
      </c>
      <c r="L400" t="s">
        <v>1076</v>
      </c>
      <c r="M400" t="s">
        <v>1077</v>
      </c>
      <c r="N400" t="s">
        <v>351</v>
      </c>
      <c r="O400" t="s">
        <v>82</v>
      </c>
      <c r="P400" t="str">
        <f>"4170052869                    "</f>
        <v xml:space="preserve">4170052869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43.78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</v>
      </c>
      <c r="BJ400">
        <v>1.4</v>
      </c>
      <c r="BK400">
        <v>1.5</v>
      </c>
      <c r="BL400">
        <v>137.94</v>
      </c>
      <c r="BM400">
        <v>20.69</v>
      </c>
      <c r="BN400">
        <v>158.63</v>
      </c>
      <c r="BO400">
        <v>158.63</v>
      </c>
      <c r="BQ400" t="s">
        <v>352</v>
      </c>
      <c r="BR400" t="s">
        <v>84</v>
      </c>
      <c r="BS400" s="3">
        <v>45875</v>
      </c>
      <c r="BT400" s="4">
        <v>0.59375</v>
      </c>
      <c r="BU400" t="s">
        <v>1078</v>
      </c>
      <c r="BV400" t="s">
        <v>86</v>
      </c>
      <c r="BY400">
        <v>7000</v>
      </c>
      <c r="CA400" t="s">
        <v>1079</v>
      </c>
      <c r="CC400" t="s">
        <v>1077</v>
      </c>
      <c r="CD400">
        <v>9880</v>
      </c>
      <c r="CE400" t="s">
        <v>147</v>
      </c>
      <c r="CF400" s="3">
        <v>45876</v>
      </c>
      <c r="CI400">
        <v>1</v>
      </c>
      <c r="CJ400">
        <v>1</v>
      </c>
      <c r="CK400">
        <v>23</v>
      </c>
      <c r="CL400" t="s">
        <v>90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"080067027557"</f>
        <v>080067027557</v>
      </c>
      <c r="F401" s="3">
        <v>45874</v>
      </c>
      <c r="G401">
        <v>202605</v>
      </c>
      <c r="H401" t="s">
        <v>75</v>
      </c>
      <c r="I401" t="s">
        <v>76</v>
      </c>
      <c r="J401" t="s">
        <v>77</v>
      </c>
      <c r="K401" t="s">
        <v>78</v>
      </c>
      <c r="L401" t="s">
        <v>103</v>
      </c>
      <c r="M401" t="s">
        <v>104</v>
      </c>
      <c r="N401" t="s">
        <v>105</v>
      </c>
      <c r="O401" t="s">
        <v>82</v>
      </c>
      <c r="P401" t="str">
        <f>"4170052887                    "</f>
        <v xml:space="preserve">4170052887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43.78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1</v>
      </c>
      <c r="BJ401">
        <v>0.2</v>
      </c>
      <c r="BK401">
        <v>1</v>
      </c>
      <c r="BL401">
        <v>137.94</v>
      </c>
      <c r="BM401">
        <v>20.69</v>
      </c>
      <c r="BN401">
        <v>158.63</v>
      </c>
      <c r="BO401">
        <v>158.63</v>
      </c>
      <c r="BQ401" t="s">
        <v>106</v>
      </c>
      <c r="BR401" t="s">
        <v>84</v>
      </c>
      <c r="BS401" s="3">
        <v>45875</v>
      </c>
      <c r="BT401" s="4">
        <v>0.56874999999999998</v>
      </c>
      <c r="BU401" t="s">
        <v>107</v>
      </c>
      <c r="BV401" t="s">
        <v>86</v>
      </c>
      <c r="BY401">
        <v>1200</v>
      </c>
      <c r="CA401" t="s">
        <v>108</v>
      </c>
      <c r="CC401" t="s">
        <v>104</v>
      </c>
      <c r="CD401">
        <v>2380</v>
      </c>
      <c r="CE401" t="s">
        <v>109</v>
      </c>
      <c r="CF401" s="3">
        <v>45876</v>
      </c>
      <c r="CI401">
        <v>1</v>
      </c>
      <c r="CJ401">
        <v>1</v>
      </c>
      <c r="CK401">
        <v>23</v>
      </c>
      <c r="CL401" t="s">
        <v>90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"080067027562"</f>
        <v>080067027562</v>
      </c>
      <c r="F402" s="3">
        <v>45874</v>
      </c>
      <c r="G402">
        <v>202605</v>
      </c>
      <c r="H402" t="s">
        <v>75</v>
      </c>
      <c r="I402" t="s">
        <v>76</v>
      </c>
      <c r="J402" t="s">
        <v>77</v>
      </c>
      <c r="K402" t="s">
        <v>78</v>
      </c>
      <c r="L402" t="s">
        <v>325</v>
      </c>
      <c r="M402" t="s">
        <v>326</v>
      </c>
      <c r="N402" t="s">
        <v>616</v>
      </c>
      <c r="O402" t="s">
        <v>82</v>
      </c>
      <c r="P402" t="str">
        <f>"4170052983                    "</f>
        <v xml:space="preserve">4170052983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17.649999999999999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2</v>
      </c>
      <c r="BJ402">
        <v>1.4</v>
      </c>
      <c r="BK402">
        <v>2</v>
      </c>
      <c r="BL402">
        <v>55.61</v>
      </c>
      <c r="BM402">
        <v>8.34</v>
      </c>
      <c r="BN402">
        <v>63.95</v>
      </c>
      <c r="BO402">
        <v>63.95</v>
      </c>
      <c r="BQ402" t="s">
        <v>617</v>
      </c>
      <c r="BR402" t="s">
        <v>84</v>
      </c>
      <c r="BS402" s="3">
        <v>45875</v>
      </c>
      <c r="BT402" s="4">
        <v>0.4201388888888889</v>
      </c>
      <c r="BU402" t="s">
        <v>1080</v>
      </c>
      <c r="BV402" t="s">
        <v>86</v>
      </c>
      <c r="BY402">
        <v>7000</v>
      </c>
      <c r="CA402" t="s">
        <v>619</v>
      </c>
      <c r="CC402" t="s">
        <v>326</v>
      </c>
      <c r="CD402">
        <v>2169</v>
      </c>
      <c r="CE402" t="s">
        <v>147</v>
      </c>
      <c r="CF402" s="3">
        <v>45876</v>
      </c>
      <c r="CI402">
        <v>1</v>
      </c>
      <c r="CJ402">
        <v>1</v>
      </c>
      <c r="CK402">
        <v>22</v>
      </c>
      <c r="CL402" t="s">
        <v>90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"080067027592"</f>
        <v>080067027592</v>
      </c>
      <c r="F403" s="3">
        <v>45874</v>
      </c>
      <c r="G403">
        <v>202605</v>
      </c>
      <c r="H403" t="s">
        <v>75</v>
      </c>
      <c r="I403" t="s">
        <v>76</v>
      </c>
      <c r="J403" t="s">
        <v>77</v>
      </c>
      <c r="K403" t="s">
        <v>78</v>
      </c>
      <c r="L403" t="s">
        <v>198</v>
      </c>
      <c r="M403" t="s">
        <v>199</v>
      </c>
      <c r="N403" t="s">
        <v>1081</v>
      </c>
      <c r="O403" t="s">
        <v>82</v>
      </c>
      <c r="P403" t="str">
        <f>"4170052932                    "</f>
        <v xml:space="preserve">4170052932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22.6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1</v>
      </c>
      <c r="BJ403">
        <v>0.2</v>
      </c>
      <c r="BK403">
        <v>1</v>
      </c>
      <c r="BL403">
        <v>71.2</v>
      </c>
      <c r="BM403">
        <v>10.68</v>
      </c>
      <c r="BN403">
        <v>81.88</v>
      </c>
      <c r="BO403">
        <v>81.88</v>
      </c>
      <c r="BQ403" t="s">
        <v>1082</v>
      </c>
      <c r="BR403" t="s">
        <v>84</v>
      </c>
      <c r="BS403" s="3">
        <v>45875</v>
      </c>
      <c r="BT403" s="4">
        <v>0.40277777777777779</v>
      </c>
      <c r="BU403" t="s">
        <v>1083</v>
      </c>
      <c r="BV403" t="s">
        <v>86</v>
      </c>
      <c r="BY403">
        <v>1200</v>
      </c>
      <c r="CA403" t="s">
        <v>923</v>
      </c>
      <c r="CC403" t="s">
        <v>199</v>
      </c>
      <c r="CD403">
        <v>6056</v>
      </c>
      <c r="CE403" t="s">
        <v>109</v>
      </c>
      <c r="CF403" s="3">
        <v>45875</v>
      </c>
      <c r="CI403">
        <v>1</v>
      </c>
      <c r="CJ403">
        <v>1</v>
      </c>
      <c r="CK403">
        <v>21</v>
      </c>
      <c r="CL403" t="s">
        <v>90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"080067027600"</f>
        <v>080067027600</v>
      </c>
      <c r="F404" s="3">
        <v>45874</v>
      </c>
      <c r="G404">
        <v>202605</v>
      </c>
      <c r="H404" t="s">
        <v>75</v>
      </c>
      <c r="I404" t="s">
        <v>76</v>
      </c>
      <c r="J404" t="s">
        <v>77</v>
      </c>
      <c r="K404" t="s">
        <v>78</v>
      </c>
      <c r="L404" t="s">
        <v>373</v>
      </c>
      <c r="M404" t="s">
        <v>374</v>
      </c>
      <c r="N404" t="s">
        <v>1084</v>
      </c>
      <c r="O404" t="s">
        <v>82</v>
      </c>
      <c r="P404" t="str">
        <f>"4170052897                    "</f>
        <v xml:space="preserve">4170052897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22.6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</v>
      </c>
      <c r="BJ404">
        <v>0.9</v>
      </c>
      <c r="BK404">
        <v>1</v>
      </c>
      <c r="BL404">
        <v>71.2</v>
      </c>
      <c r="BM404">
        <v>10.68</v>
      </c>
      <c r="BN404">
        <v>81.88</v>
      </c>
      <c r="BO404">
        <v>81.88</v>
      </c>
      <c r="BQ404" t="s">
        <v>1085</v>
      </c>
      <c r="BR404" t="s">
        <v>84</v>
      </c>
      <c r="BS404" s="3">
        <v>45875</v>
      </c>
      <c r="BT404" s="4">
        <v>0.44444444444444442</v>
      </c>
      <c r="BU404" t="s">
        <v>1086</v>
      </c>
      <c r="BV404" t="s">
        <v>90</v>
      </c>
      <c r="BW404" t="s">
        <v>364</v>
      </c>
      <c r="BX404" t="s">
        <v>965</v>
      </c>
      <c r="BY404">
        <v>4275</v>
      </c>
      <c r="CC404" t="s">
        <v>374</v>
      </c>
      <c r="CD404">
        <v>6220</v>
      </c>
      <c r="CE404" t="s">
        <v>147</v>
      </c>
      <c r="CF404" s="3">
        <v>45875</v>
      </c>
      <c r="CI404">
        <v>1</v>
      </c>
      <c r="CJ404">
        <v>1</v>
      </c>
      <c r="CK404">
        <v>21</v>
      </c>
      <c r="CL404" t="s">
        <v>90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"080067027619"</f>
        <v>080067027619</v>
      </c>
      <c r="F405" s="3">
        <v>45874</v>
      </c>
      <c r="G405">
        <v>202605</v>
      </c>
      <c r="H405" t="s">
        <v>75</v>
      </c>
      <c r="I405" t="s">
        <v>76</v>
      </c>
      <c r="J405" t="s">
        <v>77</v>
      </c>
      <c r="K405" t="s">
        <v>78</v>
      </c>
      <c r="L405" t="s">
        <v>118</v>
      </c>
      <c r="M405" t="s">
        <v>118</v>
      </c>
      <c r="N405" t="s">
        <v>119</v>
      </c>
      <c r="O405" t="s">
        <v>82</v>
      </c>
      <c r="P405" t="str">
        <f>"4170052919                    "</f>
        <v xml:space="preserve">4170052919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43.78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0.2</v>
      </c>
      <c r="BK405">
        <v>1</v>
      </c>
      <c r="BL405">
        <v>137.94</v>
      </c>
      <c r="BM405">
        <v>20.69</v>
      </c>
      <c r="BN405">
        <v>158.63</v>
      </c>
      <c r="BO405">
        <v>158.63</v>
      </c>
      <c r="BQ405" t="s">
        <v>120</v>
      </c>
      <c r="BR405" t="s">
        <v>84</v>
      </c>
      <c r="BS405" s="3">
        <v>45875</v>
      </c>
      <c r="BT405" s="4">
        <v>0.53888888888888886</v>
      </c>
      <c r="BU405" t="s">
        <v>121</v>
      </c>
      <c r="BV405" t="s">
        <v>86</v>
      </c>
      <c r="BY405">
        <v>1200</v>
      </c>
      <c r="CA405" t="s">
        <v>122</v>
      </c>
      <c r="CC405" t="s">
        <v>118</v>
      </c>
      <c r="CD405">
        <v>7646</v>
      </c>
      <c r="CE405" t="s">
        <v>109</v>
      </c>
      <c r="CF405" s="3">
        <v>45876</v>
      </c>
      <c r="CI405">
        <v>1</v>
      </c>
      <c r="CJ405">
        <v>1</v>
      </c>
      <c r="CK405">
        <v>23</v>
      </c>
      <c r="CL405" t="s">
        <v>90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"080067027635"</f>
        <v>080067027635</v>
      </c>
      <c r="F406" s="3">
        <v>45874</v>
      </c>
      <c r="G406">
        <v>202605</v>
      </c>
      <c r="H406" t="s">
        <v>75</v>
      </c>
      <c r="I406" t="s">
        <v>76</v>
      </c>
      <c r="J406" t="s">
        <v>77</v>
      </c>
      <c r="K406" t="s">
        <v>78</v>
      </c>
      <c r="L406" t="s">
        <v>1087</v>
      </c>
      <c r="M406" t="s">
        <v>1088</v>
      </c>
      <c r="N406" t="s">
        <v>1089</v>
      </c>
      <c r="O406" t="s">
        <v>82</v>
      </c>
      <c r="P406" t="str">
        <f>"4170052994                    "</f>
        <v xml:space="preserve">4170052994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103.1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5</v>
      </c>
      <c r="BJ406">
        <v>1.7</v>
      </c>
      <c r="BK406">
        <v>5</v>
      </c>
      <c r="BL406">
        <v>324.82</v>
      </c>
      <c r="BM406">
        <v>48.72</v>
      </c>
      <c r="BN406">
        <v>373.54</v>
      </c>
      <c r="BO406">
        <v>373.54</v>
      </c>
      <c r="BQ406" t="s">
        <v>1090</v>
      </c>
      <c r="BR406" t="s">
        <v>84</v>
      </c>
      <c r="BS406" s="3">
        <v>45875</v>
      </c>
      <c r="BT406" s="4">
        <v>0.55972222222222223</v>
      </c>
      <c r="BU406" t="s">
        <v>1091</v>
      </c>
      <c r="BV406" t="s">
        <v>86</v>
      </c>
      <c r="BY406">
        <v>8512</v>
      </c>
      <c r="CA406" t="s">
        <v>1092</v>
      </c>
      <c r="CC406" t="s">
        <v>1088</v>
      </c>
      <c r="CD406">
        <v>6500</v>
      </c>
      <c r="CE406" t="s">
        <v>147</v>
      </c>
      <c r="CF406" s="3">
        <v>45875</v>
      </c>
      <c r="CI406">
        <v>1</v>
      </c>
      <c r="CJ406">
        <v>1</v>
      </c>
      <c r="CK406">
        <v>23</v>
      </c>
      <c r="CL406" t="s">
        <v>90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"080067027643"</f>
        <v>080067027643</v>
      </c>
      <c r="F407" s="3">
        <v>45874</v>
      </c>
      <c r="G407">
        <v>202605</v>
      </c>
      <c r="H407" t="s">
        <v>75</v>
      </c>
      <c r="I407" t="s">
        <v>76</v>
      </c>
      <c r="J407" t="s">
        <v>77</v>
      </c>
      <c r="K407" t="s">
        <v>78</v>
      </c>
      <c r="L407" t="s">
        <v>452</v>
      </c>
      <c r="M407" t="s">
        <v>453</v>
      </c>
      <c r="N407" t="s">
        <v>454</v>
      </c>
      <c r="O407" t="s">
        <v>82</v>
      </c>
      <c r="P407" t="str">
        <f>"4170052805                    "</f>
        <v xml:space="preserve">4170052805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43.78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</v>
      </c>
      <c r="BJ407">
        <v>0.2</v>
      </c>
      <c r="BK407">
        <v>1</v>
      </c>
      <c r="BL407">
        <v>137.94</v>
      </c>
      <c r="BM407">
        <v>20.69</v>
      </c>
      <c r="BN407">
        <v>158.63</v>
      </c>
      <c r="BO407">
        <v>158.63</v>
      </c>
      <c r="BQ407" t="s">
        <v>455</v>
      </c>
      <c r="BR407" t="s">
        <v>84</v>
      </c>
      <c r="BS407" s="3">
        <v>45875</v>
      </c>
      <c r="BT407" s="4">
        <v>0.36666666666666664</v>
      </c>
      <c r="BU407" t="s">
        <v>483</v>
      </c>
      <c r="BV407" t="s">
        <v>86</v>
      </c>
      <c r="BY407">
        <v>1200</v>
      </c>
      <c r="CA407" t="s">
        <v>1093</v>
      </c>
      <c r="CC407" t="s">
        <v>453</v>
      </c>
      <c r="CD407">
        <v>1947</v>
      </c>
      <c r="CE407" t="s">
        <v>109</v>
      </c>
      <c r="CF407" s="3">
        <v>45875</v>
      </c>
      <c r="CI407">
        <v>1</v>
      </c>
      <c r="CJ407">
        <v>1</v>
      </c>
      <c r="CK407">
        <v>23</v>
      </c>
      <c r="CL407" t="s">
        <v>90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"080067027672"</f>
        <v>080067027672</v>
      </c>
      <c r="F408" s="3">
        <v>45874</v>
      </c>
      <c r="G408">
        <v>202605</v>
      </c>
      <c r="H408" t="s">
        <v>75</v>
      </c>
      <c r="I408" t="s">
        <v>76</v>
      </c>
      <c r="J408" t="s">
        <v>77</v>
      </c>
      <c r="K408" t="s">
        <v>78</v>
      </c>
      <c r="L408" t="s">
        <v>319</v>
      </c>
      <c r="M408" t="s">
        <v>320</v>
      </c>
      <c r="N408" t="s">
        <v>321</v>
      </c>
      <c r="O408" t="s">
        <v>82</v>
      </c>
      <c r="P408" t="str">
        <f>"4170052848                    "</f>
        <v xml:space="preserve">4170052848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43.78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</v>
      </c>
      <c r="BJ408">
        <v>0.2</v>
      </c>
      <c r="BK408">
        <v>1</v>
      </c>
      <c r="BL408">
        <v>137.94</v>
      </c>
      <c r="BM408">
        <v>20.69</v>
      </c>
      <c r="BN408">
        <v>158.63</v>
      </c>
      <c r="BO408">
        <v>158.63</v>
      </c>
      <c r="BQ408" t="s">
        <v>322</v>
      </c>
      <c r="BR408" t="s">
        <v>84</v>
      </c>
      <c r="BS408" s="3">
        <v>45875</v>
      </c>
      <c r="BT408" s="4">
        <v>0.61111111111111116</v>
      </c>
      <c r="BU408" t="s">
        <v>1094</v>
      </c>
      <c r="BV408" t="s">
        <v>90</v>
      </c>
      <c r="BW408" t="s">
        <v>1045</v>
      </c>
      <c r="BX408" t="s">
        <v>1046</v>
      </c>
      <c r="BY408">
        <v>1200</v>
      </c>
      <c r="CA408" t="s">
        <v>324</v>
      </c>
      <c r="CC408" t="s">
        <v>320</v>
      </c>
      <c r="CD408">
        <v>2531</v>
      </c>
      <c r="CE408" t="s">
        <v>109</v>
      </c>
      <c r="CF408" s="3">
        <v>45876</v>
      </c>
      <c r="CI408">
        <v>1</v>
      </c>
      <c r="CJ408">
        <v>1</v>
      </c>
      <c r="CK408">
        <v>23</v>
      </c>
      <c r="CL408" t="s">
        <v>90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"080067027686"</f>
        <v>080067027686</v>
      </c>
      <c r="F409" s="3">
        <v>45874</v>
      </c>
      <c r="G409">
        <v>202605</v>
      </c>
      <c r="H409" t="s">
        <v>75</v>
      </c>
      <c r="I409" t="s">
        <v>76</v>
      </c>
      <c r="J409" t="s">
        <v>77</v>
      </c>
      <c r="K409" t="s">
        <v>78</v>
      </c>
      <c r="L409" t="s">
        <v>229</v>
      </c>
      <c r="M409" t="s">
        <v>230</v>
      </c>
      <c r="N409" t="s">
        <v>231</v>
      </c>
      <c r="O409" t="s">
        <v>95</v>
      </c>
      <c r="P409" t="str">
        <f>"4170052956                    "</f>
        <v xml:space="preserve">4170052956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89.97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2</v>
      </c>
      <c r="BI409">
        <v>24</v>
      </c>
      <c r="BJ409">
        <v>11.3</v>
      </c>
      <c r="BK409">
        <v>24</v>
      </c>
      <c r="BL409">
        <v>289.32</v>
      </c>
      <c r="BM409">
        <v>43.4</v>
      </c>
      <c r="BN409">
        <v>332.72</v>
      </c>
      <c r="BO409">
        <v>332.72</v>
      </c>
      <c r="BQ409" t="s">
        <v>232</v>
      </c>
      <c r="BR409" t="s">
        <v>84</v>
      </c>
      <c r="BS409" s="3">
        <v>45875</v>
      </c>
      <c r="BT409" s="4">
        <v>0.33333333333333331</v>
      </c>
      <c r="BU409" t="s">
        <v>996</v>
      </c>
      <c r="BV409" t="s">
        <v>86</v>
      </c>
      <c r="BY409">
        <v>28275</v>
      </c>
      <c r="CA409" t="s">
        <v>457</v>
      </c>
      <c r="CC409" t="s">
        <v>230</v>
      </c>
      <c r="CD409">
        <v>2740</v>
      </c>
      <c r="CE409" t="s">
        <v>1095</v>
      </c>
      <c r="CF409" s="3">
        <v>45876</v>
      </c>
      <c r="CI409">
        <v>1</v>
      </c>
      <c r="CJ409">
        <v>1</v>
      </c>
      <c r="CK409">
        <v>43</v>
      </c>
      <c r="CL409" t="s">
        <v>90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"080067027709"</f>
        <v>080067027709</v>
      </c>
      <c r="F410" s="3">
        <v>45874</v>
      </c>
      <c r="G410">
        <v>202605</v>
      </c>
      <c r="H410" t="s">
        <v>75</v>
      </c>
      <c r="I410" t="s">
        <v>76</v>
      </c>
      <c r="J410" t="s">
        <v>77</v>
      </c>
      <c r="K410" t="s">
        <v>78</v>
      </c>
      <c r="L410" t="s">
        <v>123</v>
      </c>
      <c r="M410" t="s">
        <v>124</v>
      </c>
      <c r="N410" t="s">
        <v>1096</v>
      </c>
      <c r="O410" t="s">
        <v>82</v>
      </c>
      <c r="P410" t="str">
        <f>"4170052851                    "</f>
        <v xml:space="preserve">4170052851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22.6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</v>
      </c>
      <c r="BJ410">
        <v>0.2</v>
      </c>
      <c r="BK410">
        <v>1</v>
      </c>
      <c r="BL410">
        <v>71.2</v>
      </c>
      <c r="BM410">
        <v>10.68</v>
      </c>
      <c r="BN410">
        <v>81.88</v>
      </c>
      <c r="BO410">
        <v>81.88</v>
      </c>
      <c r="BQ410" t="s">
        <v>1097</v>
      </c>
      <c r="BR410" t="s">
        <v>84</v>
      </c>
      <c r="BS410" s="3">
        <v>45875</v>
      </c>
      <c r="BT410" s="4">
        <v>0.62986111111111109</v>
      </c>
      <c r="BU410" t="s">
        <v>1098</v>
      </c>
      <c r="BV410" t="s">
        <v>90</v>
      </c>
      <c r="BW410" t="s">
        <v>773</v>
      </c>
      <c r="BX410" t="s">
        <v>843</v>
      </c>
      <c r="BY410">
        <v>1200</v>
      </c>
      <c r="CA410" t="s">
        <v>1099</v>
      </c>
      <c r="CC410" t="s">
        <v>124</v>
      </c>
      <c r="CD410">
        <v>7550</v>
      </c>
      <c r="CE410" t="s">
        <v>109</v>
      </c>
      <c r="CF410" s="3">
        <v>45876</v>
      </c>
      <c r="CI410">
        <v>1</v>
      </c>
      <c r="CJ410">
        <v>1</v>
      </c>
      <c r="CK410">
        <v>21</v>
      </c>
      <c r="CL410" t="s">
        <v>90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"080067027729"</f>
        <v>080067027729</v>
      </c>
      <c r="F411" s="3">
        <v>45874</v>
      </c>
      <c r="G411">
        <v>202605</v>
      </c>
      <c r="H411" t="s">
        <v>75</v>
      </c>
      <c r="I411" t="s">
        <v>76</v>
      </c>
      <c r="J411" t="s">
        <v>77</v>
      </c>
      <c r="K411" t="s">
        <v>78</v>
      </c>
      <c r="L411" t="s">
        <v>75</v>
      </c>
      <c r="M411" t="s">
        <v>76</v>
      </c>
      <c r="N411" t="s">
        <v>1100</v>
      </c>
      <c r="O411" t="s">
        <v>82</v>
      </c>
      <c r="P411" t="str">
        <f>"4170052969                    "</f>
        <v xml:space="preserve">4170052969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17.649999999999999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2</v>
      </c>
      <c r="BJ411">
        <v>2.9</v>
      </c>
      <c r="BK411">
        <v>3</v>
      </c>
      <c r="BL411">
        <v>55.61</v>
      </c>
      <c r="BM411">
        <v>8.34</v>
      </c>
      <c r="BN411">
        <v>63.95</v>
      </c>
      <c r="BO411">
        <v>63.95</v>
      </c>
      <c r="BQ411" t="s">
        <v>1101</v>
      </c>
      <c r="BR411" t="s">
        <v>84</v>
      </c>
      <c r="BS411" s="3">
        <v>45875</v>
      </c>
      <c r="BT411" s="4">
        <v>0.34166666666666667</v>
      </c>
      <c r="BU411" t="s">
        <v>1102</v>
      </c>
      <c r="BV411" t="s">
        <v>86</v>
      </c>
      <c r="BY411">
        <v>14400</v>
      </c>
      <c r="CA411" t="s">
        <v>1103</v>
      </c>
      <c r="CC411" t="s">
        <v>76</v>
      </c>
      <c r="CD411">
        <v>1600</v>
      </c>
      <c r="CE411" t="s">
        <v>117</v>
      </c>
      <c r="CF411" s="3">
        <v>45875</v>
      </c>
      <c r="CI411">
        <v>1</v>
      </c>
      <c r="CJ411">
        <v>1</v>
      </c>
      <c r="CK411">
        <v>22</v>
      </c>
      <c r="CL411" t="s">
        <v>90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"080067027737"</f>
        <v>080067027737</v>
      </c>
      <c r="F412" s="3">
        <v>45874</v>
      </c>
      <c r="G412">
        <v>202605</v>
      </c>
      <c r="H412" t="s">
        <v>75</v>
      </c>
      <c r="I412" t="s">
        <v>76</v>
      </c>
      <c r="J412" t="s">
        <v>77</v>
      </c>
      <c r="K412" t="s">
        <v>78</v>
      </c>
      <c r="L412" t="s">
        <v>179</v>
      </c>
      <c r="M412" t="s">
        <v>180</v>
      </c>
      <c r="N412" t="s">
        <v>181</v>
      </c>
      <c r="O412" t="s">
        <v>82</v>
      </c>
      <c r="P412" t="str">
        <f>"4170052804                    "</f>
        <v xml:space="preserve">4170052804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31.78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</v>
      </c>
      <c r="BJ412">
        <v>0.2</v>
      </c>
      <c r="BK412">
        <v>1</v>
      </c>
      <c r="BL412">
        <v>100.13</v>
      </c>
      <c r="BM412">
        <v>15.02</v>
      </c>
      <c r="BN412">
        <v>115.15</v>
      </c>
      <c r="BO412">
        <v>115.15</v>
      </c>
      <c r="BQ412" t="s">
        <v>182</v>
      </c>
      <c r="BR412" t="s">
        <v>84</v>
      </c>
      <c r="BS412" s="3">
        <v>45875</v>
      </c>
      <c r="BT412" s="4">
        <v>0.37777777777777777</v>
      </c>
      <c r="BU412" t="s">
        <v>183</v>
      </c>
      <c r="BV412" t="s">
        <v>86</v>
      </c>
      <c r="BY412">
        <v>1200</v>
      </c>
      <c r="CA412" t="s">
        <v>184</v>
      </c>
      <c r="CC412" t="s">
        <v>180</v>
      </c>
      <c r="CD412">
        <v>1748</v>
      </c>
      <c r="CE412" t="s">
        <v>109</v>
      </c>
      <c r="CF412" s="3">
        <v>45876</v>
      </c>
      <c r="CI412">
        <v>1</v>
      </c>
      <c r="CJ412">
        <v>1</v>
      </c>
      <c r="CK412">
        <v>24</v>
      </c>
      <c r="CL412" t="s">
        <v>90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"080067027765"</f>
        <v>080067027765</v>
      </c>
      <c r="F413" s="3">
        <v>45874</v>
      </c>
      <c r="G413">
        <v>202605</v>
      </c>
      <c r="H413" t="s">
        <v>75</v>
      </c>
      <c r="I413" t="s">
        <v>76</v>
      </c>
      <c r="J413" t="s">
        <v>77</v>
      </c>
      <c r="K413" t="s">
        <v>78</v>
      </c>
      <c r="L413" t="s">
        <v>217</v>
      </c>
      <c r="M413" t="s">
        <v>218</v>
      </c>
      <c r="N413" t="s">
        <v>1104</v>
      </c>
      <c r="O413" t="s">
        <v>82</v>
      </c>
      <c r="P413" t="str">
        <f>"4170052898                    "</f>
        <v xml:space="preserve">4170052898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22.6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1</v>
      </c>
      <c r="BJ413">
        <v>0.2</v>
      </c>
      <c r="BK413">
        <v>1</v>
      </c>
      <c r="BL413">
        <v>71.2</v>
      </c>
      <c r="BM413">
        <v>10.68</v>
      </c>
      <c r="BN413">
        <v>81.88</v>
      </c>
      <c r="BO413">
        <v>81.88</v>
      </c>
      <c r="BQ413" t="s">
        <v>1105</v>
      </c>
      <c r="BR413" t="s">
        <v>84</v>
      </c>
      <c r="BS413" s="3">
        <v>45876</v>
      </c>
      <c r="BT413" s="4">
        <v>0.32222222222222224</v>
      </c>
      <c r="BU413" t="s">
        <v>1106</v>
      </c>
      <c r="BV413" t="s">
        <v>90</v>
      </c>
      <c r="BY413">
        <v>1200</v>
      </c>
      <c r="CA413" t="s">
        <v>1107</v>
      </c>
      <c r="CC413" t="s">
        <v>218</v>
      </c>
      <c r="CD413">
        <v>4071</v>
      </c>
      <c r="CE413" t="s">
        <v>109</v>
      </c>
      <c r="CF413" s="3">
        <v>45877</v>
      </c>
      <c r="CI413">
        <v>1</v>
      </c>
      <c r="CJ413">
        <v>2</v>
      </c>
      <c r="CK413">
        <v>21</v>
      </c>
      <c r="CL413" t="s">
        <v>90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"080067027766"</f>
        <v>080067027766</v>
      </c>
      <c r="F414" s="3">
        <v>45874</v>
      </c>
      <c r="G414">
        <v>202605</v>
      </c>
      <c r="H414" t="s">
        <v>75</v>
      </c>
      <c r="I414" t="s">
        <v>76</v>
      </c>
      <c r="J414" t="s">
        <v>77</v>
      </c>
      <c r="K414" t="s">
        <v>78</v>
      </c>
      <c r="L414" t="s">
        <v>75</v>
      </c>
      <c r="M414" t="s">
        <v>76</v>
      </c>
      <c r="N414" t="s">
        <v>1100</v>
      </c>
      <c r="O414" t="s">
        <v>82</v>
      </c>
      <c r="P414" t="str">
        <f>"4170052968                    "</f>
        <v xml:space="preserve">4170052968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17.649999999999999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2</v>
      </c>
      <c r="BJ414">
        <v>2.9</v>
      </c>
      <c r="BK414">
        <v>3</v>
      </c>
      <c r="BL414">
        <v>55.61</v>
      </c>
      <c r="BM414">
        <v>8.34</v>
      </c>
      <c r="BN414">
        <v>63.95</v>
      </c>
      <c r="BO414">
        <v>63.95</v>
      </c>
      <c r="BQ414" t="s">
        <v>1101</v>
      </c>
      <c r="BR414" t="s">
        <v>84</v>
      </c>
      <c r="BS414" s="3">
        <v>45875</v>
      </c>
      <c r="BT414" s="4">
        <v>0.34166666666666667</v>
      </c>
      <c r="BU414" t="s">
        <v>1102</v>
      </c>
      <c r="BV414" t="s">
        <v>86</v>
      </c>
      <c r="BY414">
        <v>14400</v>
      </c>
      <c r="CA414" t="s">
        <v>1103</v>
      </c>
      <c r="CC414" t="s">
        <v>76</v>
      </c>
      <c r="CD414">
        <v>1600</v>
      </c>
      <c r="CE414" t="s">
        <v>117</v>
      </c>
      <c r="CF414" s="3">
        <v>45875</v>
      </c>
      <c r="CI414">
        <v>1</v>
      </c>
      <c r="CJ414">
        <v>1</v>
      </c>
      <c r="CK414">
        <v>22</v>
      </c>
      <c r="CL414" t="s">
        <v>90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"080067027814"</f>
        <v>080067027814</v>
      </c>
      <c r="F415" s="3">
        <v>45874</v>
      </c>
      <c r="G415">
        <v>202605</v>
      </c>
      <c r="H415" t="s">
        <v>75</v>
      </c>
      <c r="I415" t="s">
        <v>76</v>
      </c>
      <c r="J415" t="s">
        <v>77</v>
      </c>
      <c r="K415" t="s">
        <v>78</v>
      </c>
      <c r="L415" t="s">
        <v>123</v>
      </c>
      <c r="M415" t="s">
        <v>124</v>
      </c>
      <c r="N415" t="s">
        <v>1108</v>
      </c>
      <c r="O415" t="s">
        <v>82</v>
      </c>
      <c r="P415" t="str">
        <f>"4170052929                    "</f>
        <v xml:space="preserve">4170052929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22.6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1</v>
      </c>
      <c r="BJ415">
        <v>0.2</v>
      </c>
      <c r="BK415">
        <v>1</v>
      </c>
      <c r="BL415">
        <v>71.2</v>
      </c>
      <c r="BM415">
        <v>10.68</v>
      </c>
      <c r="BN415">
        <v>81.88</v>
      </c>
      <c r="BO415">
        <v>81.88</v>
      </c>
      <c r="BQ415" t="s">
        <v>1109</v>
      </c>
      <c r="BR415" t="s">
        <v>84</v>
      </c>
      <c r="BS415" s="3">
        <v>45875</v>
      </c>
      <c r="BT415" s="4">
        <v>0.42986111111111114</v>
      </c>
      <c r="BU415" t="s">
        <v>1110</v>
      </c>
      <c r="BV415" t="s">
        <v>86</v>
      </c>
      <c r="BY415">
        <v>1200</v>
      </c>
      <c r="CA415" t="s">
        <v>1111</v>
      </c>
      <c r="CC415" t="s">
        <v>124</v>
      </c>
      <c r="CD415">
        <v>7800</v>
      </c>
      <c r="CE415" t="s">
        <v>109</v>
      </c>
      <c r="CF415" s="3">
        <v>45876</v>
      </c>
      <c r="CI415">
        <v>1</v>
      </c>
      <c r="CJ415">
        <v>1</v>
      </c>
      <c r="CK415">
        <v>21</v>
      </c>
      <c r="CL415" t="s">
        <v>90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"080067027852"</f>
        <v>080067027852</v>
      </c>
      <c r="F416" s="3">
        <v>45874</v>
      </c>
      <c r="G416">
        <v>202605</v>
      </c>
      <c r="H416" t="s">
        <v>75</v>
      </c>
      <c r="I416" t="s">
        <v>76</v>
      </c>
      <c r="J416" t="s">
        <v>77</v>
      </c>
      <c r="K416" t="s">
        <v>78</v>
      </c>
      <c r="L416" t="s">
        <v>198</v>
      </c>
      <c r="M416" t="s">
        <v>199</v>
      </c>
      <c r="N416" t="s">
        <v>1112</v>
      </c>
      <c r="O416" t="s">
        <v>82</v>
      </c>
      <c r="P416" t="str">
        <f>"4170053028                    "</f>
        <v xml:space="preserve">4170053028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39.53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</v>
      </c>
      <c r="BJ416">
        <v>3.4</v>
      </c>
      <c r="BK416">
        <v>3.5</v>
      </c>
      <c r="BL416">
        <v>124.55</v>
      </c>
      <c r="BM416">
        <v>18.68</v>
      </c>
      <c r="BN416">
        <v>143.22999999999999</v>
      </c>
      <c r="BO416">
        <v>143.22999999999999</v>
      </c>
      <c r="BQ416" t="s">
        <v>1113</v>
      </c>
      <c r="BR416" t="s">
        <v>84</v>
      </c>
      <c r="BS416" s="3">
        <v>45875</v>
      </c>
      <c r="BT416" s="4">
        <v>0.42708333333333331</v>
      </c>
      <c r="BU416" t="s">
        <v>1114</v>
      </c>
      <c r="BV416" t="s">
        <v>86</v>
      </c>
      <c r="BY416">
        <v>16965</v>
      </c>
      <c r="CA416" t="s">
        <v>810</v>
      </c>
      <c r="CC416" t="s">
        <v>199</v>
      </c>
      <c r="CD416">
        <v>6100</v>
      </c>
      <c r="CE416" t="s">
        <v>147</v>
      </c>
      <c r="CF416" s="3">
        <v>45875</v>
      </c>
      <c r="CI416">
        <v>1</v>
      </c>
      <c r="CJ416">
        <v>1</v>
      </c>
      <c r="CK416">
        <v>21</v>
      </c>
      <c r="CL416" t="s">
        <v>90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"080067027866"</f>
        <v>080067027866</v>
      </c>
      <c r="F417" s="3">
        <v>45874</v>
      </c>
      <c r="G417">
        <v>202605</v>
      </c>
      <c r="H417" t="s">
        <v>75</v>
      </c>
      <c r="I417" t="s">
        <v>76</v>
      </c>
      <c r="J417" t="s">
        <v>77</v>
      </c>
      <c r="K417" t="s">
        <v>78</v>
      </c>
      <c r="L417" t="s">
        <v>319</v>
      </c>
      <c r="M417" t="s">
        <v>320</v>
      </c>
      <c r="N417" t="s">
        <v>321</v>
      </c>
      <c r="O417" t="s">
        <v>82</v>
      </c>
      <c r="P417" t="str">
        <f>"4170052967                    "</f>
        <v xml:space="preserve">4170052967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43.78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1</v>
      </c>
      <c r="BJ417">
        <v>0.2</v>
      </c>
      <c r="BK417">
        <v>1</v>
      </c>
      <c r="BL417">
        <v>137.94</v>
      </c>
      <c r="BM417">
        <v>20.69</v>
      </c>
      <c r="BN417">
        <v>158.63</v>
      </c>
      <c r="BO417">
        <v>158.63</v>
      </c>
      <c r="BQ417" t="s">
        <v>322</v>
      </c>
      <c r="BR417" t="s">
        <v>84</v>
      </c>
      <c r="BS417" s="3">
        <v>45875</v>
      </c>
      <c r="BT417" s="4">
        <v>0.61041666666666672</v>
      </c>
      <c r="BU417" t="s">
        <v>1094</v>
      </c>
      <c r="BV417" t="s">
        <v>90</v>
      </c>
      <c r="BW417" t="s">
        <v>1045</v>
      </c>
      <c r="BX417" t="s">
        <v>1046</v>
      </c>
      <c r="BY417">
        <v>1200</v>
      </c>
      <c r="CA417" t="s">
        <v>324</v>
      </c>
      <c r="CC417" t="s">
        <v>320</v>
      </c>
      <c r="CD417">
        <v>2531</v>
      </c>
      <c r="CE417" t="s">
        <v>109</v>
      </c>
      <c r="CF417" s="3">
        <v>45876</v>
      </c>
      <c r="CI417">
        <v>1</v>
      </c>
      <c r="CJ417">
        <v>1</v>
      </c>
      <c r="CK417">
        <v>23</v>
      </c>
      <c r="CL417" t="s">
        <v>90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"080067027930"</f>
        <v>080067027930</v>
      </c>
      <c r="F418" s="3">
        <v>45874</v>
      </c>
      <c r="G418">
        <v>202605</v>
      </c>
      <c r="H418" t="s">
        <v>75</v>
      </c>
      <c r="I418" t="s">
        <v>76</v>
      </c>
      <c r="J418" t="s">
        <v>77</v>
      </c>
      <c r="K418" t="s">
        <v>78</v>
      </c>
      <c r="L418" t="s">
        <v>123</v>
      </c>
      <c r="M418" t="s">
        <v>124</v>
      </c>
      <c r="N418" t="s">
        <v>1115</v>
      </c>
      <c r="O418" t="s">
        <v>82</v>
      </c>
      <c r="P418" t="str">
        <f>"4170053015                    "</f>
        <v xml:space="preserve">4170053015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22.6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</v>
      </c>
      <c r="BJ418">
        <v>0.2</v>
      </c>
      <c r="BK418">
        <v>1</v>
      </c>
      <c r="BL418">
        <v>71.2</v>
      </c>
      <c r="BM418">
        <v>10.68</v>
      </c>
      <c r="BN418">
        <v>81.88</v>
      </c>
      <c r="BO418">
        <v>81.88</v>
      </c>
      <c r="BQ418" t="s">
        <v>1116</v>
      </c>
      <c r="BR418" t="s">
        <v>84</v>
      </c>
      <c r="BS418" s="3">
        <v>45875</v>
      </c>
      <c r="BT418" s="4">
        <v>0.40277777777777779</v>
      </c>
      <c r="BU418" t="s">
        <v>1117</v>
      </c>
      <c r="BV418" t="s">
        <v>86</v>
      </c>
      <c r="BY418">
        <v>1200</v>
      </c>
      <c r="CA418" t="s">
        <v>192</v>
      </c>
      <c r="CC418" t="s">
        <v>124</v>
      </c>
      <c r="CD418">
        <v>7441</v>
      </c>
      <c r="CE418" t="s">
        <v>109</v>
      </c>
      <c r="CF418" s="3">
        <v>45876</v>
      </c>
      <c r="CI418">
        <v>1</v>
      </c>
      <c r="CJ418">
        <v>1</v>
      </c>
      <c r="CK418">
        <v>21</v>
      </c>
      <c r="CL418" t="s">
        <v>90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"080067027998"</f>
        <v>080067027998</v>
      </c>
      <c r="F419" s="3">
        <v>45874</v>
      </c>
      <c r="G419">
        <v>202605</v>
      </c>
      <c r="H419" t="s">
        <v>75</v>
      </c>
      <c r="I419" t="s">
        <v>76</v>
      </c>
      <c r="J419" t="s">
        <v>77</v>
      </c>
      <c r="K419" t="s">
        <v>78</v>
      </c>
      <c r="L419" t="s">
        <v>217</v>
      </c>
      <c r="M419" t="s">
        <v>218</v>
      </c>
      <c r="N419" t="s">
        <v>490</v>
      </c>
      <c r="O419" t="s">
        <v>82</v>
      </c>
      <c r="P419" t="str">
        <f>"4170052864                    "</f>
        <v xml:space="preserve">4170052864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22.6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1</v>
      </c>
      <c r="BJ419">
        <v>0.2</v>
      </c>
      <c r="BK419">
        <v>1</v>
      </c>
      <c r="BL419">
        <v>71.2</v>
      </c>
      <c r="BM419">
        <v>10.68</v>
      </c>
      <c r="BN419">
        <v>81.88</v>
      </c>
      <c r="BO419">
        <v>81.88</v>
      </c>
      <c r="BQ419" t="s">
        <v>491</v>
      </c>
      <c r="BR419" t="s">
        <v>84</v>
      </c>
      <c r="BS419" s="3">
        <v>45875</v>
      </c>
      <c r="BT419" s="4">
        <v>0.77083333333333337</v>
      </c>
      <c r="BU419" t="s">
        <v>492</v>
      </c>
      <c r="BV419" t="s">
        <v>90</v>
      </c>
      <c r="BW419" t="s">
        <v>134</v>
      </c>
      <c r="BX419" t="s">
        <v>135</v>
      </c>
      <c r="BY419">
        <v>1200</v>
      </c>
      <c r="CA419" t="s">
        <v>136</v>
      </c>
      <c r="CC419" t="s">
        <v>218</v>
      </c>
      <c r="CD419">
        <v>4052</v>
      </c>
      <c r="CE419" t="s">
        <v>109</v>
      </c>
      <c r="CF419" s="3">
        <v>45875</v>
      </c>
      <c r="CI419">
        <v>1</v>
      </c>
      <c r="CJ419">
        <v>1</v>
      </c>
      <c r="CK419">
        <v>21</v>
      </c>
      <c r="CL419" t="s">
        <v>90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"080067028272"</f>
        <v>080067028272</v>
      </c>
      <c r="F420" s="3">
        <v>45874</v>
      </c>
      <c r="G420">
        <v>202605</v>
      </c>
      <c r="H420" t="s">
        <v>75</v>
      </c>
      <c r="I420" t="s">
        <v>76</v>
      </c>
      <c r="J420" t="s">
        <v>77</v>
      </c>
      <c r="K420" t="s">
        <v>78</v>
      </c>
      <c r="L420" t="s">
        <v>162</v>
      </c>
      <c r="M420" t="s">
        <v>163</v>
      </c>
      <c r="N420" t="s">
        <v>164</v>
      </c>
      <c r="O420" t="s">
        <v>95</v>
      </c>
      <c r="P420" t="str">
        <f>"4170052798                    "</f>
        <v xml:space="preserve">4170052798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92.41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2</v>
      </c>
      <c r="BI420">
        <v>37</v>
      </c>
      <c r="BJ420">
        <v>42</v>
      </c>
      <c r="BK420">
        <v>42</v>
      </c>
      <c r="BL420">
        <v>297.02</v>
      </c>
      <c r="BM420">
        <v>44.55</v>
      </c>
      <c r="BN420">
        <v>341.57</v>
      </c>
      <c r="BO420">
        <v>341.57</v>
      </c>
      <c r="BQ420" t="s">
        <v>165</v>
      </c>
      <c r="BR420" t="s">
        <v>84</v>
      </c>
      <c r="BS420" s="3">
        <v>45875</v>
      </c>
      <c r="BT420" s="4">
        <v>0.66666666666666663</v>
      </c>
      <c r="BU420" t="s">
        <v>796</v>
      </c>
      <c r="BV420" t="s">
        <v>86</v>
      </c>
      <c r="BY420">
        <v>210240</v>
      </c>
      <c r="CC420" t="s">
        <v>163</v>
      </c>
      <c r="CD420">
        <v>3212</v>
      </c>
      <c r="CE420" t="s">
        <v>147</v>
      </c>
      <c r="CF420" s="3">
        <v>45876</v>
      </c>
      <c r="CI420">
        <v>3</v>
      </c>
      <c r="CJ420">
        <v>1</v>
      </c>
      <c r="CK420">
        <v>41</v>
      </c>
      <c r="CL420" t="s">
        <v>90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"080067028500"</f>
        <v>080067028500</v>
      </c>
      <c r="F421" s="3">
        <v>45874</v>
      </c>
      <c r="G421">
        <v>202605</v>
      </c>
      <c r="H421" t="s">
        <v>75</v>
      </c>
      <c r="I421" t="s">
        <v>76</v>
      </c>
      <c r="J421" t="s">
        <v>77</v>
      </c>
      <c r="K421" t="s">
        <v>78</v>
      </c>
      <c r="L421" t="s">
        <v>452</v>
      </c>
      <c r="M421" t="s">
        <v>453</v>
      </c>
      <c r="N421" t="s">
        <v>454</v>
      </c>
      <c r="O421" t="s">
        <v>82</v>
      </c>
      <c r="P421" t="str">
        <f>"4170052883                    "</f>
        <v xml:space="preserve">4170052883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43.78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1</v>
      </c>
      <c r="BJ421">
        <v>1.7</v>
      </c>
      <c r="BK421">
        <v>2</v>
      </c>
      <c r="BL421">
        <v>137.94</v>
      </c>
      <c r="BM421">
        <v>20.69</v>
      </c>
      <c r="BN421">
        <v>158.63</v>
      </c>
      <c r="BO421">
        <v>158.63</v>
      </c>
      <c r="BQ421" t="s">
        <v>455</v>
      </c>
      <c r="BR421" t="s">
        <v>84</v>
      </c>
      <c r="BS421" s="3">
        <v>45875</v>
      </c>
      <c r="BT421" s="4">
        <v>0.36666666666666664</v>
      </c>
      <c r="BU421" t="s">
        <v>483</v>
      </c>
      <c r="BV421" t="s">
        <v>86</v>
      </c>
      <c r="BY421">
        <v>8512</v>
      </c>
      <c r="CA421" t="s">
        <v>1093</v>
      </c>
      <c r="CC421" t="s">
        <v>453</v>
      </c>
      <c r="CD421">
        <v>1947</v>
      </c>
      <c r="CE421" t="s">
        <v>147</v>
      </c>
      <c r="CF421" s="3">
        <v>45875</v>
      </c>
      <c r="CI421">
        <v>1</v>
      </c>
      <c r="CJ421">
        <v>1</v>
      </c>
      <c r="CK421">
        <v>23</v>
      </c>
      <c r="CL421" t="s">
        <v>90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"080067028568"</f>
        <v>080067028568</v>
      </c>
      <c r="F422" s="3">
        <v>45874</v>
      </c>
      <c r="G422">
        <v>202605</v>
      </c>
      <c r="H422" t="s">
        <v>75</v>
      </c>
      <c r="I422" t="s">
        <v>76</v>
      </c>
      <c r="J422" t="s">
        <v>77</v>
      </c>
      <c r="K422" t="s">
        <v>78</v>
      </c>
      <c r="L422" t="s">
        <v>75</v>
      </c>
      <c r="M422" t="s">
        <v>76</v>
      </c>
      <c r="N422" t="s">
        <v>1020</v>
      </c>
      <c r="O422" t="s">
        <v>82</v>
      </c>
      <c r="P422" t="str">
        <f>"4170052900                    "</f>
        <v xml:space="preserve">4170052900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17.649999999999999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</v>
      </c>
      <c r="BJ422">
        <v>0.9</v>
      </c>
      <c r="BK422">
        <v>1</v>
      </c>
      <c r="BL422">
        <v>55.61</v>
      </c>
      <c r="BM422">
        <v>8.34</v>
      </c>
      <c r="BN422">
        <v>63.95</v>
      </c>
      <c r="BO422">
        <v>63.95</v>
      </c>
      <c r="BQ422" t="s">
        <v>1021</v>
      </c>
      <c r="BR422" t="s">
        <v>84</v>
      </c>
      <c r="BS422" s="3">
        <v>45875</v>
      </c>
      <c r="BT422" s="4">
        <v>0.4375</v>
      </c>
      <c r="BU422" t="s">
        <v>1118</v>
      </c>
      <c r="BV422" t="s">
        <v>86</v>
      </c>
      <c r="BY422">
        <v>4256</v>
      </c>
      <c r="CA422" t="s">
        <v>146</v>
      </c>
      <c r="CC422" t="s">
        <v>76</v>
      </c>
      <c r="CD422">
        <v>1645</v>
      </c>
      <c r="CE422" t="s">
        <v>147</v>
      </c>
      <c r="CF422" s="3">
        <v>45876</v>
      </c>
      <c r="CI422">
        <v>1</v>
      </c>
      <c r="CJ422">
        <v>1</v>
      </c>
      <c r="CK422">
        <v>22</v>
      </c>
      <c r="CL422" t="s">
        <v>90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"080011586782"</f>
        <v>080011586782</v>
      </c>
      <c r="F423" s="3">
        <v>45874</v>
      </c>
      <c r="G423">
        <v>202605</v>
      </c>
      <c r="H423" t="s">
        <v>123</v>
      </c>
      <c r="I423" t="s">
        <v>124</v>
      </c>
      <c r="J423" t="s">
        <v>1119</v>
      </c>
      <c r="K423" t="s">
        <v>78</v>
      </c>
      <c r="L423" t="s">
        <v>75</v>
      </c>
      <c r="M423" t="s">
        <v>76</v>
      </c>
      <c r="N423" t="s">
        <v>94</v>
      </c>
      <c r="O423" t="s">
        <v>82</v>
      </c>
      <c r="P423" t="str">
        <f>"ZA1001402428                  "</f>
        <v xml:space="preserve">ZA1001402428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33.89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2.2000000000000002</v>
      </c>
      <c r="BJ423">
        <v>2.9</v>
      </c>
      <c r="BK423">
        <v>3</v>
      </c>
      <c r="BL423">
        <v>106.77</v>
      </c>
      <c r="BM423">
        <v>16.02</v>
      </c>
      <c r="BN423">
        <v>122.79</v>
      </c>
      <c r="BO423">
        <v>122.79</v>
      </c>
      <c r="BP423" t="s">
        <v>96</v>
      </c>
      <c r="BQ423" t="s">
        <v>97</v>
      </c>
      <c r="BR423" t="s">
        <v>379</v>
      </c>
      <c r="BS423" s="3">
        <v>45875</v>
      </c>
      <c r="BT423" s="4">
        <v>0.3840277777777778</v>
      </c>
      <c r="BU423" t="s">
        <v>1120</v>
      </c>
      <c r="BV423" t="s">
        <v>86</v>
      </c>
      <c r="BY423">
        <v>14694.4</v>
      </c>
      <c r="BZ423" t="s">
        <v>330</v>
      </c>
      <c r="CA423" t="s">
        <v>101</v>
      </c>
      <c r="CC423" t="s">
        <v>76</v>
      </c>
      <c r="CD423">
        <v>1619</v>
      </c>
      <c r="CE423" t="s">
        <v>102</v>
      </c>
      <c r="CF423" s="3">
        <v>45875</v>
      </c>
      <c r="CI423">
        <v>1</v>
      </c>
      <c r="CJ423">
        <v>1</v>
      </c>
      <c r="CK423">
        <v>21</v>
      </c>
      <c r="CL423" t="s">
        <v>90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"080011586989"</f>
        <v>080011586989</v>
      </c>
      <c r="F424" s="3">
        <v>45874</v>
      </c>
      <c r="G424">
        <v>202605</v>
      </c>
      <c r="H424" t="s">
        <v>241</v>
      </c>
      <c r="I424" t="s">
        <v>242</v>
      </c>
      <c r="J424" t="s">
        <v>1121</v>
      </c>
      <c r="K424" t="s">
        <v>78</v>
      </c>
      <c r="L424" t="s">
        <v>75</v>
      </c>
      <c r="M424" t="s">
        <v>76</v>
      </c>
      <c r="N424" t="s">
        <v>94</v>
      </c>
      <c r="O424" t="s">
        <v>82</v>
      </c>
      <c r="P424" t="str">
        <f>"ZA3000019101                  "</f>
        <v xml:space="preserve">ZA3000019101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17.649999999999999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</v>
      </c>
      <c r="BJ424">
        <v>1.5</v>
      </c>
      <c r="BK424">
        <v>2</v>
      </c>
      <c r="BL424">
        <v>55.61</v>
      </c>
      <c r="BM424">
        <v>8.34</v>
      </c>
      <c r="BN424">
        <v>63.95</v>
      </c>
      <c r="BO424">
        <v>63.95</v>
      </c>
      <c r="BP424" t="s">
        <v>96</v>
      </c>
      <c r="BQ424" t="s">
        <v>97</v>
      </c>
      <c r="BR424" t="s">
        <v>1122</v>
      </c>
      <c r="BS424" s="3">
        <v>45875</v>
      </c>
      <c r="BT424" s="4">
        <v>0.3840277777777778</v>
      </c>
      <c r="BU424" t="s">
        <v>1120</v>
      </c>
      <c r="BV424" t="s">
        <v>86</v>
      </c>
      <c r="BY424">
        <v>7728</v>
      </c>
      <c r="BZ424" t="s">
        <v>330</v>
      </c>
      <c r="CA424" t="s">
        <v>101</v>
      </c>
      <c r="CC424" t="s">
        <v>76</v>
      </c>
      <c r="CD424">
        <v>1619</v>
      </c>
      <c r="CE424" t="s">
        <v>102</v>
      </c>
      <c r="CF424" s="3">
        <v>45875</v>
      </c>
      <c r="CI424">
        <v>1</v>
      </c>
      <c r="CJ424">
        <v>1</v>
      </c>
      <c r="CK424">
        <v>22</v>
      </c>
      <c r="CL424" t="s">
        <v>90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"080067028617"</f>
        <v>080067028617</v>
      </c>
      <c r="F425" s="3">
        <v>45874</v>
      </c>
      <c r="G425">
        <v>202605</v>
      </c>
      <c r="H425" t="s">
        <v>75</v>
      </c>
      <c r="I425" t="s">
        <v>76</v>
      </c>
      <c r="J425" t="s">
        <v>77</v>
      </c>
      <c r="K425" t="s">
        <v>78</v>
      </c>
      <c r="L425" t="s">
        <v>325</v>
      </c>
      <c r="M425" t="s">
        <v>326</v>
      </c>
      <c r="N425" t="s">
        <v>616</v>
      </c>
      <c r="O425" t="s">
        <v>82</v>
      </c>
      <c r="P425" t="str">
        <f>"4170052913                    "</f>
        <v xml:space="preserve">4170052913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17.649999999999999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2</v>
      </c>
      <c r="BJ425">
        <v>3.4</v>
      </c>
      <c r="BK425">
        <v>4</v>
      </c>
      <c r="BL425">
        <v>55.61</v>
      </c>
      <c r="BM425">
        <v>8.34</v>
      </c>
      <c r="BN425">
        <v>63.95</v>
      </c>
      <c r="BO425">
        <v>63.95</v>
      </c>
      <c r="BQ425" t="s">
        <v>617</v>
      </c>
      <c r="BR425" t="s">
        <v>84</v>
      </c>
      <c r="BS425" s="3">
        <v>45875</v>
      </c>
      <c r="BT425" s="4">
        <v>0.4201388888888889</v>
      </c>
      <c r="BU425" t="s">
        <v>1080</v>
      </c>
      <c r="BV425" t="s">
        <v>86</v>
      </c>
      <c r="BY425">
        <v>16800</v>
      </c>
      <c r="CA425" t="s">
        <v>619</v>
      </c>
      <c r="CC425" t="s">
        <v>326</v>
      </c>
      <c r="CD425">
        <v>2169</v>
      </c>
      <c r="CE425" t="s">
        <v>117</v>
      </c>
      <c r="CF425" s="3">
        <v>45876</v>
      </c>
      <c r="CI425">
        <v>1</v>
      </c>
      <c r="CJ425">
        <v>1</v>
      </c>
      <c r="CK425">
        <v>22</v>
      </c>
      <c r="CL425" t="s">
        <v>90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"080067028672"</f>
        <v>080067028672</v>
      </c>
      <c r="F426" s="3">
        <v>45874</v>
      </c>
      <c r="G426">
        <v>202605</v>
      </c>
      <c r="H426" t="s">
        <v>75</v>
      </c>
      <c r="I426" t="s">
        <v>76</v>
      </c>
      <c r="J426" t="s">
        <v>77</v>
      </c>
      <c r="K426" t="s">
        <v>78</v>
      </c>
      <c r="L426" t="s">
        <v>325</v>
      </c>
      <c r="M426" t="s">
        <v>326</v>
      </c>
      <c r="N426" t="s">
        <v>980</v>
      </c>
      <c r="O426" t="s">
        <v>82</v>
      </c>
      <c r="P426" t="str">
        <f>"4170052937                    "</f>
        <v xml:space="preserve">4170052937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17.649999999999999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</v>
      </c>
      <c r="BJ426">
        <v>1.9</v>
      </c>
      <c r="BK426">
        <v>2</v>
      </c>
      <c r="BL426">
        <v>55.61</v>
      </c>
      <c r="BM426">
        <v>8.34</v>
      </c>
      <c r="BN426">
        <v>63.95</v>
      </c>
      <c r="BO426">
        <v>63.95</v>
      </c>
      <c r="BQ426" t="s">
        <v>981</v>
      </c>
      <c r="BR426" t="s">
        <v>84</v>
      </c>
      <c r="BS426" s="3">
        <v>45875</v>
      </c>
      <c r="BT426" s="4">
        <v>0.3888888888888889</v>
      </c>
      <c r="BU426" t="s">
        <v>982</v>
      </c>
      <c r="BV426" t="s">
        <v>86</v>
      </c>
      <c r="BY426">
        <v>9600</v>
      </c>
      <c r="CA426" t="s">
        <v>461</v>
      </c>
      <c r="CC426" t="s">
        <v>326</v>
      </c>
      <c r="CD426">
        <v>2094</v>
      </c>
      <c r="CE426" t="s">
        <v>147</v>
      </c>
      <c r="CF426" s="3">
        <v>45876</v>
      </c>
      <c r="CI426">
        <v>1</v>
      </c>
      <c r="CJ426">
        <v>1</v>
      </c>
      <c r="CK426">
        <v>22</v>
      </c>
      <c r="CL426" t="s">
        <v>90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"080067028700"</f>
        <v>080067028700</v>
      </c>
      <c r="F427" s="3">
        <v>45874</v>
      </c>
      <c r="G427">
        <v>202605</v>
      </c>
      <c r="H427" t="s">
        <v>75</v>
      </c>
      <c r="I427" t="s">
        <v>76</v>
      </c>
      <c r="J427" t="s">
        <v>77</v>
      </c>
      <c r="K427" t="s">
        <v>78</v>
      </c>
      <c r="L427" t="s">
        <v>198</v>
      </c>
      <c r="M427" t="s">
        <v>199</v>
      </c>
      <c r="N427" t="s">
        <v>955</v>
      </c>
      <c r="O427" t="s">
        <v>82</v>
      </c>
      <c r="P427" t="str">
        <f>"4170052923                    "</f>
        <v xml:space="preserve">4170052923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22.6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2</v>
      </c>
      <c r="BJ427">
        <v>1.1000000000000001</v>
      </c>
      <c r="BK427">
        <v>2</v>
      </c>
      <c r="BL427">
        <v>71.2</v>
      </c>
      <c r="BM427">
        <v>10.68</v>
      </c>
      <c r="BN427">
        <v>81.88</v>
      </c>
      <c r="BO427">
        <v>81.88</v>
      </c>
      <c r="BQ427" t="s">
        <v>956</v>
      </c>
      <c r="BR427" t="s">
        <v>84</v>
      </c>
      <c r="BS427" s="3">
        <v>45875</v>
      </c>
      <c r="BT427" s="4">
        <v>0.42777777777777776</v>
      </c>
      <c r="BU427" t="s">
        <v>1123</v>
      </c>
      <c r="BV427" t="s">
        <v>86</v>
      </c>
      <c r="BY427">
        <v>5625</v>
      </c>
      <c r="CC427" t="s">
        <v>199</v>
      </c>
      <c r="CD427">
        <v>6012</v>
      </c>
      <c r="CE427" t="s">
        <v>117</v>
      </c>
      <c r="CF427" s="3">
        <v>45875</v>
      </c>
      <c r="CI427">
        <v>1</v>
      </c>
      <c r="CJ427">
        <v>1</v>
      </c>
      <c r="CK427">
        <v>21</v>
      </c>
      <c r="CL427" t="s">
        <v>90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"080067028768"</f>
        <v>080067028768</v>
      </c>
      <c r="F428" s="3">
        <v>45874</v>
      </c>
      <c r="G428">
        <v>202605</v>
      </c>
      <c r="H428" t="s">
        <v>75</v>
      </c>
      <c r="I428" t="s">
        <v>76</v>
      </c>
      <c r="J428" t="s">
        <v>77</v>
      </c>
      <c r="K428" t="s">
        <v>78</v>
      </c>
      <c r="L428" t="s">
        <v>314</v>
      </c>
      <c r="M428" t="s">
        <v>314</v>
      </c>
      <c r="N428" t="s">
        <v>548</v>
      </c>
      <c r="O428" t="s">
        <v>82</v>
      </c>
      <c r="P428" t="str">
        <f>"4170052845                    "</f>
        <v xml:space="preserve">4170052845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47.26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3</v>
      </c>
      <c r="BJ428">
        <v>0.9</v>
      </c>
      <c r="BK428">
        <v>3</v>
      </c>
      <c r="BL428">
        <v>148.88999999999999</v>
      </c>
      <c r="BM428">
        <v>22.33</v>
      </c>
      <c r="BN428">
        <v>171.22</v>
      </c>
      <c r="BO428">
        <v>171.22</v>
      </c>
      <c r="BQ428" t="s">
        <v>549</v>
      </c>
      <c r="BR428" t="s">
        <v>84</v>
      </c>
      <c r="BS428" s="3">
        <v>45875</v>
      </c>
      <c r="BT428" s="4">
        <v>0.54166666666666663</v>
      </c>
      <c r="BU428" t="s">
        <v>1124</v>
      </c>
      <c r="BV428" t="s">
        <v>86</v>
      </c>
      <c r="BY428">
        <v>4275</v>
      </c>
      <c r="CA428" t="s">
        <v>1125</v>
      </c>
      <c r="CC428" t="s">
        <v>314</v>
      </c>
      <c r="CD428">
        <v>1491</v>
      </c>
      <c r="CE428" t="s">
        <v>147</v>
      </c>
      <c r="CF428" s="3">
        <v>45876</v>
      </c>
      <c r="CI428">
        <v>1</v>
      </c>
      <c r="CJ428">
        <v>1</v>
      </c>
      <c r="CK428">
        <v>24</v>
      </c>
      <c r="CL428" t="s">
        <v>90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"080067028805"</f>
        <v>080067028805</v>
      </c>
      <c r="F429" s="3">
        <v>45874</v>
      </c>
      <c r="G429">
        <v>202605</v>
      </c>
      <c r="H429" t="s">
        <v>75</v>
      </c>
      <c r="I429" t="s">
        <v>76</v>
      </c>
      <c r="J429" t="s">
        <v>77</v>
      </c>
      <c r="K429" t="s">
        <v>78</v>
      </c>
      <c r="L429" t="s">
        <v>75</v>
      </c>
      <c r="M429" t="s">
        <v>76</v>
      </c>
      <c r="N429" t="s">
        <v>1126</v>
      </c>
      <c r="O429" t="s">
        <v>82</v>
      </c>
      <c r="P429" t="str">
        <f>"4170052931                    "</f>
        <v xml:space="preserve">4170052931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17.649999999999999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1</v>
      </c>
      <c r="BJ429">
        <v>0.2</v>
      </c>
      <c r="BK429">
        <v>1</v>
      </c>
      <c r="BL429">
        <v>55.61</v>
      </c>
      <c r="BM429">
        <v>8.34</v>
      </c>
      <c r="BN429">
        <v>63.95</v>
      </c>
      <c r="BO429">
        <v>63.95</v>
      </c>
      <c r="BQ429" t="s">
        <v>1127</v>
      </c>
      <c r="BR429" t="s">
        <v>84</v>
      </c>
      <c r="BS429" s="3">
        <v>45875</v>
      </c>
      <c r="BT429" s="4">
        <v>0.4236111111111111</v>
      </c>
      <c r="BU429" t="s">
        <v>1128</v>
      </c>
      <c r="BV429" t="s">
        <v>86</v>
      </c>
      <c r="BY429">
        <v>1200</v>
      </c>
      <c r="CA429" t="s">
        <v>101</v>
      </c>
      <c r="CC429" t="s">
        <v>76</v>
      </c>
      <c r="CD429">
        <v>1619</v>
      </c>
      <c r="CE429" t="s">
        <v>290</v>
      </c>
      <c r="CF429" s="3">
        <v>45875</v>
      </c>
      <c r="CI429">
        <v>1</v>
      </c>
      <c r="CJ429">
        <v>1</v>
      </c>
      <c r="CK429">
        <v>22</v>
      </c>
      <c r="CL429" t="s">
        <v>90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"080067028851"</f>
        <v>080067028851</v>
      </c>
      <c r="F430" s="3">
        <v>45874</v>
      </c>
      <c r="G430">
        <v>202605</v>
      </c>
      <c r="H430" t="s">
        <v>75</v>
      </c>
      <c r="I430" t="s">
        <v>76</v>
      </c>
      <c r="J430" t="s">
        <v>77</v>
      </c>
      <c r="K430" t="s">
        <v>78</v>
      </c>
      <c r="L430" t="s">
        <v>156</v>
      </c>
      <c r="M430" t="s">
        <v>157</v>
      </c>
      <c r="N430" t="s">
        <v>1129</v>
      </c>
      <c r="O430" t="s">
        <v>82</v>
      </c>
      <c r="P430" t="str">
        <f>"4170052949                    "</f>
        <v xml:space="preserve">4170052949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17.649999999999999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</v>
      </c>
      <c r="BJ430">
        <v>0.2</v>
      </c>
      <c r="BK430">
        <v>1</v>
      </c>
      <c r="BL430">
        <v>55.61</v>
      </c>
      <c r="BM430">
        <v>8.34</v>
      </c>
      <c r="BN430">
        <v>63.95</v>
      </c>
      <c r="BO430">
        <v>63.95</v>
      </c>
      <c r="BQ430" t="s">
        <v>1130</v>
      </c>
      <c r="BR430" t="s">
        <v>84</v>
      </c>
      <c r="BS430" s="3">
        <v>45875</v>
      </c>
      <c r="BT430" s="4">
        <v>0.52777777777777779</v>
      </c>
      <c r="BU430" t="s">
        <v>1131</v>
      </c>
      <c r="BV430" t="s">
        <v>90</v>
      </c>
      <c r="BW430" t="s">
        <v>380</v>
      </c>
      <c r="BX430" t="s">
        <v>1132</v>
      </c>
      <c r="BY430">
        <v>1200</v>
      </c>
      <c r="CA430" t="s">
        <v>1133</v>
      </c>
      <c r="CC430" t="s">
        <v>157</v>
      </c>
      <c r="CD430">
        <v>1724</v>
      </c>
      <c r="CE430" t="s">
        <v>109</v>
      </c>
      <c r="CF430" s="3">
        <v>45875</v>
      </c>
      <c r="CI430">
        <v>1</v>
      </c>
      <c r="CJ430">
        <v>1</v>
      </c>
      <c r="CK430">
        <v>22</v>
      </c>
      <c r="CL430" t="s">
        <v>90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"080067028870"</f>
        <v>080067028870</v>
      </c>
      <c r="F431" s="3">
        <v>45874</v>
      </c>
      <c r="G431">
        <v>202605</v>
      </c>
      <c r="H431" t="s">
        <v>75</v>
      </c>
      <c r="I431" t="s">
        <v>76</v>
      </c>
      <c r="J431" t="s">
        <v>77</v>
      </c>
      <c r="K431" t="s">
        <v>78</v>
      </c>
      <c r="L431" t="s">
        <v>75</v>
      </c>
      <c r="M431" t="s">
        <v>76</v>
      </c>
      <c r="N431" t="s">
        <v>594</v>
      </c>
      <c r="O431" t="s">
        <v>82</v>
      </c>
      <c r="P431" t="str">
        <f>"4170052744                    "</f>
        <v xml:space="preserve">4170052744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17.649999999999999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1</v>
      </c>
      <c r="BJ431">
        <v>0.2</v>
      </c>
      <c r="BK431">
        <v>1</v>
      </c>
      <c r="BL431">
        <v>55.61</v>
      </c>
      <c r="BM431">
        <v>8.34</v>
      </c>
      <c r="BN431">
        <v>63.95</v>
      </c>
      <c r="BO431">
        <v>63.95</v>
      </c>
      <c r="BQ431" t="s">
        <v>595</v>
      </c>
      <c r="BR431" t="s">
        <v>84</v>
      </c>
      <c r="BS431" s="3">
        <v>45875</v>
      </c>
      <c r="BT431" s="4">
        <v>0.41666666666666669</v>
      </c>
      <c r="BU431" t="s">
        <v>1134</v>
      </c>
      <c r="BV431" t="s">
        <v>86</v>
      </c>
      <c r="BY431">
        <v>1200</v>
      </c>
      <c r="CA431" t="s">
        <v>1035</v>
      </c>
      <c r="CC431" t="s">
        <v>76</v>
      </c>
      <c r="CD431">
        <v>1666</v>
      </c>
      <c r="CE431" t="s">
        <v>109</v>
      </c>
      <c r="CF431" s="3">
        <v>45876</v>
      </c>
      <c r="CI431">
        <v>1</v>
      </c>
      <c r="CJ431">
        <v>1</v>
      </c>
      <c r="CK431">
        <v>22</v>
      </c>
      <c r="CL431" t="s">
        <v>90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"080067028936"</f>
        <v>080067028936</v>
      </c>
      <c r="F432" s="3">
        <v>45874</v>
      </c>
      <c r="G432">
        <v>202605</v>
      </c>
      <c r="H432" t="s">
        <v>75</v>
      </c>
      <c r="I432" t="s">
        <v>76</v>
      </c>
      <c r="J432" t="s">
        <v>77</v>
      </c>
      <c r="K432" t="s">
        <v>78</v>
      </c>
      <c r="L432" t="s">
        <v>1135</v>
      </c>
      <c r="M432" t="s">
        <v>1136</v>
      </c>
      <c r="N432" t="s">
        <v>1137</v>
      </c>
      <c r="O432" t="s">
        <v>82</v>
      </c>
      <c r="P432" t="str">
        <f>"4170052793                    "</f>
        <v xml:space="preserve">4170052793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43.78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</v>
      </c>
      <c r="BJ432">
        <v>0.2</v>
      </c>
      <c r="BK432">
        <v>1</v>
      </c>
      <c r="BL432">
        <v>137.94</v>
      </c>
      <c r="BM432">
        <v>20.69</v>
      </c>
      <c r="BN432">
        <v>158.63</v>
      </c>
      <c r="BO432">
        <v>158.63</v>
      </c>
      <c r="BQ432" t="s">
        <v>1138</v>
      </c>
      <c r="BR432" t="s">
        <v>84</v>
      </c>
      <c r="BS432" s="3">
        <v>45877</v>
      </c>
      <c r="BT432" s="4">
        <v>0.41666666666666669</v>
      </c>
      <c r="BU432" t="s">
        <v>1139</v>
      </c>
      <c r="BV432" t="s">
        <v>86</v>
      </c>
      <c r="BY432">
        <v>1200</v>
      </c>
      <c r="BZ432" t="s">
        <v>1140</v>
      </c>
      <c r="CC432" t="s">
        <v>1136</v>
      </c>
      <c r="CD432">
        <v>3760</v>
      </c>
      <c r="CE432" t="s">
        <v>597</v>
      </c>
      <c r="CF432" s="3">
        <v>45880</v>
      </c>
      <c r="CI432">
        <v>5</v>
      </c>
      <c r="CJ432">
        <v>3</v>
      </c>
      <c r="CK432">
        <v>23</v>
      </c>
      <c r="CL432" t="s">
        <v>90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"080067028968"</f>
        <v>080067028968</v>
      </c>
      <c r="F433" s="3">
        <v>45874</v>
      </c>
      <c r="G433">
        <v>202605</v>
      </c>
      <c r="H433" t="s">
        <v>75</v>
      </c>
      <c r="I433" t="s">
        <v>76</v>
      </c>
      <c r="J433" t="s">
        <v>77</v>
      </c>
      <c r="K433" t="s">
        <v>78</v>
      </c>
      <c r="L433" t="s">
        <v>217</v>
      </c>
      <c r="M433" t="s">
        <v>218</v>
      </c>
      <c r="N433" t="s">
        <v>249</v>
      </c>
      <c r="O433" t="s">
        <v>82</v>
      </c>
      <c r="P433" t="str">
        <f>"4170052921                    "</f>
        <v xml:space="preserve">4170052921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22.6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1</v>
      </c>
      <c r="BJ433">
        <v>0.2</v>
      </c>
      <c r="BK433">
        <v>1</v>
      </c>
      <c r="BL433">
        <v>71.2</v>
      </c>
      <c r="BM433">
        <v>10.68</v>
      </c>
      <c r="BN433">
        <v>81.88</v>
      </c>
      <c r="BO433">
        <v>81.88</v>
      </c>
      <c r="BQ433" t="s">
        <v>250</v>
      </c>
      <c r="BR433" t="s">
        <v>84</v>
      </c>
      <c r="BS433" s="3">
        <v>45875</v>
      </c>
      <c r="BT433" s="4">
        <v>0.77361111111111114</v>
      </c>
      <c r="BU433" t="s">
        <v>787</v>
      </c>
      <c r="BV433" t="s">
        <v>90</v>
      </c>
      <c r="BW433" t="s">
        <v>134</v>
      </c>
      <c r="BX433" t="s">
        <v>135</v>
      </c>
      <c r="BY433">
        <v>1200</v>
      </c>
      <c r="BZ433" t="s">
        <v>330</v>
      </c>
      <c r="CA433" t="s">
        <v>136</v>
      </c>
      <c r="CC433" t="s">
        <v>218</v>
      </c>
      <c r="CD433">
        <v>4052</v>
      </c>
      <c r="CE433" t="s">
        <v>597</v>
      </c>
      <c r="CF433" s="3">
        <v>45875</v>
      </c>
      <c r="CI433">
        <v>1</v>
      </c>
      <c r="CJ433">
        <v>1</v>
      </c>
      <c r="CK433">
        <v>21</v>
      </c>
      <c r="CL433" t="s">
        <v>90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"080067029198"</f>
        <v>080067029198</v>
      </c>
      <c r="F434" s="3">
        <v>45874</v>
      </c>
      <c r="G434">
        <v>202605</v>
      </c>
      <c r="H434" t="s">
        <v>75</v>
      </c>
      <c r="I434" t="s">
        <v>76</v>
      </c>
      <c r="J434" t="s">
        <v>77</v>
      </c>
      <c r="K434" t="s">
        <v>78</v>
      </c>
      <c r="L434" t="s">
        <v>162</v>
      </c>
      <c r="M434" t="s">
        <v>163</v>
      </c>
      <c r="N434" t="s">
        <v>811</v>
      </c>
      <c r="O434" t="s">
        <v>82</v>
      </c>
      <c r="P434" t="str">
        <f>"4170052997                    "</f>
        <v xml:space="preserve">4170052997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22.6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2</v>
      </c>
      <c r="BJ434">
        <v>1.4</v>
      </c>
      <c r="BK434">
        <v>2</v>
      </c>
      <c r="BL434">
        <v>71.2</v>
      </c>
      <c r="BM434">
        <v>10.68</v>
      </c>
      <c r="BN434">
        <v>81.88</v>
      </c>
      <c r="BO434">
        <v>81.88</v>
      </c>
      <c r="BQ434" t="s">
        <v>812</v>
      </c>
      <c r="BR434" t="s">
        <v>84</v>
      </c>
      <c r="BS434" s="3">
        <v>45875</v>
      </c>
      <c r="BT434" s="4">
        <v>0.37777777777777777</v>
      </c>
      <c r="BU434" t="s">
        <v>1141</v>
      </c>
      <c r="BV434" t="s">
        <v>86</v>
      </c>
      <c r="BY434">
        <v>7000</v>
      </c>
      <c r="CA434" t="s">
        <v>814</v>
      </c>
      <c r="CC434" t="s">
        <v>163</v>
      </c>
      <c r="CD434">
        <v>3201</v>
      </c>
      <c r="CE434" t="s">
        <v>147</v>
      </c>
      <c r="CF434" s="3">
        <v>45875</v>
      </c>
      <c r="CI434">
        <v>1</v>
      </c>
      <c r="CJ434">
        <v>1</v>
      </c>
      <c r="CK434">
        <v>21</v>
      </c>
      <c r="CL434" t="s">
        <v>90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"080067029666"</f>
        <v>080067029666</v>
      </c>
      <c r="F435" s="3">
        <v>45874</v>
      </c>
      <c r="G435">
        <v>202605</v>
      </c>
      <c r="H435" t="s">
        <v>75</v>
      </c>
      <c r="I435" t="s">
        <v>76</v>
      </c>
      <c r="J435" t="s">
        <v>77</v>
      </c>
      <c r="K435" t="s">
        <v>78</v>
      </c>
      <c r="L435" t="s">
        <v>1087</v>
      </c>
      <c r="M435" t="s">
        <v>1088</v>
      </c>
      <c r="N435" t="s">
        <v>1089</v>
      </c>
      <c r="O435" t="s">
        <v>82</v>
      </c>
      <c r="P435" t="str">
        <f>"4170052998                    "</f>
        <v xml:space="preserve">4170052998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63.56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3</v>
      </c>
      <c r="BJ435">
        <v>1.4</v>
      </c>
      <c r="BK435">
        <v>3</v>
      </c>
      <c r="BL435">
        <v>200.24</v>
      </c>
      <c r="BM435">
        <v>30.04</v>
      </c>
      <c r="BN435">
        <v>230.28</v>
      </c>
      <c r="BO435">
        <v>230.28</v>
      </c>
      <c r="BQ435" t="s">
        <v>1090</v>
      </c>
      <c r="BR435" t="s">
        <v>84</v>
      </c>
      <c r="BS435" s="3">
        <v>45875</v>
      </c>
      <c r="BT435" s="4">
        <v>0.55972222222222223</v>
      </c>
      <c r="BU435" t="s">
        <v>1091</v>
      </c>
      <c r="BV435" t="s">
        <v>86</v>
      </c>
      <c r="BY435">
        <v>7000</v>
      </c>
      <c r="CA435" t="s">
        <v>1092</v>
      </c>
      <c r="CC435" t="s">
        <v>1088</v>
      </c>
      <c r="CD435">
        <v>6500</v>
      </c>
      <c r="CE435" t="s">
        <v>147</v>
      </c>
      <c r="CF435" s="3">
        <v>45875</v>
      </c>
      <c r="CI435">
        <v>1</v>
      </c>
      <c r="CJ435">
        <v>1</v>
      </c>
      <c r="CK435">
        <v>23</v>
      </c>
      <c r="CL435" t="s">
        <v>90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"080067029757"</f>
        <v>080067029757</v>
      </c>
      <c r="F436" s="3">
        <v>45874</v>
      </c>
      <c r="G436">
        <v>202605</v>
      </c>
      <c r="H436" t="s">
        <v>75</v>
      </c>
      <c r="I436" t="s">
        <v>76</v>
      </c>
      <c r="J436" t="s">
        <v>77</v>
      </c>
      <c r="K436" t="s">
        <v>78</v>
      </c>
      <c r="L436" t="s">
        <v>1142</v>
      </c>
      <c r="M436" t="s">
        <v>1143</v>
      </c>
      <c r="N436" t="s">
        <v>1144</v>
      </c>
      <c r="O436" t="s">
        <v>82</v>
      </c>
      <c r="P436" t="str">
        <f>"4170052947                    "</f>
        <v xml:space="preserve">4170052947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43.78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1</v>
      </c>
      <c r="BJ436">
        <v>1.9</v>
      </c>
      <c r="BK436">
        <v>2</v>
      </c>
      <c r="BL436">
        <v>137.94</v>
      </c>
      <c r="BM436">
        <v>20.69</v>
      </c>
      <c r="BN436">
        <v>158.63</v>
      </c>
      <c r="BO436">
        <v>158.63</v>
      </c>
      <c r="BQ436" t="s">
        <v>1145</v>
      </c>
      <c r="BR436" t="s">
        <v>84</v>
      </c>
      <c r="BS436" s="3">
        <v>45876</v>
      </c>
      <c r="BT436" s="4">
        <v>0.46111111111111114</v>
      </c>
      <c r="BU436" t="s">
        <v>1146</v>
      </c>
      <c r="BV436" t="s">
        <v>86</v>
      </c>
      <c r="BY436">
        <v>9600</v>
      </c>
      <c r="CA436" t="s">
        <v>1147</v>
      </c>
      <c r="CC436" t="s">
        <v>1143</v>
      </c>
      <c r="CD436">
        <v>6300</v>
      </c>
      <c r="CE436" t="s">
        <v>147</v>
      </c>
      <c r="CF436" s="3">
        <v>45876</v>
      </c>
      <c r="CI436">
        <v>2</v>
      </c>
      <c r="CJ436">
        <v>2</v>
      </c>
      <c r="CK436">
        <v>23</v>
      </c>
      <c r="CL436" t="s">
        <v>90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"080067029820"</f>
        <v>080067029820</v>
      </c>
      <c r="F437" s="3">
        <v>45874</v>
      </c>
      <c r="G437">
        <v>202605</v>
      </c>
      <c r="H437" t="s">
        <v>75</v>
      </c>
      <c r="I437" t="s">
        <v>76</v>
      </c>
      <c r="J437" t="s">
        <v>77</v>
      </c>
      <c r="K437" t="s">
        <v>78</v>
      </c>
      <c r="L437" t="s">
        <v>137</v>
      </c>
      <c r="M437" t="s">
        <v>138</v>
      </c>
      <c r="N437" t="s">
        <v>1148</v>
      </c>
      <c r="O437" t="s">
        <v>82</v>
      </c>
      <c r="P437" t="str">
        <f>"4170053006                    "</f>
        <v xml:space="preserve">4170053006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22.6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1</v>
      </c>
      <c r="BJ437">
        <v>0.2</v>
      </c>
      <c r="BK437">
        <v>1</v>
      </c>
      <c r="BL437">
        <v>71.2</v>
      </c>
      <c r="BM437">
        <v>10.68</v>
      </c>
      <c r="BN437">
        <v>81.88</v>
      </c>
      <c r="BO437">
        <v>81.88</v>
      </c>
      <c r="BQ437" t="s">
        <v>1149</v>
      </c>
      <c r="BR437" t="s">
        <v>84</v>
      </c>
      <c r="BS437" s="3">
        <v>45875</v>
      </c>
      <c r="BT437" s="4">
        <v>0.45624999999999999</v>
      </c>
      <c r="BU437" t="s">
        <v>1150</v>
      </c>
      <c r="BV437" t="s">
        <v>90</v>
      </c>
      <c r="BW437" t="s">
        <v>134</v>
      </c>
      <c r="BX437" t="s">
        <v>659</v>
      </c>
      <c r="BY437">
        <v>1200</v>
      </c>
      <c r="CA437" t="s">
        <v>953</v>
      </c>
      <c r="CC437" t="s">
        <v>138</v>
      </c>
      <c r="CD437">
        <v>3600</v>
      </c>
      <c r="CE437" t="s">
        <v>109</v>
      </c>
      <c r="CF437" s="3">
        <v>45876</v>
      </c>
      <c r="CI437">
        <v>1</v>
      </c>
      <c r="CJ437">
        <v>1</v>
      </c>
      <c r="CK437">
        <v>21</v>
      </c>
      <c r="CL437" t="s">
        <v>90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"080067029842"</f>
        <v>080067029842</v>
      </c>
      <c r="F438" s="3">
        <v>45874</v>
      </c>
      <c r="G438">
        <v>202605</v>
      </c>
      <c r="H438" t="s">
        <v>75</v>
      </c>
      <c r="I438" t="s">
        <v>76</v>
      </c>
      <c r="J438" t="s">
        <v>77</v>
      </c>
      <c r="K438" t="s">
        <v>78</v>
      </c>
      <c r="L438" t="s">
        <v>123</v>
      </c>
      <c r="M438" t="s">
        <v>124</v>
      </c>
      <c r="N438" t="s">
        <v>1151</v>
      </c>
      <c r="O438" t="s">
        <v>82</v>
      </c>
      <c r="P438" t="str">
        <f>"4170052862                    "</f>
        <v xml:space="preserve">4170052862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39.53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3</v>
      </c>
      <c r="BJ438">
        <v>3.4</v>
      </c>
      <c r="BK438">
        <v>3.5</v>
      </c>
      <c r="BL438">
        <v>124.55</v>
      </c>
      <c r="BM438">
        <v>18.68</v>
      </c>
      <c r="BN438">
        <v>143.22999999999999</v>
      </c>
      <c r="BO438">
        <v>143.22999999999999</v>
      </c>
      <c r="BQ438" t="s">
        <v>1152</v>
      </c>
      <c r="BR438" t="s">
        <v>84</v>
      </c>
      <c r="BS438" s="3">
        <v>45875</v>
      </c>
      <c r="BT438" s="4">
        <v>0.35416666666666669</v>
      </c>
      <c r="BU438" t="s">
        <v>1153</v>
      </c>
      <c r="BV438" t="s">
        <v>86</v>
      </c>
      <c r="BY438">
        <v>16965</v>
      </c>
      <c r="CA438" t="s">
        <v>128</v>
      </c>
      <c r="CC438" t="s">
        <v>124</v>
      </c>
      <c r="CD438">
        <v>7530</v>
      </c>
      <c r="CE438" t="s">
        <v>147</v>
      </c>
      <c r="CF438" s="3">
        <v>45876</v>
      </c>
      <c r="CI438">
        <v>1</v>
      </c>
      <c r="CJ438">
        <v>1</v>
      </c>
      <c r="CK438">
        <v>21</v>
      </c>
      <c r="CL438" t="s">
        <v>90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"080067029911"</f>
        <v>080067029911</v>
      </c>
      <c r="F439" s="3">
        <v>45874</v>
      </c>
      <c r="G439">
        <v>202605</v>
      </c>
      <c r="H439" t="s">
        <v>75</v>
      </c>
      <c r="I439" t="s">
        <v>76</v>
      </c>
      <c r="J439" t="s">
        <v>77</v>
      </c>
      <c r="K439" t="s">
        <v>78</v>
      </c>
      <c r="L439" t="s">
        <v>234</v>
      </c>
      <c r="M439" t="s">
        <v>235</v>
      </c>
      <c r="N439" t="s">
        <v>236</v>
      </c>
      <c r="O439" t="s">
        <v>82</v>
      </c>
      <c r="P439" t="str">
        <f>"4170052781                    "</f>
        <v xml:space="preserve">4170052781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22.6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</v>
      </c>
      <c r="BJ439">
        <v>0.2</v>
      </c>
      <c r="BK439">
        <v>1</v>
      </c>
      <c r="BL439">
        <v>71.2</v>
      </c>
      <c r="BM439">
        <v>10.68</v>
      </c>
      <c r="BN439">
        <v>81.88</v>
      </c>
      <c r="BO439">
        <v>81.88</v>
      </c>
      <c r="BQ439" t="s">
        <v>237</v>
      </c>
      <c r="BR439" t="s">
        <v>84</v>
      </c>
      <c r="BS439" s="3">
        <v>45875</v>
      </c>
      <c r="BT439" s="4">
        <v>0.40208333333333335</v>
      </c>
      <c r="BU439" t="s">
        <v>238</v>
      </c>
      <c r="BV439" t="s">
        <v>86</v>
      </c>
      <c r="BY439">
        <v>1200</v>
      </c>
      <c r="CA439" t="s">
        <v>239</v>
      </c>
      <c r="CC439" t="s">
        <v>235</v>
      </c>
      <c r="CD439" s="5" t="s">
        <v>240</v>
      </c>
      <c r="CE439" t="s">
        <v>109</v>
      </c>
      <c r="CF439" s="3">
        <v>45875</v>
      </c>
      <c r="CI439">
        <v>1</v>
      </c>
      <c r="CJ439">
        <v>1</v>
      </c>
      <c r="CK439">
        <v>21</v>
      </c>
      <c r="CL439" t="s">
        <v>90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"080067029930"</f>
        <v>080067029930</v>
      </c>
      <c r="F440" s="3">
        <v>45874</v>
      </c>
      <c r="G440">
        <v>202605</v>
      </c>
      <c r="H440" t="s">
        <v>75</v>
      </c>
      <c r="I440" t="s">
        <v>76</v>
      </c>
      <c r="J440" t="s">
        <v>77</v>
      </c>
      <c r="K440" t="s">
        <v>78</v>
      </c>
      <c r="L440" t="s">
        <v>223</v>
      </c>
      <c r="M440" t="s">
        <v>224</v>
      </c>
      <c r="N440" t="s">
        <v>939</v>
      </c>
      <c r="O440" t="s">
        <v>82</v>
      </c>
      <c r="P440" t="str">
        <f>"4170053041                    "</f>
        <v xml:space="preserve">4170053041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22.6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1</v>
      </c>
      <c r="BJ440">
        <v>0.6</v>
      </c>
      <c r="BK440">
        <v>1</v>
      </c>
      <c r="BL440">
        <v>71.2</v>
      </c>
      <c r="BM440">
        <v>10.68</v>
      </c>
      <c r="BN440">
        <v>81.88</v>
      </c>
      <c r="BO440">
        <v>81.88</v>
      </c>
      <c r="BQ440" t="s">
        <v>940</v>
      </c>
      <c r="BR440" t="s">
        <v>84</v>
      </c>
      <c r="BS440" s="3">
        <v>45875</v>
      </c>
      <c r="BT440" s="4">
        <v>0.47013888888888888</v>
      </c>
      <c r="BU440" t="s">
        <v>295</v>
      </c>
      <c r="BV440" t="s">
        <v>90</v>
      </c>
      <c r="BY440">
        <v>3192</v>
      </c>
      <c r="CA440" t="s">
        <v>228</v>
      </c>
      <c r="CC440" t="s">
        <v>224</v>
      </c>
      <c r="CD440">
        <v>5201</v>
      </c>
      <c r="CE440" t="s">
        <v>147</v>
      </c>
      <c r="CF440" s="3">
        <v>45876</v>
      </c>
      <c r="CI440">
        <v>1</v>
      </c>
      <c r="CJ440">
        <v>1</v>
      </c>
      <c r="CK440">
        <v>21</v>
      </c>
      <c r="CL440" t="s">
        <v>90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"080067029986"</f>
        <v>080067029986</v>
      </c>
      <c r="F441" s="3">
        <v>45874</v>
      </c>
      <c r="G441">
        <v>202605</v>
      </c>
      <c r="H441" t="s">
        <v>75</v>
      </c>
      <c r="I441" t="s">
        <v>76</v>
      </c>
      <c r="J441" t="s">
        <v>77</v>
      </c>
      <c r="K441" t="s">
        <v>78</v>
      </c>
      <c r="L441" t="s">
        <v>234</v>
      </c>
      <c r="M441" t="s">
        <v>235</v>
      </c>
      <c r="N441" t="s">
        <v>236</v>
      </c>
      <c r="O441" t="s">
        <v>82</v>
      </c>
      <c r="P441" t="str">
        <f>"4170052952                    "</f>
        <v xml:space="preserve">4170052952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22.6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1</v>
      </c>
      <c r="BJ441">
        <v>0.2</v>
      </c>
      <c r="BK441">
        <v>1</v>
      </c>
      <c r="BL441">
        <v>71.2</v>
      </c>
      <c r="BM441">
        <v>10.68</v>
      </c>
      <c r="BN441">
        <v>81.88</v>
      </c>
      <c r="BO441">
        <v>81.88</v>
      </c>
      <c r="BQ441" t="s">
        <v>237</v>
      </c>
      <c r="BR441" t="s">
        <v>84</v>
      </c>
      <c r="BS441" s="3">
        <v>45875</v>
      </c>
      <c r="BT441" s="4">
        <v>0.40138888888888891</v>
      </c>
      <c r="BU441" t="s">
        <v>238</v>
      </c>
      <c r="BV441" t="s">
        <v>86</v>
      </c>
      <c r="BY441">
        <v>1200</v>
      </c>
      <c r="CA441" t="s">
        <v>239</v>
      </c>
      <c r="CC441" t="s">
        <v>235</v>
      </c>
      <c r="CD441" s="5" t="s">
        <v>240</v>
      </c>
      <c r="CE441" t="s">
        <v>109</v>
      </c>
      <c r="CF441" s="3">
        <v>45875</v>
      </c>
      <c r="CI441">
        <v>1</v>
      </c>
      <c r="CJ441">
        <v>1</v>
      </c>
      <c r="CK441">
        <v>21</v>
      </c>
      <c r="CL441" t="s">
        <v>90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"080067030027"</f>
        <v>080067030027</v>
      </c>
      <c r="F442" s="3">
        <v>45874</v>
      </c>
      <c r="G442">
        <v>202605</v>
      </c>
      <c r="H442" t="s">
        <v>75</v>
      </c>
      <c r="I442" t="s">
        <v>76</v>
      </c>
      <c r="J442" t="s">
        <v>77</v>
      </c>
      <c r="K442" t="s">
        <v>78</v>
      </c>
      <c r="L442" t="s">
        <v>79</v>
      </c>
      <c r="M442" t="s">
        <v>80</v>
      </c>
      <c r="N442" t="s">
        <v>1154</v>
      </c>
      <c r="O442" t="s">
        <v>82</v>
      </c>
      <c r="P442" t="str">
        <f>"4170052777                    "</f>
        <v xml:space="preserve">4170052777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17.649999999999999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</v>
      </c>
      <c r="BJ442">
        <v>0.2</v>
      </c>
      <c r="BK442">
        <v>1</v>
      </c>
      <c r="BL442">
        <v>55.61</v>
      </c>
      <c r="BM442">
        <v>8.34</v>
      </c>
      <c r="BN442">
        <v>63.95</v>
      </c>
      <c r="BO442">
        <v>63.95</v>
      </c>
      <c r="BQ442" t="s">
        <v>1155</v>
      </c>
      <c r="BR442" t="s">
        <v>84</v>
      </c>
      <c r="BS442" s="3">
        <v>45875</v>
      </c>
      <c r="BT442" s="4">
        <v>0.4152777777777778</v>
      </c>
      <c r="BU442" t="s">
        <v>1156</v>
      </c>
      <c r="BV442" t="s">
        <v>86</v>
      </c>
      <c r="BY442">
        <v>1200</v>
      </c>
      <c r="CA442" t="s">
        <v>188</v>
      </c>
      <c r="CC442" t="s">
        <v>80</v>
      </c>
      <c r="CD442">
        <v>1401</v>
      </c>
      <c r="CE442" t="s">
        <v>109</v>
      </c>
      <c r="CF442" s="3">
        <v>45875</v>
      </c>
      <c r="CI442">
        <v>1</v>
      </c>
      <c r="CJ442">
        <v>1</v>
      </c>
      <c r="CK442">
        <v>22</v>
      </c>
      <c r="CL442" t="s">
        <v>90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"080067030045"</f>
        <v>080067030045</v>
      </c>
      <c r="F443" s="3">
        <v>45874</v>
      </c>
      <c r="G443">
        <v>202605</v>
      </c>
      <c r="H443" t="s">
        <v>75</v>
      </c>
      <c r="I443" t="s">
        <v>76</v>
      </c>
      <c r="J443" t="s">
        <v>77</v>
      </c>
      <c r="K443" t="s">
        <v>78</v>
      </c>
      <c r="L443" t="s">
        <v>1157</v>
      </c>
      <c r="M443" t="s">
        <v>1158</v>
      </c>
      <c r="N443" t="s">
        <v>1159</v>
      </c>
      <c r="O443" t="s">
        <v>95</v>
      </c>
      <c r="P443" t="str">
        <f>"4170052890                    "</f>
        <v xml:space="preserve">4170052890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105.71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3</v>
      </c>
      <c r="BI443">
        <v>12</v>
      </c>
      <c r="BJ443">
        <v>28.8</v>
      </c>
      <c r="BK443">
        <v>29</v>
      </c>
      <c r="BL443">
        <v>338.91</v>
      </c>
      <c r="BM443">
        <v>50.84</v>
      </c>
      <c r="BN443">
        <v>389.75</v>
      </c>
      <c r="BO443">
        <v>389.75</v>
      </c>
      <c r="BQ443" t="s">
        <v>1160</v>
      </c>
      <c r="BR443" t="s">
        <v>84</v>
      </c>
      <c r="BS443" s="3">
        <v>45875</v>
      </c>
      <c r="BT443" s="4">
        <v>0.54027777777777775</v>
      </c>
      <c r="BU443" t="s">
        <v>1161</v>
      </c>
      <c r="BV443" t="s">
        <v>86</v>
      </c>
      <c r="BY443">
        <v>48000</v>
      </c>
      <c r="CA443" t="s">
        <v>1162</v>
      </c>
      <c r="CC443" t="s">
        <v>1158</v>
      </c>
      <c r="CD443">
        <v>2302</v>
      </c>
      <c r="CE443" t="s">
        <v>1095</v>
      </c>
      <c r="CF443" s="3">
        <v>45875</v>
      </c>
      <c r="CI443">
        <v>1</v>
      </c>
      <c r="CJ443">
        <v>1</v>
      </c>
      <c r="CK443">
        <v>43</v>
      </c>
      <c r="CL443" t="s">
        <v>90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"080067030095"</f>
        <v>080067030095</v>
      </c>
      <c r="F444" s="3">
        <v>45874</v>
      </c>
      <c r="G444">
        <v>202605</v>
      </c>
      <c r="H444" t="s">
        <v>75</v>
      </c>
      <c r="I444" t="s">
        <v>76</v>
      </c>
      <c r="J444" t="s">
        <v>77</v>
      </c>
      <c r="K444" t="s">
        <v>78</v>
      </c>
      <c r="L444" t="s">
        <v>123</v>
      </c>
      <c r="M444" t="s">
        <v>124</v>
      </c>
      <c r="N444" t="s">
        <v>168</v>
      </c>
      <c r="O444" t="s">
        <v>82</v>
      </c>
      <c r="P444" t="str">
        <f>"4170052958                    "</f>
        <v xml:space="preserve">4170052958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22.6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</v>
      </c>
      <c r="BJ444">
        <v>0.2</v>
      </c>
      <c r="BK444">
        <v>1</v>
      </c>
      <c r="BL444">
        <v>71.2</v>
      </c>
      <c r="BM444">
        <v>10.68</v>
      </c>
      <c r="BN444">
        <v>81.88</v>
      </c>
      <c r="BO444">
        <v>81.88</v>
      </c>
      <c r="BQ444" t="s">
        <v>169</v>
      </c>
      <c r="BR444" t="s">
        <v>84</v>
      </c>
      <c r="BS444" s="3">
        <v>45875</v>
      </c>
      <c r="BT444" s="4">
        <v>0.43333333333333335</v>
      </c>
      <c r="BU444" t="s">
        <v>679</v>
      </c>
      <c r="BV444" t="s">
        <v>86</v>
      </c>
      <c r="BY444">
        <v>1200</v>
      </c>
      <c r="CA444" t="s">
        <v>171</v>
      </c>
      <c r="CC444" t="s">
        <v>124</v>
      </c>
      <c r="CD444">
        <v>7535</v>
      </c>
      <c r="CE444" t="s">
        <v>109</v>
      </c>
      <c r="CF444" s="3">
        <v>45876</v>
      </c>
      <c r="CI444">
        <v>1</v>
      </c>
      <c r="CJ444">
        <v>1</v>
      </c>
      <c r="CK444">
        <v>21</v>
      </c>
      <c r="CL444" t="s">
        <v>90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"080067030117"</f>
        <v>080067030117</v>
      </c>
      <c r="F445" s="3">
        <v>45874</v>
      </c>
      <c r="G445">
        <v>202605</v>
      </c>
      <c r="H445" t="s">
        <v>75</v>
      </c>
      <c r="I445" t="s">
        <v>76</v>
      </c>
      <c r="J445" t="s">
        <v>77</v>
      </c>
      <c r="K445" t="s">
        <v>78</v>
      </c>
      <c r="L445" t="s">
        <v>278</v>
      </c>
      <c r="M445" t="s">
        <v>279</v>
      </c>
      <c r="N445" t="s">
        <v>866</v>
      </c>
      <c r="O445" t="s">
        <v>95</v>
      </c>
      <c r="P445" t="str">
        <f>"4170052758                    "</f>
        <v xml:space="preserve">4170052758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45.5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16</v>
      </c>
      <c r="BJ445">
        <v>8.9</v>
      </c>
      <c r="BK445">
        <v>16</v>
      </c>
      <c r="BL445">
        <v>149.22999999999999</v>
      </c>
      <c r="BM445">
        <v>22.38</v>
      </c>
      <c r="BN445">
        <v>171.61</v>
      </c>
      <c r="BO445">
        <v>171.61</v>
      </c>
      <c r="BQ445" t="s">
        <v>867</v>
      </c>
      <c r="BR445" t="s">
        <v>84</v>
      </c>
      <c r="BS445" s="3">
        <v>45875</v>
      </c>
      <c r="BT445" s="4">
        <v>0.45347222222222222</v>
      </c>
      <c r="BU445" t="s">
        <v>1163</v>
      </c>
      <c r="BV445" t="s">
        <v>86</v>
      </c>
      <c r="BY445">
        <v>44640</v>
      </c>
      <c r="CA445" t="s">
        <v>532</v>
      </c>
      <c r="CC445" t="s">
        <v>279</v>
      </c>
      <c r="CD445" s="5" t="s">
        <v>533</v>
      </c>
      <c r="CE445" t="s">
        <v>1164</v>
      </c>
      <c r="CF445" s="3">
        <v>45875</v>
      </c>
      <c r="CI445">
        <v>1</v>
      </c>
      <c r="CJ445">
        <v>1</v>
      </c>
      <c r="CK445">
        <v>41</v>
      </c>
      <c r="CL445" t="s">
        <v>90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"080067030174"</f>
        <v>080067030174</v>
      </c>
      <c r="F446" s="3">
        <v>45874</v>
      </c>
      <c r="G446">
        <v>202605</v>
      </c>
      <c r="H446" t="s">
        <v>75</v>
      </c>
      <c r="I446" t="s">
        <v>76</v>
      </c>
      <c r="J446" t="s">
        <v>77</v>
      </c>
      <c r="K446" t="s">
        <v>78</v>
      </c>
      <c r="L446" t="s">
        <v>385</v>
      </c>
      <c r="M446" t="s">
        <v>386</v>
      </c>
      <c r="N446" t="s">
        <v>635</v>
      </c>
      <c r="O446" t="s">
        <v>82</v>
      </c>
      <c r="P446" t="str">
        <f>"4170052920                    "</f>
        <v xml:space="preserve">4170052920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17.649999999999999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1</v>
      </c>
      <c r="BJ446">
        <v>0.2</v>
      </c>
      <c r="BK446">
        <v>1</v>
      </c>
      <c r="BL446">
        <v>55.61</v>
      </c>
      <c r="BM446">
        <v>8.34</v>
      </c>
      <c r="BN446">
        <v>63.95</v>
      </c>
      <c r="BO446">
        <v>63.95</v>
      </c>
      <c r="BQ446" t="s">
        <v>636</v>
      </c>
      <c r="BR446" t="s">
        <v>84</v>
      </c>
      <c r="BS446" s="3">
        <v>45875</v>
      </c>
      <c r="BT446" s="4">
        <v>0.41666666666666669</v>
      </c>
      <c r="BU446" t="s">
        <v>1165</v>
      </c>
      <c r="BV446" t="s">
        <v>86</v>
      </c>
      <c r="BY446">
        <v>1200</v>
      </c>
      <c r="CC446" t="s">
        <v>386</v>
      </c>
      <c r="CD446">
        <v>1559</v>
      </c>
      <c r="CE446" t="s">
        <v>109</v>
      </c>
      <c r="CF446" s="3">
        <v>45875</v>
      </c>
      <c r="CI446">
        <v>1</v>
      </c>
      <c r="CJ446">
        <v>1</v>
      </c>
      <c r="CK446">
        <v>22</v>
      </c>
      <c r="CL446" t="s">
        <v>90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"080067030230"</f>
        <v>080067030230</v>
      </c>
      <c r="F447" s="3">
        <v>45874</v>
      </c>
      <c r="G447">
        <v>202605</v>
      </c>
      <c r="H447" t="s">
        <v>75</v>
      </c>
      <c r="I447" t="s">
        <v>76</v>
      </c>
      <c r="J447" t="s">
        <v>77</v>
      </c>
      <c r="K447" t="s">
        <v>78</v>
      </c>
      <c r="L447" t="s">
        <v>520</v>
      </c>
      <c r="M447" t="s">
        <v>521</v>
      </c>
      <c r="N447" t="s">
        <v>522</v>
      </c>
      <c r="O447" t="s">
        <v>82</v>
      </c>
      <c r="P447" t="str">
        <f>"4170052984                    "</f>
        <v xml:space="preserve">4170052984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43.78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1</v>
      </c>
      <c r="BJ447">
        <v>0.2</v>
      </c>
      <c r="BK447">
        <v>1</v>
      </c>
      <c r="BL447">
        <v>137.94</v>
      </c>
      <c r="BM447">
        <v>20.69</v>
      </c>
      <c r="BN447">
        <v>158.63</v>
      </c>
      <c r="BO447">
        <v>158.63</v>
      </c>
      <c r="BQ447" t="s">
        <v>523</v>
      </c>
      <c r="BR447" t="s">
        <v>84</v>
      </c>
      <c r="BS447" s="3">
        <v>45876</v>
      </c>
      <c r="BT447" s="4">
        <v>0.4375</v>
      </c>
      <c r="BU447" t="s">
        <v>1166</v>
      </c>
      <c r="BV447" t="s">
        <v>90</v>
      </c>
      <c r="BW447" t="s">
        <v>1167</v>
      </c>
      <c r="BX447" t="s">
        <v>1168</v>
      </c>
      <c r="BY447">
        <v>1200</v>
      </c>
      <c r="CC447" t="s">
        <v>521</v>
      </c>
      <c r="CD447">
        <v>1871</v>
      </c>
      <c r="CE447" t="s">
        <v>109</v>
      </c>
      <c r="CF447" s="3">
        <v>45876</v>
      </c>
      <c r="CI447">
        <v>1</v>
      </c>
      <c r="CJ447">
        <v>2</v>
      </c>
      <c r="CK447">
        <v>23</v>
      </c>
      <c r="CL447" t="s">
        <v>90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"080067030235"</f>
        <v>080067030235</v>
      </c>
      <c r="F448" s="3">
        <v>45874</v>
      </c>
      <c r="G448">
        <v>202605</v>
      </c>
      <c r="H448" t="s">
        <v>75</v>
      </c>
      <c r="I448" t="s">
        <v>76</v>
      </c>
      <c r="J448" t="s">
        <v>77</v>
      </c>
      <c r="K448" t="s">
        <v>78</v>
      </c>
      <c r="L448" t="s">
        <v>291</v>
      </c>
      <c r="M448" t="s">
        <v>292</v>
      </c>
      <c r="N448" t="s">
        <v>1169</v>
      </c>
      <c r="O448" t="s">
        <v>113</v>
      </c>
      <c r="P448" t="str">
        <f>"4170052886                    "</f>
        <v xml:space="preserve">4170052886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17.66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4</v>
      </c>
      <c r="BJ448">
        <v>1.8</v>
      </c>
      <c r="BK448">
        <v>4</v>
      </c>
      <c r="BL448">
        <v>55.63</v>
      </c>
      <c r="BM448">
        <v>8.34</v>
      </c>
      <c r="BN448">
        <v>63.97</v>
      </c>
      <c r="BO448">
        <v>63.97</v>
      </c>
      <c r="BQ448" t="s">
        <v>1170</v>
      </c>
      <c r="BR448" t="s">
        <v>84</v>
      </c>
      <c r="BS448" s="3">
        <v>45875</v>
      </c>
      <c r="BT448" s="4">
        <v>0.4375</v>
      </c>
      <c r="BU448" t="s">
        <v>1171</v>
      </c>
      <c r="BV448" t="s">
        <v>86</v>
      </c>
      <c r="BY448">
        <v>8928</v>
      </c>
      <c r="CA448" t="s">
        <v>296</v>
      </c>
      <c r="CC448" t="s">
        <v>292</v>
      </c>
      <c r="CD448">
        <v>1451</v>
      </c>
      <c r="CE448" t="s">
        <v>117</v>
      </c>
      <c r="CF448" s="3">
        <v>45875</v>
      </c>
      <c r="CI448">
        <v>1</v>
      </c>
      <c r="CJ448">
        <v>1</v>
      </c>
      <c r="CK448">
        <v>32</v>
      </c>
      <c r="CL448" t="s">
        <v>90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"080067030284"</f>
        <v>080067030284</v>
      </c>
      <c r="F449" s="3">
        <v>45874</v>
      </c>
      <c r="G449">
        <v>202605</v>
      </c>
      <c r="H449" t="s">
        <v>75</v>
      </c>
      <c r="I449" t="s">
        <v>76</v>
      </c>
      <c r="J449" t="s">
        <v>77</v>
      </c>
      <c r="K449" t="s">
        <v>78</v>
      </c>
      <c r="L449" t="s">
        <v>79</v>
      </c>
      <c r="M449" t="s">
        <v>80</v>
      </c>
      <c r="N449" t="s">
        <v>635</v>
      </c>
      <c r="O449" t="s">
        <v>82</v>
      </c>
      <c r="P449" t="str">
        <f>"4170052926                    "</f>
        <v xml:space="preserve">4170052926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17.649999999999999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</v>
      </c>
      <c r="BJ449">
        <v>0.2</v>
      </c>
      <c r="BK449">
        <v>1</v>
      </c>
      <c r="BL449">
        <v>55.61</v>
      </c>
      <c r="BM449">
        <v>8.34</v>
      </c>
      <c r="BN449">
        <v>63.95</v>
      </c>
      <c r="BO449">
        <v>63.95</v>
      </c>
      <c r="BQ449" t="s">
        <v>636</v>
      </c>
      <c r="BR449" t="s">
        <v>84</v>
      </c>
      <c r="BS449" s="3">
        <v>45882</v>
      </c>
      <c r="BT449" s="4">
        <v>0.4597222222222222</v>
      </c>
      <c r="BU449" t="s">
        <v>1106</v>
      </c>
      <c r="BV449" t="s">
        <v>90</v>
      </c>
      <c r="BY449">
        <v>1200</v>
      </c>
      <c r="CA449" t="s">
        <v>1107</v>
      </c>
      <c r="CC449" t="s">
        <v>80</v>
      </c>
      <c r="CD449">
        <v>1428</v>
      </c>
      <c r="CE449" t="s">
        <v>109</v>
      </c>
      <c r="CI449">
        <v>1</v>
      </c>
      <c r="CJ449">
        <v>6</v>
      </c>
      <c r="CK449">
        <v>22</v>
      </c>
      <c r="CL449" t="s">
        <v>90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"080067030313"</f>
        <v>080067030313</v>
      </c>
      <c r="F450" s="3">
        <v>45874</v>
      </c>
      <c r="G450">
        <v>202605</v>
      </c>
      <c r="H450" t="s">
        <v>75</v>
      </c>
      <c r="I450" t="s">
        <v>76</v>
      </c>
      <c r="J450" t="s">
        <v>77</v>
      </c>
      <c r="K450" t="s">
        <v>78</v>
      </c>
      <c r="L450" t="s">
        <v>75</v>
      </c>
      <c r="M450" t="s">
        <v>76</v>
      </c>
      <c r="N450" t="s">
        <v>1020</v>
      </c>
      <c r="O450" t="s">
        <v>82</v>
      </c>
      <c r="P450" t="str">
        <f>"4170052832                    "</f>
        <v xml:space="preserve">4170052832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17.649999999999999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2</v>
      </c>
      <c r="BJ450">
        <v>0.6</v>
      </c>
      <c r="BK450">
        <v>2</v>
      </c>
      <c r="BL450">
        <v>55.61</v>
      </c>
      <c r="BM450">
        <v>8.34</v>
      </c>
      <c r="BN450">
        <v>63.95</v>
      </c>
      <c r="BO450">
        <v>63.95</v>
      </c>
      <c r="BQ450" t="s">
        <v>1021</v>
      </c>
      <c r="BR450" t="s">
        <v>84</v>
      </c>
      <c r="BS450" s="3">
        <v>45875</v>
      </c>
      <c r="BT450" s="4">
        <v>0.4375</v>
      </c>
      <c r="BU450" t="s">
        <v>1118</v>
      </c>
      <c r="BV450" t="s">
        <v>86</v>
      </c>
      <c r="BY450">
        <v>3192</v>
      </c>
      <c r="CA450" t="s">
        <v>146</v>
      </c>
      <c r="CC450" t="s">
        <v>76</v>
      </c>
      <c r="CD450">
        <v>1645</v>
      </c>
      <c r="CE450" t="s">
        <v>147</v>
      </c>
      <c r="CF450" s="3">
        <v>45876</v>
      </c>
      <c r="CI450">
        <v>1</v>
      </c>
      <c r="CJ450">
        <v>1</v>
      </c>
      <c r="CK450">
        <v>22</v>
      </c>
      <c r="CL450" t="s">
        <v>90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"080067030365"</f>
        <v>080067030365</v>
      </c>
      <c r="F451" s="3">
        <v>45874</v>
      </c>
      <c r="G451">
        <v>202605</v>
      </c>
      <c r="H451" t="s">
        <v>75</v>
      </c>
      <c r="I451" t="s">
        <v>76</v>
      </c>
      <c r="J451" t="s">
        <v>77</v>
      </c>
      <c r="K451" t="s">
        <v>78</v>
      </c>
      <c r="L451" t="s">
        <v>162</v>
      </c>
      <c r="M451" t="s">
        <v>163</v>
      </c>
      <c r="N451" t="s">
        <v>1064</v>
      </c>
      <c r="O451" t="s">
        <v>82</v>
      </c>
      <c r="P451" t="str">
        <f>"4170052868                    "</f>
        <v xml:space="preserve">4170052868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22.6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1</v>
      </c>
      <c r="BJ451">
        <v>0.2</v>
      </c>
      <c r="BK451">
        <v>1</v>
      </c>
      <c r="BL451">
        <v>71.2</v>
      </c>
      <c r="BM451">
        <v>10.68</v>
      </c>
      <c r="BN451">
        <v>81.88</v>
      </c>
      <c r="BO451">
        <v>81.88</v>
      </c>
      <c r="BQ451" t="s">
        <v>1065</v>
      </c>
      <c r="BR451" t="s">
        <v>84</v>
      </c>
      <c r="BS451" s="3">
        <v>45875</v>
      </c>
      <c r="BT451" s="4">
        <v>0.41666666666666669</v>
      </c>
      <c r="BU451" t="s">
        <v>1066</v>
      </c>
      <c r="BV451" t="s">
        <v>86</v>
      </c>
      <c r="BY451">
        <v>1200</v>
      </c>
      <c r="CA451" t="s">
        <v>919</v>
      </c>
      <c r="CC451" t="s">
        <v>163</v>
      </c>
      <c r="CD451">
        <v>3200</v>
      </c>
      <c r="CE451" t="s">
        <v>109</v>
      </c>
      <c r="CF451" s="3">
        <v>45876</v>
      </c>
      <c r="CI451">
        <v>1</v>
      </c>
      <c r="CJ451">
        <v>1</v>
      </c>
      <c r="CK451">
        <v>21</v>
      </c>
      <c r="CL451" t="s">
        <v>90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"080067030423"</f>
        <v>080067030423</v>
      </c>
      <c r="F452" s="3">
        <v>45874</v>
      </c>
      <c r="G452">
        <v>202605</v>
      </c>
      <c r="H452" t="s">
        <v>75</v>
      </c>
      <c r="I452" t="s">
        <v>76</v>
      </c>
      <c r="J452" t="s">
        <v>77</v>
      </c>
      <c r="K452" t="s">
        <v>78</v>
      </c>
      <c r="L452" t="s">
        <v>162</v>
      </c>
      <c r="M452" t="s">
        <v>163</v>
      </c>
      <c r="N452" t="s">
        <v>811</v>
      </c>
      <c r="O452" t="s">
        <v>95</v>
      </c>
      <c r="P452" t="str">
        <f>"4170053000                    "</f>
        <v xml:space="preserve">4170053000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101.44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2</v>
      </c>
      <c r="BI452">
        <v>30</v>
      </c>
      <c r="BJ452">
        <v>46.1</v>
      </c>
      <c r="BK452">
        <v>47</v>
      </c>
      <c r="BL452">
        <v>325.45</v>
      </c>
      <c r="BM452">
        <v>48.82</v>
      </c>
      <c r="BN452">
        <v>374.27</v>
      </c>
      <c r="BO452">
        <v>374.27</v>
      </c>
      <c r="BQ452" t="s">
        <v>812</v>
      </c>
      <c r="BR452" t="s">
        <v>84</v>
      </c>
      <c r="BS452" s="3">
        <v>45875</v>
      </c>
      <c r="BT452" s="4">
        <v>0.37291666666666667</v>
      </c>
      <c r="BU452" t="s">
        <v>1172</v>
      </c>
      <c r="BV452" t="s">
        <v>86</v>
      </c>
      <c r="BY452">
        <v>230715</v>
      </c>
      <c r="CC452" t="s">
        <v>163</v>
      </c>
      <c r="CD452">
        <v>3201</v>
      </c>
      <c r="CE452" t="s">
        <v>147</v>
      </c>
      <c r="CF452" s="3">
        <v>45875</v>
      </c>
      <c r="CI452">
        <v>2</v>
      </c>
      <c r="CJ452">
        <v>1</v>
      </c>
      <c r="CK452">
        <v>41</v>
      </c>
      <c r="CL452" t="s">
        <v>90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"080067030455"</f>
        <v>080067030455</v>
      </c>
      <c r="F453" s="3">
        <v>45874</v>
      </c>
      <c r="G453">
        <v>202605</v>
      </c>
      <c r="H453" t="s">
        <v>75</v>
      </c>
      <c r="I453" t="s">
        <v>76</v>
      </c>
      <c r="J453" t="s">
        <v>77</v>
      </c>
      <c r="K453" t="s">
        <v>78</v>
      </c>
      <c r="L453" t="s">
        <v>123</v>
      </c>
      <c r="M453" t="s">
        <v>124</v>
      </c>
      <c r="N453" t="s">
        <v>168</v>
      </c>
      <c r="O453" t="s">
        <v>82</v>
      </c>
      <c r="P453" t="str">
        <f>"4170052892                    "</f>
        <v xml:space="preserve">4170052892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22.6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0.2</v>
      </c>
      <c r="BK453">
        <v>1</v>
      </c>
      <c r="BL453">
        <v>71.2</v>
      </c>
      <c r="BM453">
        <v>10.68</v>
      </c>
      <c r="BN453">
        <v>81.88</v>
      </c>
      <c r="BO453">
        <v>81.88</v>
      </c>
      <c r="BQ453" t="s">
        <v>169</v>
      </c>
      <c r="BR453" t="s">
        <v>84</v>
      </c>
      <c r="BS453" s="3">
        <v>45875</v>
      </c>
      <c r="BT453" s="4">
        <v>0.43333333333333335</v>
      </c>
      <c r="BU453" t="s">
        <v>679</v>
      </c>
      <c r="BV453" t="s">
        <v>86</v>
      </c>
      <c r="BY453">
        <v>1200</v>
      </c>
      <c r="CA453" t="s">
        <v>171</v>
      </c>
      <c r="CC453" t="s">
        <v>124</v>
      </c>
      <c r="CD453">
        <v>7535</v>
      </c>
      <c r="CE453" t="s">
        <v>109</v>
      </c>
      <c r="CF453" s="3">
        <v>45876</v>
      </c>
      <c r="CI453">
        <v>1</v>
      </c>
      <c r="CJ453">
        <v>1</v>
      </c>
      <c r="CK453">
        <v>21</v>
      </c>
      <c r="CL453" t="s">
        <v>90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"080067030506"</f>
        <v>080067030506</v>
      </c>
      <c r="F454" s="3">
        <v>45874</v>
      </c>
      <c r="G454">
        <v>202605</v>
      </c>
      <c r="H454" t="s">
        <v>75</v>
      </c>
      <c r="I454" t="s">
        <v>76</v>
      </c>
      <c r="J454" t="s">
        <v>77</v>
      </c>
      <c r="K454" t="s">
        <v>78</v>
      </c>
      <c r="L454" t="s">
        <v>123</v>
      </c>
      <c r="M454" t="s">
        <v>124</v>
      </c>
      <c r="N454" t="s">
        <v>1173</v>
      </c>
      <c r="O454" t="s">
        <v>82</v>
      </c>
      <c r="P454" t="str">
        <f>"4170052977                    "</f>
        <v xml:space="preserve">4170052977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22.6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</v>
      </c>
      <c r="BJ454">
        <v>0.2</v>
      </c>
      <c r="BK454">
        <v>1</v>
      </c>
      <c r="BL454">
        <v>71.2</v>
      </c>
      <c r="BM454">
        <v>10.68</v>
      </c>
      <c r="BN454">
        <v>81.88</v>
      </c>
      <c r="BO454">
        <v>81.88</v>
      </c>
      <c r="BQ454" t="s">
        <v>1174</v>
      </c>
      <c r="BR454" t="s">
        <v>84</v>
      </c>
      <c r="BS454" s="3">
        <v>45875</v>
      </c>
      <c r="BT454" s="4">
        <v>0.36944444444444446</v>
      </c>
      <c r="BU454" t="s">
        <v>1175</v>
      </c>
      <c r="BV454" t="s">
        <v>86</v>
      </c>
      <c r="BY454">
        <v>1200</v>
      </c>
      <c r="CA454" t="s">
        <v>192</v>
      </c>
      <c r="CC454" t="s">
        <v>124</v>
      </c>
      <c r="CD454">
        <v>7405</v>
      </c>
      <c r="CE454" t="s">
        <v>109</v>
      </c>
      <c r="CF454" s="3">
        <v>45876</v>
      </c>
      <c r="CI454">
        <v>1</v>
      </c>
      <c r="CJ454">
        <v>1</v>
      </c>
      <c r="CK454">
        <v>21</v>
      </c>
      <c r="CL454" t="s">
        <v>90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"080067030547"</f>
        <v>080067030547</v>
      </c>
      <c r="F455" s="3">
        <v>45874</v>
      </c>
      <c r="G455">
        <v>202605</v>
      </c>
      <c r="H455" t="s">
        <v>75</v>
      </c>
      <c r="I455" t="s">
        <v>76</v>
      </c>
      <c r="J455" t="s">
        <v>77</v>
      </c>
      <c r="K455" t="s">
        <v>78</v>
      </c>
      <c r="L455" t="s">
        <v>207</v>
      </c>
      <c r="M455" t="s">
        <v>208</v>
      </c>
      <c r="N455" t="s">
        <v>209</v>
      </c>
      <c r="O455" t="s">
        <v>82</v>
      </c>
      <c r="P455" t="str">
        <f>"4170053003                    "</f>
        <v xml:space="preserve">4170053003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43.78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</v>
      </c>
      <c r="BJ455">
        <v>0.2</v>
      </c>
      <c r="BK455">
        <v>1</v>
      </c>
      <c r="BL455">
        <v>137.94</v>
      </c>
      <c r="BM455">
        <v>20.69</v>
      </c>
      <c r="BN455">
        <v>158.63</v>
      </c>
      <c r="BO455">
        <v>158.63</v>
      </c>
      <c r="BQ455" t="s">
        <v>313</v>
      </c>
      <c r="BR455" t="s">
        <v>84</v>
      </c>
      <c r="BS455" s="3">
        <v>45875</v>
      </c>
      <c r="BT455" s="4">
        <v>0.5395833333333333</v>
      </c>
      <c r="BU455" t="s">
        <v>211</v>
      </c>
      <c r="BV455" t="s">
        <v>86</v>
      </c>
      <c r="BY455">
        <v>1200</v>
      </c>
      <c r="CA455" t="s">
        <v>212</v>
      </c>
      <c r="CC455" t="s">
        <v>208</v>
      </c>
      <c r="CD455">
        <v>7299</v>
      </c>
      <c r="CE455" t="s">
        <v>109</v>
      </c>
      <c r="CF455" s="3">
        <v>45876</v>
      </c>
      <c r="CI455">
        <v>1</v>
      </c>
      <c r="CJ455">
        <v>1</v>
      </c>
      <c r="CK455">
        <v>23</v>
      </c>
      <c r="CL455" t="s">
        <v>90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"080067030609"</f>
        <v>080067030609</v>
      </c>
      <c r="F456" s="3">
        <v>45874</v>
      </c>
      <c r="G456">
        <v>202605</v>
      </c>
      <c r="H456" t="s">
        <v>75</v>
      </c>
      <c r="I456" t="s">
        <v>76</v>
      </c>
      <c r="J456" t="s">
        <v>77</v>
      </c>
      <c r="K456" t="s">
        <v>78</v>
      </c>
      <c r="L456" t="s">
        <v>123</v>
      </c>
      <c r="M456" t="s">
        <v>124</v>
      </c>
      <c r="N456" t="s">
        <v>168</v>
      </c>
      <c r="O456" t="s">
        <v>82</v>
      </c>
      <c r="P456" t="str">
        <f>"4170052940                    "</f>
        <v xml:space="preserve">4170052940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22.6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1</v>
      </c>
      <c r="BJ456">
        <v>0.2</v>
      </c>
      <c r="BK456">
        <v>1</v>
      </c>
      <c r="BL456">
        <v>71.2</v>
      </c>
      <c r="BM456">
        <v>10.68</v>
      </c>
      <c r="BN456">
        <v>81.88</v>
      </c>
      <c r="BO456">
        <v>81.88</v>
      </c>
      <c r="BQ456" t="s">
        <v>169</v>
      </c>
      <c r="BR456" t="s">
        <v>84</v>
      </c>
      <c r="BS456" s="3">
        <v>45875</v>
      </c>
      <c r="BT456" s="4">
        <v>0.43333333333333335</v>
      </c>
      <c r="BU456" t="s">
        <v>679</v>
      </c>
      <c r="BV456" t="s">
        <v>86</v>
      </c>
      <c r="BY456">
        <v>1200</v>
      </c>
      <c r="CA456" t="s">
        <v>171</v>
      </c>
      <c r="CC456" t="s">
        <v>124</v>
      </c>
      <c r="CD456">
        <v>7535</v>
      </c>
      <c r="CE456" t="s">
        <v>109</v>
      </c>
      <c r="CF456" s="3">
        <v>45876</v>
      </c>
      <c r="CI456">
        <v>1</v>
      </c>
      <c r="CJ456">
        <v>1</v>
      </c>
      <c r="CK456">
        <v>21</v>
      </c>
      <c r="CL456" t="s">
        <v>90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"080067030641"</f>
        <v>080067030641</v>
      </c>
      <c r="F457" s="3">
        <v>45874</v>
      </c>
      <c r="G457">
        <v>202605</v>
      </c>
      <c r="H457" t="s">
        <v>75</v>
      </c>
      <c r="I457" t="s">
        <v>76</v>
      </c>
      <c r="J457" t="s">
        <v>77</v>
      </c>
      <c r="K457" t="s">
        <v>78</v>
      </c>
      <c r="L457" t="s">
        <v>234</v>
      </c>
      <c r="M457" t="s">
        <v>235</v>
      </c>
      <c r="N457" t="s">
        <v>236</v>
      </c>
      <c r="O457" t="s">
        <v>82</v>
      </c>
      <c r="P457" t="str">
        <f>"4170052771                    "</f>
        <v xml:space="preserve">4170052771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22.6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1</v>
      </c>
      <c r="BJ457">
        <v>0.2</v>
      </c>
      <c r="BK457">
        <v>1</v>
      </c>
      <c r="BL457">
        <v>71.2</v>
      </c>
      <c r="BM457">
        <v>10.68</v>
      </c>
      <c r="BN457">
        <v>81.88</v>
      </c>
      <c r="BO457">
        <v>81.88</v>
      </c>
      <c r="BQ457" t="s">
        <v>237</v>
      </c>
      <c r="BR457" t="s">
        <v>84</v>
      </c>
      <c r="BS457" s="3">
        <v>45875</v>
      </c>
      <c r="BT457" s="4">
        <v>0.4597222222222222</v>
      </c>
      <c r="BU457" t="s">
        <v>1176</v>
      </c>
      <c r="BV457" t="s">
        <v>90</v>
      </c>
      <c r="BW457" t="s">
        <v>380</v>
      </c>
      <c r="BX457" t="s">
        <v>644</v>
      </c>
      <c r="BY457">
        <v>1200</v>
      </c>
      <c r="CA457" t="s">
        <v>938</v>
      </c>
      <c r="CC457" t="s">
        <v>235</v>
      </c>
      <c r="CD457" s="5" t="s">
        <v>240</v>
      </c>
      <c r="CE457" t="s">
        <v>109</v>
      </c>
      <c r="CF457" s="3">
        <v>45875</v>
      </c>
      <c r="CI457">
        <v>1</v>
      </c>
      <c r="CJ457">
        <v>1</v>
      </c>
      <c r="CK457">
        <v>21</v>
      </c>
      <c r="CL457" t="s">
        <v>90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"080067030694"</f>
        <v>080067030694</v>
      </c>
      <c r="F458" s="3">
        <v>45874</v>
      </c>
      <c r="G458">
        <v>202605</v>
      </c>
      <c r="H458" t="s">
        <v>75</v>
      </c>
      <c r="I458" t="s">
        <v>76</v>
      </c>
      <c r="J458" t="s">
        <v>77</v>
      </c>
      <c r="K458" t="s">
        <v>78</v>
      </c>
      <c r="L458" t="s">
        <v>217</v>
      </c>
      <c r="M458" t="s">
        <v>218</v>
      </c>
      <c r="N458" t="s">
        <v>219</v>
      </c>
      <c r="O458" t="s">
        <v>82</v>
      </c>
      <c r="P458" t="str">
        <f>"4170053007                    "</f>
        <v xml:space="preserve">4170053007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22.6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</v>
      </c>
      <c r="BJ458">
        <v>0.2</v>
      </c>
      <c r="BK458">
        <v>1</v>
      </c>
      <c r="BL458">
        <v>71.2</v>
      </c>
      <c r="BM458">
        <v>10.68</v>
      </c>
      <c r="BN458">
        <v>81.88</v>
      </c>
      <c r="BO458">
        <v>81.88</v>
      </c>
      <c r="BQ458" t="s">
        <v>220</v>
      </c>
      <c r="BR458" t="s">
        <v>84</v>
      </c>
      <c r="BS458" s="3">
        <v>45875</v>
      </c>
      <c r="BT458" s="4">
        <v>0.33611111111111114</v>
      </c>
      <c r="BU458" t="s">
        <v>565</v>
      </c>
      <c r="BV458" t="s">
        <v>86</v>
      </c>
      <c r="BY458">
        <v>1200</v>
      </c>
      <c r="CA458" t="s">
        <v>566</v>
      </c>
      <c r="CC458" t="s">
        <v>218</v>
      </c>
      <c r="CD458">
        <v>4000</v>
      </c>
      <c r="CE458" t="s">
        <v>109</v>
      </c>
      <c r="CF458" s="3">
        <v>45875</v>
      </c>
      <c r="CI458">
        <v>1</v>
      </c>
      <c r="CJ458">
        <v>1</v>
      </c>
      <c r="CK458">
        <v>21</v>
      </c>
      <c r="CL458" t="s">
        <v>90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"080067030742"</f>
        <v>080067030742</v>
      </c>
      <c r="F459" s="3">
        <v>45874</v>
      </c>
      <c r="G459">
        <v>202605</v>
      </c>
      <c r="H459" t="s">
        <v>75</v>
      </c>
      <c r="I459" t="s">
        <v>76</v>
      </c>
      <c r="J459" t="s">
        <v>77</v>
      </c>
      <c r="K459" t="s">
        <v>78</v>
      </c>
      <c r="L459" t="s">
        <v>654</v>
      </c>
      <c r="M459" t="s">
        <v>655</v>
      </c>
      <c r="N459" t="s">
        <v>656</v>
      </c>
      <c r="O459" t="s">
        <v>82</v>
      </c>
      <c r="P459" t="str">
        <f>"4170052974                    "</f>
        <v xml:space="preserve">4170052974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22.6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1</v>
      </c>
      <c r="BJ459">
        <v>0.2</v>
      </c>
      <c r="BK459">
        <v>1</v>
      </c>
      <c r="BL459">
        <v>71.2</v>
      </c>
      <c r="BM459">
        <v>10.68</v>
      </c>
      <c r="BN459">
        <v>81.88</v>
      </c>
      <c r="BO459">
        <v>81.88</v>
      </c>
      <c r="BQ459" t="s">
        <v>657</v>
      </c>
      <c r="BR459" t="s">
        <v>84</v>
      </c>
      <c r="BS459" s="3">
        <v>45875</v>
      </c>
      <c r="BT459" s="4">
        <v>0.41180555555555554</v>
      </c>
      <c r="BU459" t="s">
        <v>658</v>
      </c>
      <c r="BV459" t="s">
        <v>86</v>
      </c>
      <c r="BY459">
        <v>1200</v>
      </c>
      <c r="CA459" t="s">
        <v>660</v>
      </c>
      <c r="CC459" t="s">
        <v>655</v>
      </c>
      <c r="CD459">
        <v>4120</v>
      </c>
      <c r="CE459" t="s">
        <v>109</v>
      </c>
      <c r="CF459" s="3">
        <v>45876</v>
      </c>
      <c r="CI459">
        <v>1</v>
      </c>
      <c r="CJ459">
        <v>1</v>
      </c>
      <c r="CK459">
        <v>21</v>
      </c>
      <c r="CL459" t="s">
        <v>90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"080067030774"</f>
        <v>080067030774</v>
      </c>
      <c r="F460" s="3">
        <v>45874</v>
      </c>
      <c r="G460">
        <v>202605</v>
      </c>
      <c r="H460" t="s">
        <v>75</v>
      </c>
      <c r="I460" t="s">
        <v>76</v>
      </c>
      <c r="J460" t="s">
        <v>77</v>
      </c>
      <c r="K460" t="s">
        <v>78</v>
      </c>
      <c r="L460" t="s">
        <v>118</v>
      </c>
      <c r="M460" t="s">
        <v>118</v>
      </c>
      <c r="N460" t="s">
        <v>466</v>
      </c>
      <c r="O460" t="s">
        <v>82</v>
      </c>
      <c r="P460" t="str">
        <f>"4170052992                    "</f>
        <v xml:space="preserve">4170052992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43.78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1</v>
      </c>
      <c r="BJ460">
        <v>0.2</v>
      </c>
      <c r="BK460">
        <v>1</v>
      </c>
      <c r="BL460">
        <v>137.94</v>
      </c>
      <c r="BM460">
        <v>20.69</v>
      </c>
      <c r="BN460">
        <v>158.63</v>
      </c>
      <c r="BO460">
        <v>158.63</v>
      </c>
      <c r="BQ460" t="s">
        <v>467</v>
      </c>
      <c r="BR460" t="s">
        <v>84</v>
      </c>
      <c r="BS460" s="3">
        <v>45875</v>
      </c>
      <c r="BT460" s="4">
        <v>0.53749999999999998</v>
      </c>
      <c r="BU460" t="s">
        <v>468</v>
      </c>
      <c r="BV460" t="s">
        <v>86</v>
      </c>
      <c r="BY460">
        <v>1200</v>
      </c>
      <c r="CA460" t="s">
        <v>122</v>
      </c>
      <c r="CC460" t="s">
        <v>118</v>
      </c>
      <c r="CD460">
        <v>7646</v>
      </c>
      <c r="CE460" t="s">
        <v>109</v>
      </c>
      <c r="CF460" s="3">
        <v>45876</v>
      </c>
      <c r="CI460">
        <v>1</v>
      </c>
      <c r="CJ460">
        <v>1</v>
      </c>
      <c r="CK460">
        <v>23</v>
      </c>
      <c r="CL460" t="s">
        <v>90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"080067030867"</f>
        <v>080067030867</v>
      </c>
      <c r="F461" s="3">
        <v>45874</v>
      </c>
      <c r="G461">
        <v>202605</v>
      </c>
      <c r="H461" t="s">
        <v>75</v>
      </c>
      <c r="I461" t="s">
        <v>76</v>
      </c>
      <c r="J461" t="s">
        <v>77</v>
      </c>
      <c r="K461" t="s">
        <v>78</v>
      </c>
      <c r="L461" t="s">
        <v>672</v>
      </c>
      <c r="M461" t="s">
        <v>673</v>
      </c>
      <c r="N461" t="s">
        <v>674</v>
      </c>
      <c r="O461" t="s">
        <v>82</v>
      </c>
      <c r="P461" t="str">
        <f>"4170052978                    "</f>
        <v xml:space="preserve">4170052978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73.44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2</v>
      </c>
      <c r="BJ461">
        <v>3.5</v>
      </c>
      <c r="BK461">
        <v>3.5</v>
      </c>
      <c r="BL461">
        <v>231.38</v>
      </c>
      <c r="BM461">
        <v>34.71</v>
      </c>
      <c r="BN461">
        <v>266.08999999999997</v>
      </c>
      <c r="BO461">
        <v>266.08999999999997</v>
      </c>
      <c r="BQ461" t="s">
        <v>675</v>
      </c>
      <c r="BR461" t="s">
        <v>84</v>
      </c>
      <c r="BS461" s="3">
        <v>45875</v>
      </c>
      <c r="BT461" s="4">
        <v>0.45833333333333331</v>
      </c>
      <c r="BU461" t="s">
        <v>1177</v>
      </c>
      <c r="BV461" t="s">
        <v>86</v>
      </c>
      <c r="BY461">
        <v>17556</v>
      </c>
      <c r="CA461" t="s">
        <v>806</v>
      </c>
      <c r="CC461" t="s">
        <v>673</v>
      </c>
      <c r="CD461">
        <v>3370</v>
      </c>
      <c r="CE461" t="s">
        <v>117</v>
      </c>
      <c r="CF461" s="3">
        <v>45876</v>
      </c>
      <c r="CI461">
        <v>2</v>
      </c>
      <c r="CJ461">
        <v>1</v>
      </c>
      <c r="CK461">
        <v>23</v>
      </c>
      <c r="CL461" t="s">
        <v>90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"080067030895"</f>
        <v>080067030895</v>
      </c>
      <c r="F462" s="3">
        <v>45874</v>
      </c>
      <c r="G462">
        <v>202605</v>
      </c>
      <c r="H462" t="s">
        <v>75</v>
      </c>
      <c r="I462" t="s">
        <v>76</v>
      </c>
      <c r="J462" t="s">
        <v>77</v>
      </c>
      <c r="K462" t="s">
        <v>78</v>
      </c>
      <c r="L462" t="s">
        <v>118</v>
      </c>
      <c r="M462" t="s">
        <v>118</v>
      </c>
      <c r="N462" t="s">
        <v>466</v>
      </c>
      <c r="O462" t="s">
        <v>82</v>
      </c>
      <c r="P462" t="str">
        <f>"4170052924                    "</f>
        <v xml:space="preserve">4170052924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241.5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12</v>
      </c>
      <c r="BJ462">
        <v>3.4</v>
      </c>
      <c r="BK462">
        <v>12</v>
      </c>
      <c r="BL462">
        <v>760.86</v>
      </c>
      <c r="BM462">
        <v>114.13</v>
      </c>
      <c r="BN462">
        <v>874.99</v>
      </c>
      <c r="BO462">
        <v>874.99</v>
      </c>
      <c r="BQ462" t="s">
        <v>1178</v>
      </c>
      <c r="BR462" t="s">
        <v>84</v>
      </c>
      <c r="BS462" s="3">
        <v>45875</v>
      </c>
      <c r="BT462" s="4">
        <v>0.53749999999999998</v>
      </c>
      <c r="BU462" t="s">
        <v>468</v>
      </c>
      <c r="BV462" t="s">
        <v>86</v>
      </c>
      <c r="BY462">
        <v>16965</v>
      </c>
      <c r="BZ462" t="s">
        <v>330</v>
      </c>
      <c r="CA462" t="s">
        <v>122</v>
      </c>
      <c r="CC462" t="s">
        <v>118</v>
      </c>
      <c r="CD462">
        <v>7646</v>
      </c>
      <c r="CE462" t="s">
        <v>89</v>
      </c>
      <c r="CF462" s="3">
        <v>45876</v>
      </c>
      <c r="CI462">
        <v>1</v>
      </c>
      <c r="CJ462">
        <v>1</v>
      </c>
      <c r="CK462">
        <v>23</v>
      </c>
      <c r="CL462" t="s">
        <v>90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"080067030942"</f>
        <v>080067030942</v>
      </c>
      <c r="F463" s="3">
        <v>45874</v>
      </c>
      <c r="G463">
        <v>202605</v>
      </c>
      <c r="H463" t="s">
        <v>75</v>
      </c>
      <c r="I463" t="s">
        <v>76</v>
      </c>
      <c r="J463" t="s">
        <v>77</v>
      </c>
      <c r="K463" t="s">
        <v>78</v>
      </c>
      <c r="L463" t="s">
        <v>79</v>
      </c>
      <c r="M463" t="s">
        <v>80</v>
      </c>
      <c r="N463" t="s">
        <v>1179</v>
      </c>
      <c r="O463" t="s">
        <v>82</v>
      </c>
      <c r="P463" t="str">
        <f>"4170052762                    "</f>
        <v xml:space="preserve">4170052762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17.649999999999999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</v>
      </c>
      <c r="BJ463">
        <v>0.2</v>
      </c>
      <c r="BK463">
        <v>1</v>
      </c>
      <c r="BL463">
        <v>55.61</v>
      </c>
      <c r="BM463">
        <v>8.34</v>
      </c>
      <c r="BN463">
        <v>63.95</v>
      </c>
      <c r="BO463">
        <v>63.95</v>
      </c>
      <c r="BQ463" t="s">
        <v>1180</v>
      </c>
      <c r="BR463" t="s">
        <v>84</v>
      </c>
      <c r="BS463" s="3">
        <v>45875</v>
      </c>
      <c r="BT463" s="4">
        <v>0.3659722222222222</v>
      </c>
      <c r="BU463" t="s">
        <v>1181</v>
      </c>
      <c r="BV463" t="s">
        <v>86</v>
      </c>
      <c r="BY463">
        <v>1200</v>
      </c>
      <c r="CA463" t="s">
        <v>1026</v>
      </c>
      <c r="CC463" t="s">
        <v>80</v>
      </c>
      <c r="CD463">
        <v>1406</v>
      </c>
      <c r="CE463" t="s">
        <v>109</v>
      </c>
      <c r="CF463" s="3">
        <v>45875</v>
      </c>
      <c r="CI463">
        <v>1</v>
      </c>
      <c r="CJ463">
        <v>1</v>
      </c>
      <c r="CK463">
        <v>22</v>
      </c>
      <c r="CL463" t="s">
        <v>90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"080067030991"</f>
        <v>080067030991</v>
      </c>
      <c r="F464" s="3">
        <v>45874</v>
      </c>
      <c r="G464">
        <v>202605</v>
      </c>
      <c r="H464" t="s">
        <v>75</v>
      </c>
      <c r="I464" t="s">
        <v>76</v>
      </c>
      <c r="J464" t="s">
        <v>77</v>
      </c>
      <c r="K464" t="s">
        <v>78</v>
      </c>
      <c r="L464" t="s">
        <v>1182</v>
      </c>
      <c r="M464" t="s">
        <v>1183</v>
      </c>
      <c r="N464" t="s">
        <v>1184</v>
      </c>
      <c r="O464" t="s">
        <v>82</v>
      </c>
      <c r="P464" t="str">
        <f>"4170052999                    "</f>
        <v xml:space="preserve">4170052999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43.78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1</v>
      </c>
      <c r="BJ464">
        <v>0.2</v>
      </c>
      <c r="BK464">
        <v>1</v>
      </c>
      <c r="BL464">
        <v>137.94</v>
      </c>
      <c r="BM464">
        <v>20.69</v>
      </c>
      <c r="BN464">
        <v>158.63</v>
      </c>
      <c r="BO464">
        <v>158.63</v>
      </c>
      <c r="BQ464" t="s">
        <v>1185</v>
      </c>
      <c r="BR464" t="s">
        <v>84</v>
      </c>
      <c r="BS464" s="3">
        <v>45875</v>
      </c>
      <c r="BT464" s="4">
        <v>0.41666666666666669</v>
      </c>
      <c r="BU464" t="s">
        <v>1186</v>
      </c>
      <c r="BV464" t="s">
        <v>86</v>
      </c>
      <c r="BY464">
        <v>1200</v>
      </c>
      <c r="CA464" t="s">
        <v>1187</v>
      </c>
      <c r="CC464" t="s">
        <v>1183</v>
      </c>
      <c r="CD464">
        <v>9701</v>
      </c>
      <c r="CE464" t="s">
        <v>109</v>
      </c>
      <c r="CF464" s="3">
        <v>45875</v>
      </c>
      <c r="CI464">
        <v>1</v>
      </c>
      <c r="CJ464">
        <v>1</v>
      </c>
      <c r="CK464">
        <v>23</v>
      </c>
      <c r="CL464" t="s">
        <v>90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"080067031223"</f>
        <v>080067031223</v>
      </c>
      <c r="F465" s="3">
        <v>45874</v>
      </c>
      <c r="G465">
        <v>202605</v>
      </c>
      <c r="H465" t="s">
        <v>75</v>
      </c>
      <c r="I465" t="s">
        <v>76</v>
      </c>
      <c r="J465" t="s">
        <v>77</v>
      </c>
      <c r="K465" t="s">
        <v>78</v>
      </c>
      <c r="L465" t="s">
        <v>79</v>
      </c>
      <c r="M465" t="s">
        <v>80</v>
      </c>
      <c r="N465" t="s">
        <v>1188</v>
      </c>
      <c r="O465" t="s">
        <v>113</v>
      </c>
      <c r="P465" t="str">
        <f>"4170052438                    "</f>
        <v xml:space="preserve">4170052438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17.66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4</v>
      </c>
      <c r="BJ465">
        <v>1.8</v>
      </c>
      <c r="BK465">
        <v>4</v>
      </c>
      <c r="BL465">
        <v>55.63</v>
      </c>
      <c r="BM465">
        <v>8.34</v>
      </c>
      <c r="BN465">
        <v>63.97</v>
      </c>
      <c r="BO465">
        <v>63.97</v>
      </c>
      <c r="BQ465" t="s">
        <v>1189</v>
      </c>
      <c r="BR465" t="s">
        <v>84</v>
      </c>
      <c r="BS465" s="3">
        <v>45875</v>
      </c>
      <c r="BT465" s="4">
        <v>0.44444444444444442</v>
      </c>
      <c r="BU465" t="s">
        <v>1190</v>
      </c>
      <c r="BV465" t="s">
        <v>86</v>
      </c>
      <c r="BY465">
        <v>9216</v>
      </c>
      <c r="BZ465" t="s">
        <v>100</v>
      </c>
      <c r="CA465" t="s">
        <v>1191</v>
      </c>
      <c r="CC465" t="s">
        <v>80</v>
      </c>
      <c r="CD465">
        <v>1401</v>
      </c>
      <c r="CE465" t="s">
        <v>117</v>
      </c>
      <c r="CF465" s="3">
        <v>45875</v>
      </c>
      <c r="CI465">
        <v>1</v>
      </c>
      <c r="CJ465">
        <v>1</v>
      </c>
      <c r="CK465">
        <v>32</v>
      </c>
      <c r="CL465" t="s">
        <v>90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"080067031449"</f>
        <v>080067031449</v>
      </c>
      <c r="F466" s="3">
        <v>45874</v>
      </c>
      <c r="G466">
        <v>202605</v>
      </c>
      <c r="H466" t="s">
        <v>75</v>
      </c>
      <c r="I466" t="s">
        <v>76</v>
      </c>
      <c r="J466" t="s">
        <v>77</v>
      </c>
      <c r="K466" t="s">
        <v>78</v>
      </c>
      <c r="L466" t="s">
        <v>162</v>
      </c>
      <c r="M466" t="s">
        <v>163</v>
      </c>
      <c r="N466" t="s">
        <v>1192</v>
      </c>
      <c r="O466" t="s">
        <v>82</v>
      </c>
      <c r="P466" t="str">
        <f>"4170052889                    "</f>
        <v xml:space="preserve">4170052889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45.18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4</v>
      </c>
      <c r="BJ466">
        <v>3.6</v>
      </c>
      <c r="BK466">
        <v>4</v>
      </c>
      <c r="BL466">
        <v>142.34</v>
      </c>
      <c r="BM466">
        <v>21.35</v>
      </c>
      <c r="BN466">
        <v>163.69</v>
      </c>
      <c r="BO466">
        <v>163.69</v>
      </c>
      <c r="BQ466" t="s">
        <v>1193</v>
      </c>
      <c r="BR466" t="s">
        <v>84</v>
      </c>
      <c r="BS466" s="3">
        <v>45875</v>
      </c>
      <c r="BT466" s="4">
        <v>0.41666666666666669</v>
      </c>
      <c r="BU466" t="s">
        <v>1194</v>
      </c>
      <c r="BV466" t="s">
        <v>86</v>
      </c>
      <c r="BY466">
        <v>17820</v>
      </c>
      <c r="CA466" t="s">
        <v>167</v>
      </c>
      <c r="CC466" t="s">
        <v>163</v>
      </c>
      <c r="CD466">
        <v>3212</v>
      </c>
      <c r="CE466" t="s">
        <v>117</v>
      </c>
      <c r="CF466" s="3">
        <v>45876</v>
      </c>
      <c r="CI466">
        <v>2</v>
      </c>
      <c r="CJ466">
        <v>1</v>
      </c>
      <c r="CK466">
        <v>21</v>
      </c>
      <c r="CL466" t="s">
        <v>90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"080067031494"</f>
        <v>080067031494</v>
      </c>
      <c r="F467" s="3">
        <v>45874</v>
      </c>
      <c r="G467">
        <v>202605</v>
      </c>
      <c r="H467" t="s">
        <v>75</v>
      </c>
      <c r="I467" t="s">
        <v>76</v>
      </c>
      <c r="J467" t="s">
        <v>77</v>
      </c>
      <c r="K467" t="s">
        <v>78</v>
      </c>
      <c r="L467" t="s">
        <v>278</v>
      </c>
      <c r="M467" t="s">
        <v>279</v>
      </c>
      <c r="N467" t="s">
        <v>508</v>
      </c>
      <c r="O467" t="s">
        <v>82</v>
      </c>
      <c r="P467" t="str">
        <f>"4170052822                    "</f>
        <v xml:space="preserve">4170052822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22.6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1</v>
      </c>
      <c r="BJ467">
        <v>0.2</v>
      </c>
      <c r="BK467">
        <v>1</v>
      </c>
      <c r="BL467">
        <v>71.2</v>
      </c>
      <c r="BM467">
        <v>10.68</v>
      </c>
      <c r="BN467">
        <v>81.88</v>
      </c>
      <c r="BO467">
        <v>81.88</v>
      </c>
      <c r="BQ467" t="s">
        <v>509</v>
      </c>
      <c r="BR467" t="s">
        <v>84</v>
      </c>
      <c r="BS467" s="3">
        <v>45876</v>
      </c>
      <c r="BT467" s="4">
        <v>0.40486111111111112</v>
      </c>
      <c r="BU467" t="s">
        <v>510</v>
      </c>
      <c r="BV467" t="s">
        <v>90</v>
      </c>
      <c r="BW467" t="s">
        <v>380</v>
      </c>
      <c r="BX467" t="s">
        <v>869</v>
      </c>
      <c r="BY467">
        <v>1200</v>
      </c>
      <c r="CA467" t="s">
        <v>511</v>
      </c>
      <c r="CC467" t="s">
        <v>279</v>
      </c>
      <c r="CD467" s="5" t="s">
        <v>512</v>
      </c>
      <c r="CE467" t="s">
        <v>109</v>
      </c>
      <c r="CF467" s="3">
        <v>45876</v>
      </c>
      <c r="CI467">
        <v>1</v>
      </c>
      <c r="CJ467">
        <v>2</v>
      </c>
      <c r="CK467">
        <v>21</v>
      </c>
      <c r="CL467" t="s">
        <v>90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"080067032722"</f>
        <v>080067032722</v>
      </c>
      <c r="F468" s="3">
        <v>45874</v>
      </c>
      <c r="G468">
        <v>202605</v>
      </c>
      <c r="H468" t="s">
        <v>75</v>
      </c>
      <c r="I468" t="s">
        <v>76</v>
      </c>
      <c r="J468" t="s">
        <v>77</v>
      </c>
      <c r="K468" t="s">
        <v>78</v>
      </c>
      <c r="L468" t="s">
        <v>234</v>
      </c>
      <c r="M468" t="s">
        <v>235</v>
      </c>
      <c r="N468" t="s">
        <v>821</v>
      </c>
      <c r="O468" t="s">
        <v>82</v>
      </c>
      <c r="P468" t="str">
        <f>"4170052939                    "</f>
        <v xml:space="preserve">4170052939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22.6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1</v>
      </c>
      <c r="BJ468">
        <v>0.2</v>
      </c>
      <c r="BK468">
        <v>1</v>
      </c>
      <c r="BL468">
        <v>71.2</v>
      </c>
      <c r="BM468">
        <v>10.68</v>
      </c>
      <c r="BN468">
        <v>81.88</v>
      </c>
      <c r="BO468">
        <v>81.88</v>
      </c>
      <c r="BQ468" t="s">
        <v>822</v>
      </c>
      <c r="BR468" t="s">
        <v>84</v>
      </c>
      <c r="BS468" s="3">
        <v>45875</v>
      </c>
      <c r="BT468" s="4">
        <v>0.43541666666666667</v>
      </c>
      <c r="BU468" t="s">
        <v>1195</v>
      </c>
      <c r="BV468" t="s">
        <v>86</v>
      </c>
      <c r="BY468">
        <v>1200</v>
      </c>
      <c r="CA468" t="s">
        <v>938</v>
      </c>
      <c r="CC468" t="s">
        <v>235</v>
      </c>
      <c r="CD468" s="5" t="s">
        <v>240</v>
      </c>
      <c r="CE468" t="s">
        <v>109</v>
      </c>
      <c r="CF468" s="3">
        <v>45875</v>
      </c>
      <c r="CI468">
        <v>1</v>
      </c>
      <c r="CJ468">
        <v>1</v>
      </c>
      <c r="CK468">
        <v>21</v>
      </c>
      <c r="CL468" t="s">
        <v>90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"080067032748"</f>
        <v>080067032748</v>
      </c>
      <c r="F469" s="3">
        <v>45874</v>
      </c>
      <c r="G469">
        <v>202605</v>
      </c>
      <c r="H469" t="s">
        <v>75</v>
      </c>
      <c r="I469" t="s">
        <v>76</v>
      </c>
      <c r="J469" t="s">
        <v>77</v>
      </c>
      <c r="K469" t="s">
        <v>78</v>
      </c>
      <c r="L469" t="s">
        <v>278</v>
      </c>
      <c r="M469" t="s">
        <v>279</v>
      </c>
      <c r="N469" t="s">
        <v>1196</v>
      </c>
      <c r="O469" t="s">
        <v>95</v>
      </c>
      <c r="P469" t="str">
        <f>"4170052477                    "</f>
        <v xml:space="preserve">4170052477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43.7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3</v>
      </c>
      <c r="BJ469">
        <v>4.5</v>
      </c>
      <c r="BK469">
        <v>5</v>
      </c>
      <c r="BL469">
        <v>143.55000000000001</v>
      </c>
      <c r="BM469">
        <v>21.53</v>
      </c>
      <c r="BN469">
        <v>165.08</v>
      </c>
      <c r="BO469">
        <v>165.08</v>
      </c>
      <c r="BQ469" t="s">
        <v>1197</v>
      </c>
      <c r="BR469" t="s">
        <v>84</v>
      </c>
      <c r="BS469" s="3">
        <v>45876</v>
      </c>
      <c r="BT469" s="4">
        <v>0.56736111111111109</v>
      </c>
      <c r="BU469" t="s">
        <v>1198</v>
      </c>
      <c r="BV469" t="s">
        <v>90</v>
      </c>
      <c r="BY469">
        <v>22736</v>
      </c>
      <c r="CA469" t="s">
        <v>752</v>
      </c>
      <c r="CC469" t="s">
        <v>279</v>
      </c>
      <c r="CD469" s="5" t="s">
        <v>652</v>
      </c>
      <c r="CE469" t="s">
        <v>117</v>
      </c>
      <c r="CF469" s="3">
        <v>45876</v>
      </c>
      <c r="CI469">
        <v>1</v>
      </c>
      <c r="CJ469">
        <v>2</v>
      </c>
      <c r="CK469">
        <v>41</v>
      </c>
      <c r="CL469" t="s">
        <v>90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"080067032859"</f>
        <v>080067032859</v>
      </c>
      <c r="F470" s="3">
        <v>45874</v>
      </c>
      <c r="G470">
        <v>202605</v>
      </c>
      <c r="H470" t="s">
        <v>75</v>
      </c>
      <c r="I470" t="s">
        <v>76</v>
      </c>
      <c r="J470" t="s">
        <v>77</v>
      </c>
      <c r="K470" t="s">
        <v>78</v>
      </c>
      <c r="L470" t="s">
        <v>278</v>
      </c>
      <c r="M470" t="s">
        <v>279</v>
      </c>
      <c r="N470" t="s">
        <v>1199</v>
      </c>
      <c r="O470" t="s">
        <v>82</v>
      </c>
      <c r="P470" t="str">
        <f>"4170052780                    "</f>
        <v xml:space="preserve">4170052780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22.6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1</v>
      </c>
      <c r="BJ470">
        <v>0.9</v>
      </c>
      <c r="BK470">
        <v>1</v>
      </c>
      <c r="BL470">
        <v>71.2</v>
      </c>
      <c r="BM470">
        <v>10.68</v>
      </c>
      <c r="BN470">
        <v>81.88</v>
      </c>
      <c r="BO470">
        <v>81.88</v>
      </c>
      <c r="BQ470" t="s">
        <v>1200</v>
      </c>
      <c r="BR470" t="s">
        <v>84</v>
      </c>
      <c r="BS470" s="3">
        <v>45875</v>
      </c>
      <c r="BT470" s="4">
        <v>0.37777777777777777</v>
      </c>
      <c r="BU470" t="s">
        <v>1201</v>
      </c>
      <c r="BV470" t="s">
        <v>86</v>
      </c>
      <c r="BY470">
        <v>4400</v>
      </c>
      <c r="CA470" t="s">
        <v>824</v>
      </c>
      <c r="CC470" t="s">
        <v>279</v>
      </c>
      <c r="CD470" s="5" t="s">
        <v>289</v>
      </c>
      <c r="CE470" t="s">
        <v>117</v>
      </c>
      <c r="CF470" s="3">
        <v>45875</v>
      </c>
      <c r="CI470">
        <v>1</v>
      </c>
      <c r="CJ470">
        <v>1</v>
      </c>
      <c r="CK470">
        <v>21</v>
      </c>
      <c r="CL470" t="s">
        <v>90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"080067032880"</f>
        <v>080067032880</v>
      </c>
      <c r="F471" s="3">
        <v>45874</v>
      </c>
      <c r="G471">
        <v>202605</v>
      </c>
      <c r="H471" t="s">
        <v>75</v>
      </c>
      <c r="I471" t="s">
        <v>76</v>
      </c>
      <c r="J471" t="s">
        <v>77</v>
      </c>
      <c r="K471" t="s">
        <v>78</v>
      </c>
      <c r="L471" t="s">
        <v>319</v>
      </c>
      <c r="M471" t="s">
        <v>320</v>
      </c>
      <c r="N471" t="s">
        <v>321</v>
      </c>
      <c r="O471" t="s">
        <v>82</v>
      </c>
      <c r="P471" t="str">
        <f>"4170052791                    "</f>
        <v xml:space="preserve">4170052791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43.78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1</v>
      </c>
      <c r="BJ471">
        <v>0.2</v>
      </c>
      <c r="BK471">
        <v>1</v>
      </c>
      <c r="BL471">
        <v>137.94</v>
      </c>
      <c r="BM471">
        <v>20.69</v>
      </c>
      <c r="BN471">
        <v>158.63</v>
      </c>
      <c r="BO471">
        <v>158.63</v>
      </c>
      <c r="BQ471" t="s">
        <v>322</v>
      </c>
      <c r="BR471" t="s">
        <v>84</v>
      </c>
      <c r="BS471" s="3">
        <v>45875</v>
      </c>
      <c r="BT471" s="4">
        <v>0.60972222222222228</v>
      </c>
      <c r="BU471" t="s">
        <v>1202</v>
      </c>
      <c r="BV471" t="s">
        <v>90</v>
      </c>
      <c r="BY471">
        <v>1200</v>
      </c>
      <c r="CA471" t="s">
        <v>324</v>
      </c>
      <c r="CC471" t="s">
        <v>320</v>
      </c>
      <c r="CD471">
        <v>2531</v>
      </c>
      <c r="CE471" t="s">
        <v>109</v>
      </c>
      <c r="CF471" s="3">
        <v>45876</v>
      </c>
      <c r="CI471">
        <v>1</v>
      </c>
      <c r="CJ471">
        <v>1</v>
      </c>
      <c r="CK471">
        <v>23</v>
      </c>
      <c r="CL471" t="s">
        <v>90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"080067032913"</f>
        <v>080067032913</v>
      </c>
      <c r="F472" s="3">
        <v>45874</v>
      </c>
      <c r="G472">
        <v>202605</v>
      </c>
      <c r="H472" t="s">
        <v>75</v>
      </c>
      <c r="I472" t="s">
        <v>76</v>
      </c>
      <c r="J472" t="s">
        <v>77</v>
      </c>
      <c r="K472" t="s">
        <v>78</v>
      </c>
      <c r="L472" t="s">
        <v>217</v>
      </c>
      <c r="M472" t="s">
        <v>218</v>
      </c>
      <c r="N472" t="s">
        <v>249</v>
      </c>
      <c r="O472" t="s">
        <v>95</v>
      </c>
      <c r="P472" t="str">
        <f>"4170052945                    "</f>
        <v xml:space="preserve">4170052945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76.180000000000007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2</v>
      </c>
      <c r="BI472">
        <v>33</v>
      </c>
      <c r="BJ472">
        <v>24.5</v>
      </c>
      <c r="BK472">
        <v>33</v>
      </c>
      <c r="BL472">
        <v>245.87</v>
      </c>
      <c r="BM472">
        <v>36.880000000000003</v>
      </c>
      <c r="BN472">
        <v>282.75</v>
      </c>
      <c r="BO472">
        <v>282.75</v>
      </c>
      <c r="BQ472" t="s">
        <v>250</v>
      </c>
      <c r="BR472" t="s">
        <v>84</v>
      </c>
      <c r="BS472" s="3">
        <v>45876</v>
      </c>
      <c r="BT472" s="4">
        <v>0.36805555555555558</v>
      </c>
      <c r="BU472" t="s">
        <v>1203</v>
      </c>
      <c r="BV472" t="s">
        <v>90</v>
      </c>
      <c r="BY472">
        <v>122499</v>
      </c>
      <c r="CA472" t="s">
        <v>136</v>
      </c>
      <c r="CC472" t="s">
        <v>218</v>
      </c>
      <c r="CD472">
        <v>4052</v>
      </c>
      <c r="CE472" t="s">
        <v>1204</v>
      </c>
      <c r="CF472" s="3">
        <v>45876</v>
      </c>
      <c r="CI472">
        <v>1</v>
      </c>
      <c r="CJ472">
        <v>2</v>
      </c>
      <c r="CK472">
        <v>41</v>
      </c>
      <c r="CL472" t="s">
        <v>90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"080067032937"</f>
        <v>080067032937</v>
      </c>
      <c r="F473" s="3">
        <v>45874</v>
      </c>
      <c r="G473">
        <v>202605</v>
      </c>
      <c r="H473" t="s">
        <v>75</v>
      </c>
      <c r="I473" t="s">
        <v>76</v>
      </c>
      <c r="J473" t="s">
        <v>77</v>
      </c>
      <c r="K473" t="s">
        <v>78</v>
      </c>
      <c r="L473" t="s">
        <v>162</v>
      </c>
      <c r="M473" t="s">
        <v>163</v>
      </c>
      <c r="N473" t="s">
        <v>1064</v>
      </c>
      <c r="O473" t="s">
        <v>82</v>
      </c>
      <c r="P473" t="str">
        <f>"4170052878                    "</f>
        <v xml:space="preserve">4170052878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22.6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1</v>
      </c>
      <c r="BJ473">
        <v>0.2</v>
      </c>
      <c r="BK473">
        <v>1</v>
      </c>
      <c r="BL473">
        <v>71.2</v>
      </c>
      <c r="BM473">
        <v>10.68</v>
      </c>
      <c r="BN473">
        <v>81.88</v>
      </c>
      <c r="BO473">
        <v>81.88</v>
      </c>
      <c r="BQ473" t="s">
        <v>1065</v>
      </c>
      <c r="BR473" t="s">
        <v>84</v>
      </c>
      <c r="BS473" s="3">
        <v>45875</v>
      </c>
      <c r="BT473" s="4">
        <v>0.41666666666666669</v>
      </c>
      <c r="BU473" t="s">
        <v>1066</v>
      </c>
      <c r="BV473" t="s">
        <v>86</v>
      </c>
      <c r="BY473">
        <v>1200</v>
      </c>
      <c r="CA473" t="s">
        <v>919</v>
      </c>
      <c r="CC473" t="s">
        <v>163</v>
      </c>
      <c r="CD473">
        <v>3200</v>
      </c>
      <c r="CE473" t="s">
        <v>109</v>
      </c>
      <c r="CF473" s="3">
        <v>45876</v>
      </c>
      <c r="CI473">
        <v>1</v>
      </c>
      <c r="CJ473">
        <v>1</v>
      </c>
      <c r="CK473">
        <v>21</v>
      </c>
      <c r="CL473" t="s">
        <v>90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"080067032978"</f>
        <v>080067032978</v>
      </c>
      <c r="F474" s="3">
        <v>45874</v>
      </c>
      <c r="G474">
        <v>202605</v>
      </c>
      <c r="H474" t="s">
        <v>75</v>
      </c>
      <c r="I474" t="s">
        <v>76</v>
      </c>
      <c r="J474" t="s">
        <v>77</v>
      </c>
      <c r="K474" t="s">
        <v>78</v>
      </c>
      <c r="L474" t="s">
        <v>123</v>
      </c>
      <c r="M474" t="s">
        <v>124</v>
      </c>
      <c r="N474" t="s">
        <v>168</v>
      </c>
      <c r="O474" t="s">
        <v>82</v>
      </c>
      <c r="P474" t="str">
        <f>"4170052965                    "</f>
        <v xml:space="preserve">4170052965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22.6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1</v>
      </c>
      <c r="BJ474">
        <v>0.2</v>
      </c>
      <c r="BK474">
        <v>1</v>
      </c>
      <c r="BL474">
        <v>71.2</v>
      </c>
      <c r="BM474">
        <v>10.68</v>
      </c>
      <c r="BN474">
        <v>81.88</v>
      </c>
      <c r="BO474">
        <v>81.88</v>
      </c>
      <c r="BQ474" t="s">
        <v>169</v>
      </c>
      <c r="BR474" t="s">
        <v>84</v>
      </c>
      <c r="BS474" s="3">
        <v>45875</v>
      </c>
      <c r="BT474" s="4">
        <v>0.43333333333333335</v>
      </c>
      <c r="BU474" t="s">
        <v>679</v>
      </c>
      <c r="BV474" t="s">
        <v>86</v>
      </c>
      <c r="BY474">
        <v>1200</v>
      </c>
      <c r="CA474" t="s">
        <v>171</v>
      </c>
      <c r="CC474" t="s">
        <v>124</v>
      </c>
      <c r="CD474">
        <v>7535</v>
      </c>
      <c r="CE474" t="s">
        <v>109</v>
      </c>
      <c r="CF474" s="3">
        <v>45876</v>
      </c>
      <c r="CI474">
        <v>1</v>
      </c>
      <c r="CJ474">
        <v>1</v>
      </c>
      <c r="CK474">
        <v>21</v>
      </c>
      <c r="CL474" t="s">
        <v>90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"080067032990"</f>
        <v>080067032990</v>
      </c>
      <c r="F475" s="3">
        <v>45874</v>
      </c>
      <c r="G475">
        <v>202605</v>
      </c>
      <c r="H475" t="s">
        <v>75</v>
      </c>
      <c r="I475" t="s">
        <v>76</v>
      </c>
      <c r="J475" t="s">
        <v>77</v>
      </c>
      <c r="K475" t="s">
        <v>78</v>
      </c>
      <c r="L475" t="s">
        <v>156</v>
      </c>
      <c r="M475" t="s">
        <v>157</v>
      </c>
      <c r="N475" t="s">
        <v>1129</v>
      </c>
      <c r="O475" t="s">
        <v>113</v>
      </c>
      <c r="P475" t="str">
        <f>"4170052531                    "</f>
        <v xml:space="preserve">4170052531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21.62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10</v>
      </c>
      <c r="BJ475">
        <v>8.9</v>
      </c>
      <c r="BK475">
        <v>10</v>
      </c>
      <c r="BL475">
        <v>68.11</v>
      </c>
      <c r="BM475">
        <v>10.220000000000001</v>
      </c>
      <c r="BN475">
        <v>78.33</v>
      </c>
      <c r="BO475">
        <v>78.33</v>
      </c>
      <c r="BQ475" t="s">
        <v>1205</v>
      </c>
      <c r="BR475" t="s">
        <v>84</v>
      </c>
      <c r="BS475" s="3">
        <v>45875</v>
      </c>
      <c r="BT475" s="4">
        <v>0.52777777777777779</v>
      </c>
      <c r="BU475" t="s">
        <v>1131</v>
      </c>
      <c r="BV475" t="s">
        <v>86</v>
      </c>
      <c r="BY475">
        <v>44640</v>
      </c>
      <c r="CA475" t="s">
        <v>1133</v>
      </c>
      <c r="CC475" t="s">
        <v>157</v>
      </c>
      <c r="CD475">
        <v>1724</v>
      </c>
      <c r="CE475" t="s">
        <v>147</v>
      </c>
      <c r="CF475" s="3">
        <v>45875</v>
      </c>
      <c r="CI475">
        <v>1</v>
      </c>
      <c r="CJ475">
        <v>1</v>
      </c>
      <c r="CK475">
        <v>32</v>
      </c>
      <c r="CL475" t="s">
        <v>90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"080067033046"</f>
        <v>080067033046</v>
      </c>
      <c r="F476" s="3">
        <v>45874</v>
      </c>
      <c r="G476">
        <v>202605</v>
      </c>
      <c r="H476" t="s">
        <v>75</v>
      </c>
      <c r="I476" t="s">
        <v>76</v>
      </c>
      <c r="J476" t="s">
        <v>77</v>
      </c>
      <c r="K476" t="s">
        <v>78</v>
      </c>
      <c r="L476" t="s">
        <v>217</v>
      </c>
      <c r="M476" t="s">
        <v>218</v>
      </c>
      <c r="N476" t="s">
        <v>1206</v>
      </c>
      <c r="O476" t="s">
        <v>82</v>
      </c>
      <c r="P476" t="str">
        <f>"4170052874                    "</f>
        <v xml:space="preserve">4170052874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22.6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1</v>
      </c>
      <c r="BJ476">
        <v>0.2</v>
      </c>
      <c r="BK476">
        <v>1</v>
      </c>
      <c r="BL476">
        <v>71.2</v>
      </c>
      <c r="BM476">
        <v>10.68</v>
      </c>
      <c r="BN476">
        <v>81.88</v>
      </c>
      <c r="BO476">
        <v>81.88</v>
      </c>
      <c r="BQ476" t="s">
        <v>862</v>
      </c>
      <c r="BR476" t="s">
        <v>84</v>
      </c>
      <c r="BS476" s="3">
        <v>45875</v>
      </c>
      <c r="BT476" s="4">
        <v>0.40833333333333333</v>
      </c>
      <c r="BU476" t="s">
        <v>187</v>
      </c>
      <c r="BV476" t="s">
        <v>86</v>
      </c>
      <c r="BY476">
        <v>1200</v>
      </c>
      <c r="CA476" t="s">
        <v>425</v>
      </c>
      <c r="CC476" t="s">
        <v>218</v>
      </c>
      <c r="CD476">
        <v>4000</v>
      </c>
      <c r="CE476" t="s">
        <v>109</v>
      </c>
      <c r="CF476" s="3">
        <v>45875</v>
      </c>
      <c r="CI476">
        <v>1</v>
      </c>
      <c r="CJ476">
        <v>1</v>
      </c>
      <c r="CK476">
        <v>21</v>
      </c>
      <c r="CL476" t="s">
        <v>90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"080067033086"</f>
        <v>080067033086</v>
      </c>
      <c r="F477" s="3">
        <v>45874</v>
      </c>
      <c r="G477">
        <v>202605</v>
      </c>
      <c r="H477" t="s">
        <v>75</v>
      </c>
      <c r="I477" t="s">
        <v>76</v>
      </c>
      <c r="J477" t="s">
        <v>77</v>
      </c>
      <c r="K477" t="s">
        <v>78</v>
      </c>
      <c r="L477" t="s">
        <v>79</v>
      </c>
      <c r="M477" t="s">
        <v>80</v>
      </c>
      <c r="N477" t="s">
        <v>635</v>
      </c>
      <c r="O477" t="s">
        <v>82</v>
      </c>
      <c r="P477" t="str">
        <f>"4170052916                    "</f>
        <v xml:space="preserve">4170052916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17.649999999999999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1</v>
      </c>
      <c r="BJ477">
        <v>0.2</v>
      </c>
      <c r="BK477">
        <v>1</v>
      </c>
      <c r="BL477">
        <v>55.61</v>
      </c>
      <c r="BM477">
        <v>8.34</v>
      </c>
      <c r="BN477">
        <v>63.95</v>
      </c>
      <c r="BO477">
        <v>63.95</v>
      </c>
      <c r="BQ477" t="s">
        <v>636</v>
      </c>
      <c r="BR477" t="s">
        <v>84</v>
      </c>
      <c r="BS477" s="3">
        <v>45875</v>
      </c>
      <c r="BT477" s="4">
        <v>0.43402777777777779</v>
      </c>
      <c r="BU477" t="s">
        <v>1207</v>
      </c>
      <c r="BV477" t="s">
        <v>86</v>
      </c>
      <c r="BY477">
        <v>1200</v>
      </c>
      <c r="CA477" t="s">
        <v>151</v>
      </c>
      <c r="CC477" t="s">
        <v>80</v>
      </c>
      <c r="CD477">
        <v>1428</v>
      </c>
      <c r="CE477" t="s">
        <v>109</v>
      </c>
      <c r="CF477" s="3">
        <v>45875</v>
      </c>
      <c r="CI477">
        <v>1</v>
      </c>
      <c r="CJ477">
        <v>1</v>
      </c>
      <c r="CK477">
        <v>22</v>
      </c>
      <c r="CL477" t="s">
        <v>90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"080067033088"</f>
        <v>080067033088</v>
      </c>
      <c r="F478" s="3">
        <v>45874</v>
      </c>
      <c r="G478">
        <v>202605</v>
      </c>
      <c r="H478" t="s">
        <v>75</v>
      </c>
      <c r="I478" t="s">
        <v>76</v>
      </c>
      <c r="J478" t="s">
        <v>77</v>
      </c>
      <c r="K478" t="s">
        <v>78</v>
      </c>
      <c r="L478" t="s">
        <v>278</v>
      </c>
      <c r="M478" t="s">
        <v>279</v>
      </c>
      <c r="N478" t="s">
        <v>280</v>
      </c>
      <c r="O478" t="s">
        <v>82</v>
      </c>
      <c r="P478" t="str">
        <f>"4170053009                    "</f>
        <v xml:space="preserve">4170053009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22.6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2</v>
      </c>
      <c r="BJ478">
        <v>0.9</v>
      </c>
      <c r="BK478">
        <v>2</v>
      </c>
      <c r="BL478">
        <v>71.2</v>
      </c>
      <c r="BM478">
        <v>10.68</v>
      </c>
      <c r="BN478">
        <v>81.88</v>
      </c>
      <c r="BO478">
        <v>81.88</v>
      </c>
      <c r="BQ478" t="s">
        <v>281</v>
      </c>
      <c r="BR478" t="s">
        <v>84</v>
      </c>
      <c r="BS478" s="3">
        <v>45875</v>
      </c>
      <c r="BT478" s="4">
        <v>0.68541666666666667</v>
      </c>
      <c r="BU478" t="s">
        <v>1208</v>
      </c>
      <c r="BV478" t="s">
        <v>86</v>
      </c>
      <c r="BY478">
        <v>4275</v>
      </c>
      <c r="CA478" t="s">
        <v>283</v>
      </c>
      <c r="CC478" t="s">
        <v>279</v>
      </c>
      <c r="CD478" s="5" t="s">
        <v>284</v>
      </c>
      <c r="CE478" t="s">
        <v>147</v>
      </c>
      <c r="CF478" s="3">
        <v>45875</v>
      </c>
      <c r="CI478">
        <v>1</v>
      </c>
      <c r="CJ478">
        <v>1</v>
      </c>
      <c r="CK478">
        <v>21</v>
      </c>
      <c r="CL478" t="s">
        <v>90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"080067033133"</f>
        <v>080067033133</v>
      </c>
      <c r="F479" s="3">
        <v>45874</v>
      </c>
      <c r="G479">
        <v>202605</v>
      </c>
      <c r="H479" t="s">
        <v>75</v>
      </c>
      <c r="I479" t="s">
        <v>76</v>
      </c>
      <c r="J479" t="s">
        <v>77</v>
      </c>
      <c r="K479" t="s">
        <v>78</v>
      </c>
      <c r="L479" t="s">
        <v>325</v>
      </c>
      <c r="M479" t="s">
        <v>326</v>
      </c>
      <c r="N479" t="s">
        <v>1209</v>
      </c>
      <c r="O479" t="s">
        <v>82</v>
      </c>
      <c r="P479" t="str">
        <f>"4170052825                    "</f>
        <v xml:space="preserve">4170052825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17.649999999999999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1</v>
      </c>
      <c r="BJ479">
        <v>0.2</v>
      </c>
      <c r="BK479">
        <v>1</v>
      </c>
      <c r="BL479">
        <v>55.61</v>
      </c>
      <c r="BM479">
        <v>8.34</v>
      </c>
      <c r="BN479">
        <v>63.95</v>
      </c>
      <c r="BO479">
        <v>63.95</v>
      </c>
      <c r="BQ479" t="s">
        <v>1210</v>
      </c>
      <c r="BR479" t="s">
        <v>84</v>
      </c>
      <c r="BS479" s="3">
        <v>45875</v>
      </c>
      <c r="BT479" s="4">
        <v>0.33333333333333331</v>
      </c>
      <c r="BU479" t="s">
        <v>1211</v>
      </c>
      <c r="BV479" t="s">
        <v>86</v>
      </c>
      <c r="BY479">
        <v>1200</v>
      </c>
      <c r="CA479" t="s">
        <v>331</v>
      </c>
      <c r="CC479" t="s">
        <v>326</v>
      </c>
      <c r="CD479">
        <v>2190</v>
      </c>
      <c r="CE479" t="s">
        <v>109</v>
      </c>
      <c r="CF479" s="3">
        <v>45875</v>
      </c>
      <c r="CI479">
        <v>1</v>
      </c>
      <c r="CJ479">
        <v>1</v>
      </c>
      <c r="CK479">
        <v>22</v>
      </c>
      <c r="CL479" t="s">
        <v>90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"R080066889909"</f>
        <v>R080066889909</v>
      </c>
      <c r="F480" s="3">
        <v>45874</v>
      </c>
      <c r="G480">
        <v>202605</v>
      </c>
      <c r="H480" t="s">
        <v>325</v>
      </c>
      <c r="I480" t="s">
        <v>326</v>
      </c>
      <c r="J480" t="s">
        <v>1212</v>
      </c>
      <c r="K480" t="s">
        <v>78</v>
      </c>
      <c r="L480" t="s">
        <v>325</v>
      </c>
      <c r="M480" t="s">
        <v>326</v>
      </c>
      <c r="N480" t="s">
        <v>1213</v>
      </c>
      <c r="O480" t="s">
        <v>95</v>
      </c>
      <c r="P480" t="str">
        <f>"4170051961                    "</f>
        <v xml:space="preserve">4170051961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33.72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1</v>
      </c>
      <c r="BJ480">
        <v>0.2</v>
      </c>
      <c r="BK480">
        <v>1</v>
      </c>
      <c r="BL480">
        <v>112.11</v>
      </c>
      <c r="BM480">
        <v>16.82</v>
      </c>
      <c r="BN480">
        <v>128.93</v>
      </c>
      <c r="BO480">
        <v>128.93</v>
      </c>
      <c r="BQ480" t="s">
        <v>1214</v>
      </c>
      <c r="BR480" t="s">
        <v>1215</v>
      </c>
      <c r="BS480" s="3">
        <v>45875</v>
      </c>
      <c r="BT480" s="4">
        <v>0.54305555555555551</v>
      </c>
      <c r="BU480" t="s">
        <v>176</v>
      </c>
      <c r="BV480" t="s">
        <v>86</v>
      </c>
      <c r="BY480">
        <v>1200</v>
      </c>
      <c r="CA480" t="s">
        <v>1216</v>
      </c>
      <c r="CC480" t="s">
        <v>326</v>
      </c>
      <c r="CD480">
        <v>2128</v>
      </c>
      <c r="CE480" t="s">
        <v>109</v>
      </c>
      <c r="CI480">
        <v>1</v>
      </c>
      <c r="CJ480">
        <v>1</v>
      </c>
      <c r="CK480">
        <v>42</v>
      </c>
      <c r="CL480" t="s">
        <v>90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"080067033140"</f>
        <v>080067033140</v>
      </c>
      <c r="F481" s="3">
        <v>45874</v>
      </c>
      <c r="G481">
        <v>202605</v>
      </c>
      <c r="H481" t="s">
        <v>75</v>
      </c>
      <c r="I481" t="s">
        <v>76</v>
      </c>
      <c r="J481" t="s">
        <v>77</v>
      </c>
      <c r="K481" t="s">
        <v>78</v>
      </c>
      <c r="L481" t="s">
        <v>555</v>
      </c>
      <c r="M481" t="s">
        <v>556</v>
      </c>
      <c r="N481" t="s">
        <v>557</v>
      </c>
      <c r="O481" t="s">
        <v>82</v>
      </c>
      <c r="P481" t="str">
        <f>"4170053008                    "</f>
        <v xml:space="preserve">4170053008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43.78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2</v>
      </c>
      <c r="BJ481">
        <v>1.7</v>
      </c>
      <c r="BK481">
        <v>2</v>
      </c>
      <c r="BL481">
        <v>137.94</v>
      </c>
      <c r="BM481">
        <v>20.69</v>
      </c>
      <c r="BN481">
        <v>158.63</v>
      </c>
      <c r="BO481">
        <v>158.63</v>
      </c>
      <c r="BQ481" t="s">
        <v>558</v>
      </c>
      <c r="BR481" t="s">
        <v>84</v>
      </c>
      <c r="BS481" s="3">
        <v>45875</v>
      </c>
      <c r="BT481" s="4">
        <v>0.46666666666666667</v>
      </c>
      <c r="BU481" t="s">
        <v>1217</v>
      </c>
      <c r="BV481" t="s">
        <v>86</v>
      </c>
      <c r="BY481">
        <v>8512</v>
      </c>
      <c r="CA481" t="s">
        <v>847</v>
      </c>
      <c r="CC481" t="s">
        <v>556</v>
      </c>
      <c r="CD481">
        <v>6850</v>
      </c>
      <c r="CE481" t="s">
        <v>147</v>
      </c>
      <c r="CF481" s="3">
        <v>45876</v>
      </c>
      <c r="CI481">
        <v>2</v>
      </c>
      <c r="CJ481">
        <v>1</v>
      </c>
      <c r="CK481">
        <v>23</v>
      </c>
      <c r="CL481" t="s">
        <v>90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"080067033162"</f>
        <v>080067033162</v>
      </c>
      <c r="F482" s="3">
        <v>45874</v>
      </c>
      <c r="G482">
        <v>202605</v>
      </c>
      <c r="H482" t="s">
        <v>75</v>
      </c>
      <c r="I482" t="s">
        <v>76</v>
      </c>
      <c r="J482" t="s">
        <v>77</v>
      </c>
      <c r="K482" t="s">
        <v>78</v>
      </c>
      <c r="L482" t="s">
        <v>278</v>
      </c>
      <c r="M482" t="s">
        <v>279</v>
      </c>
      <c r="N482" t="s">
        <v>866</v>
      </c>
      <c r="O482" t="s">
        <v>82</v>
      </c>
      <c r="P482" t="str">
        <f>"4170052761                    "</f>
        <v xml:space="preserve">4170052761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22.6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1</v>
      </c>
      <c r="BJ482">
        <v>0.2</v>
      </c>
      <c r="BK482">
        <v>1</v>
      </c>
      <c r="BL482">
        <v>71.2</v>
      </c>
      <c r="BM482">
        <v>10.68</v>
      </c>
      <c r="BN482">
        <v>81.88</v>
      </c>
      <c r="BO482">
        <v>81.88</v>
      </c>
      <c r="BQ482" t="s">
        <v>867</v>
      </c>
      <c r="BR482" t="s">
        <v>84</v>
      </c>
      <c r="BS482" s="3">
        <v>45875</v>
      </c>
      <c r="BT482" s="4">
        <v>0.52222222222222225</v>
      </c>
      <c r="BU482" t="s">
        <v>1218</v>
      </c>
      <c r="BV482" t="s">
        <v>90</v>
      </c>
      <c r="BY482">
        <v>1200</v>
      </c>
      <c r="CA482" t="s">
        <v>1039</v>
      </c>
      <c r="CC482" t="s">
        <v>279</v>
      </c>
      <c r="CD482" s="5" t="s">
        <v>533</v>
      </c>
      <c r="CE482" t="s">
        <v>109</v>
      </c>
      <c r="CF482" s="3">
        <v>45875</v>
      </c>
      <c r="CI482">
        <v>1</v>
      </c>
      <c r="CJ482">
        <v>1</v>
      </c>
      <c r="CK482">
        <v>21</v>
      </c>
      <c r="CL482" t="s">
        <v>90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"080067033201"</f>
        <v>080067033201</v>
      </c>
      <c r="F483" s="3">
        <v>45874</v>
      </c>
      <c r="G483">
        <v>202605</v>
      </c>
      <c r="H483" t="s">
        <v>75</v>
      </c>
      <c r="I483" t="s">
        <v>76</v>
      </c>
      <c r="J483" t="s">
        <v>77</v>
      </c>
      <c r="K483" t="s">
        <v>78</v>
      </c>
      <c r="L483" t="s">
        <v>123</v>
      </c>
      <c r="M483" t="s">
        <v>124</v>
      </c>
      <c r="N483" t="s">
        <v>677</v>
      </c>
      <c r="O483" t="s">
        <v>82</v>
      </c>
      <c r="P483" t="str">
        <f>"4170052962                    "</f>
        <v xml:space="preserve">4170052962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33.89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3</v>
      </c>
      <c r="BJ483">
        <v>1.9</v>
      </c>
      <c r="BK483">
        <v>3</v>
      </c>
      <c r="BL483">
        <v>106.77</v>
      </c>
      <c r="BM483">
        <v>16.02</v>
      </c>
      <c r="BN483">
        <v>122.79</v>
      </c>
      <c r="BO483">
        <v>122.79</v>
      </c>
      <c r="BQ483" t="s">
        <v>678</v>
      </c>
      <c r="BR483" t="s">
        <v>84</v>
      </c>
      <c r="BS483" s="3">
        <v>45875</v>
      </c>
      <c r="BT483" s="4">
        <v>0.43333333333333335</v>
      </c>
      <c r="BU483" t="s">
        <v>679</v>
      </c>
      <c r="BV483" t="s">
        <v>86</v>
      </c>
      <c r="BY483">
        <v>9600</v>
      </c>
      <c r="CA483" t="s">
        <v>171</v>
      </c>
      <c r="CC483" t="s">
        <v>124</v>
      </c>
      <c r="CD483">
        <v>7530</v>
      </c>
      <c r="CE483" t="s">
        <v>147</v>
      </c>
      <c r="CF483" s="3">
        <v>45876</v>
      </c>
      <c r="CI483">
        <v>1</v>
      </c>
      <c r="CJ483">
        <v>1</v>
      </c>
      <c r="CK483">
        <v>21</v>
      </c>
      <c r="CL483" t="s">
        <v>90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"080067033238"</f>
        <v>080067033238</v>
      </c>
      <c r="F484" s="3">
        <v>45874</v>
      </c>
      <c r="G484">
        <v>202605</v>
      </c>
      <c r="H484" t="s">
        <v>75</v>
      </c>
      <c r="I484" t="s">
        <v>76</v>
      </c>
      <c r="J484" t="s">
        <v>77</v>
      </c>
      <c r="K484" t="s">
        <v>78</v>
      </c>
      <c r="L484" t="s">
        <v>1219</v>
      </c>
      <c r="M484" t="s">
        <v>1220</v>
      </c>
      <c r="N484" t="s">
        <v>1221</v>
      </c>
      <c r="O484" t="s">
        <v>82</v>
      </c>
      <c r="P484" t="str">
        <f>"4170052973                    "</f>
        <v xml:space="preserve">4170052973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43.78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1</v>
      </c>
      <c r="BJ484">
        <v>0.2</v>
      </c>
      <c r="BK484">
        <v>1</v>
      </c>
      <c r="BL484">
        <v>137.94</v>
      </c>
      <c r="BM484">
        <v>20.69</v>
      </c>
      <c r="BN484">
        <v>158.63</v>
      </c>
      <c r="BO484">
        <v>158.63</v>
      </c>
      <c r="BQ484" t="s">
        <v>1222</v>
      </c>
      <c r="BR484" t="s">
        <v>84</v>
      </c>
      <c r="BS484" s="3">
        <v>45880</v>
      </c>
      <c r="BT484" s="4">
        <v>0.5</v>
      </c>
      <c r="BU484" t="s">
        <v>1223</v>
      </c>
      <c r="BV484" t="s">
        <v>86</v>
      </c>
      <c r="BY484">
        <v>1200</v>
      </c>
      <c r="CC484" t="s">
        <v>1220</v>
      </c>
      <c r="CD484">
        <v>7380</v>
      </c>
      <c r="CE484" t="s">
        <v>109</v>
      </c>
      <c r="CF484" s="3">
        <v>45881</v>
      </c>
      <c r="CI484">
        <v>5</v>
      </c>
      <c r="CJ484">
        <v>4</v>
      </c>
      <c r="CK484">
        <v>23</v>
      </c>
      <c r="CL484" t="s">
        <v>90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"080067033270"</f>
        <v>080067033270</v>
      </c>
      <c r="F485" s="3">
        <v>45874</v>
      </c>
      <c r="G485">
        <v>202605</v>
      </c>
      <c r="H485" t="s">
        <v>75</v>
      </c>
      <c r="I485" t="s">
        <v>76</v>
      </c>
      <c r="J485" t="s">
        <v>77</v>
      </c>
      <c r="K485" t="s">
        <v>78</v>
      </c>
      <c r="L485" t="s">
        <v>162</v>
      </c>
      <c r="M485" t="s">
        <v>163</v>
      </c>
      <c r="N485" t="s">
        <v>246</v>
      </c>
      <c r="O485" t="s">
        <v>82</v>
      </c>
      <c r="P485" t="str">
        <f>"4170052853                    "</f>
        <v xml:space="preserve">4170052853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22.6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1</v>
      </c>
      <c r="BJ485">
        <v>0.2</v>
      </c>
      <c r="BK485">
        <v>1</v>
      </c>
      <c r="BL485">
        <v>71.2</v>
      </c>
      <c r="BM485">
        <v>10.68</v>
      </c>
      <c r="BN485">
        <v>81.88</v>
      </c>
      <c r="BO485">
        <v>81.88</v>
      </c>
      <c r="BQ485" t="s">
        <v>247</v>
      </c>
      <c r="BR485" t="s">
        <v>84</v>
      </c>
      <c r="BS485" s="3">
        <v>45875</v>
      </c>
      <c r="BT485" s="4">
        <v>0.41666666666666669</v>
      </c>
      <c r="BU485" t="s">
        <v>485</v>
      </c>
      <c r="BV485" t="s">
        <v>86</v>
      </c>
      <c r="BY485">
        <v>1200</v>
      </c>
      <c r="CC485" t="s">
        <v>163</v>
      </c>
      <c r="CD485">
        <v>3201</v>
      </c>
      <c r="CE485" t="s">
        <v>109</v>
      </c>
      <c r="CF485" s="3">
        <v>45876</v>
      </c>
      <c r="CI485">
        <v>1</v>
      </c>
      <c r="CJ485">
        <v>1</v>
      </c>
      <c r="CK485">
        <v>21</v>
      </c>
      <c r="CL485" t="s">
        <v>90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"080067033316"</f>
        <v>080067033316</v>
      </c>
      <c r="F486" s="3">
        <v>45874</v>
      </c>
      <c r="G486">
        <v>202605</v>
      </c>
      <c r="H486" t="s">
        <v>75</v>
      </c>
      <c r="I486" t="s">
        <v>76</v>
      </c>
      <c r="J486" t="s">
        <v>77</v>
      </c>
      <c r="K486" t="s">
        <v>78</v>
      </c>
      <c r="L486" t="s">
        <v>278</v>
      </c>
      <c r="M486" t="s">
        <v>279</v>
      </c>
      <c r="N486" t="s">
        <v>866</v>
      </c>
      <c r="O486" t="s">
        <v>82</v>
      </c>
      <c r="P486" t="str">
        <f>"4170052760                    "</f>
        <v xml:space="preserve">4170052760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22.6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1</v>
      </c>
      <c r="BJ486">
        <v>0.2</v>
      </c>
      <c r="BK486">
        <v>1</v>
      </c>
      <c r="BL486">
        <v>71.2</v>
      </c>
      <c r="BM486">
        <v>10.68</v>
      </c>
      <c r="BN486">
        <v>81.88</v>
      </c>
      <c r="BO486">
        <v>81.88</v>
      </c>
      <c r="BQ486" t="s">
        <v>867</v>
      </c>
      <c r="BR486" t="s">
        <v>84</v>
      </c>
      <c r="BS486" s="3">
        <v>45875</v>
      </c>
      <c r="BT486" s="4">
        <v>0.45347222222222222</v>
      </c>
      <c r="BU486" t="s">
        <v>1163</v>
      </c>
      <c r="BV486" t="s">
        <v>90</v>
      </c>
      <c r="BY486">
        <v>1200</v>
      </c>
      <c r="CA486" t="s">
        <v>532</v>
      </c>
      <c r="CC486" t="s">
        <v>279</v>
      </c>
      <c r="CD486" s="5" t="s">
        <v>533</v>
      </c>
      <c r="CE486" t="s">
        <v>109</v>
      </c>
      <c r="CF486" s="3">
        <v>45875</v>
      </c>
      <c r="CI486">
        <v>1</v>
      </c>
      <c r="CJ486">
        <v>1</v>
      </c>
      <c r="CK486">
        <v>21</v>
      </c>
      <c r="CL486" t="s">
        <v>90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"080067033338"</f>
        <v>080067033338</v>
      </c>
      <c r="F487" s="3">
        <v>45874</v>
      </c>
      <c r="G487">
        <v>202605</v>
      </c>
      <c r="H487" t="s">
        <v>75</v>
      </c>
      <c r="I487" t="s">
        <v>76</v>
      </c>
      <c r="J487" t="s">
        <v>77</v>
      </c>
      <c r="K487" t="s">
        <v>78</v>
      </c>
      <c r="L487" t="s">
        <v>278</v>
      </c>
      <c r="M487" t="s">
        <v>279</v>
      </c>
      <c r="N487" t="s">
        <v>880</v>
      </c>
      <c r="O487" t="s">
        <v>82</v>
      </c>
      <c r="P487" t="str">
        <f>"4170052817                    "</f>
        <v xml:space="preserve">4170052817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22.6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1</v>
      </c>
      <c r="BJ487">
        <v>0.2</v>
      </c>
      <c r="BK487">
        <v>1</v>
      </c>
      <c r="BL487">
        <v>71.2</v>
      </c>
      <c r="BM487">
        <v>10.68</v>
      </c>
      <c r="BN487">
        <v>81.88</v>
      </c>
      <c r="BO487">
        <v>81.88</v>
      </c>
      <c r="BQ487" t="s">
        <v>881</v>
      </c>
      <c r="BR487" t="s">
        <v>84</v>
      </c>
      <c r="BS487" s="3">
        <v>45875</v>
      </c>
      <c r="BT487" s="4">
        <v>0.42916666666666664</v>
      </c>
      <c r="BU487" t="s">
        <v>1224</v>
      </c>
      <c r="BV487" t="s">
        <v>86</v>
      </c>
      <c r="BY487">
        <v>1200</v>
      </c>
      <c r="CC487" t="s">
        <v>279</v>
      </c>
      <c r="CD487" s="5" t="s">
        <v>883</v>
      </c>
      <c r="CE487" t="s">
        <v>109</v>
      </c>
      <c r="CF487" s="3">
        <v>45876</v>
      </c>
      <c r="CI487">
        <v>1</v>
      </c>
      <c r="CJ487">
        <v>1</v>
      </c>
      <c r="CK487">
        <v>21</v>
      </c>
      <c r="CL487" t="s">
        <v>90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"080067033371"</f>
        <v>080067033371</v>
      </c>
      <c r="F488" s="3">
        <v>45874</v>
      </c>
      <c r="G488">
        <v>202605</v>
      </c>
      <c r="H488" t="s">
        <v>75</v>
      </c>
      <c r="I488" t="s">
        <v>76</v>
      </c>
      <c r="J488" t="s">
        <v>77</v>
      </c>
      <c r="K488" t="s">
        <v>78</v>
      </c>
      <c r="L488" t="s">
        <v>75</v>
      </c>
      <c r="M488" t="s">
        <v>76</v>
      </c>
      <c r="N488" t="s">
        <v>1058</v>
      </c>
      <c r="O488" t="s">
        <v>82</v>
      </c>
      <c r="P488" t="str">
        <f>"4170052860                    "</f>
        <v xml:space="preserve">4170052860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17.649999999999999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1</v>
      </c>
      <c r="BJ488">
        <v>0.2</v>
      </c>
      <c r="BK488">
        <v>1</v>
      </c>
      <c r="BL488">
        <v>55.61</v>
      </c>
      <c r="BM488">
        <v>8.34</v>
      </c>
      <c r="BN488">
        <v>63.95</v>
      </c>
      <c r="BO488">
        <v>63.95</v>
      </c>
      <c r="BQ488" t="s">
        <v>1059</v>
      </c>
      <c r="BR488" t="s">
        <v>84</v>
      </c>
      <c r="BS488" s="3">
        <v>45875</v>
      </c>
      <c r="BT488" s="4">
        <v>0.40486111111111112</v>
      </c>
      <c r="BU488" t="s">
        <v>1060</v>
      </c>
      <c r="BV488" t="s">
        <v>86</v>
      </c>
      <c r="BY488">
        <v>1200</v>
      </c>
      <c r="CA488" t="s">
        <v>1026</v>
      </c>
      <c r="CC488" t="s">
        <v>76</v>
      </c>
      <c r="CD488">
        <v>1614</v>
      </c>
      <c r="CE488" t="s">
        <v>109</v>
      </c>
      <c r="CF488" s="3">
        <v>45875</v>
      </c>
      <c r="CI488">
        <v>1</v>
      </c>
      <c r="CJ488">
        <v>1</v>
      </c>
      <c r="CK488">
        <v>22</v>
      </c>
      <c r="CL488" t="s">
        <v>90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"080067033399"</f>
        <v>080067033399</v>
      </c>
      <c r="F489" s="3">
        <v>45874</v>
      </c>
      <c r="G489">
        <v>202605</v>
      </c>
      <c r="H489" t="s">
        <v>75</v>
      </c>
      <c r="I489" t="s">
        <v>76</v>
      </c>
      <c r="J489" t="s">
        <v>77</v>
      </c>
      <c r="K489" t="s">
        <v>78</v>
      </c>
      <c r="L489" t="s">
        <v>123</v>
      </c>
      <c r="M489" t="s">
        <v>124</v>
      </c>
      <c r="N489" t="s">
        <v>1173</v>
      </c>
      <c r="O489" t="s">
        <v>82</v>
      </c>
      <c r="P489" t="str">
        <f>"4170052751                    "</f>
        <v xml:space="preserve">4170052751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22.6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1</v>
      </c>
      <c r="BJ489">
        <v>0.2</v>
      </c>
      <c r="BK489">
        <v>1</v>
      </c>
      <c r="BL489">
        <v>71.2</v>
      </c>
      <c r="BM489">
        <v>10.68</v>
      </c>
      <c r="BN489">
        <v>81.88</v>
      </c>
      <c r="BO489">
        <v>81.88</v>
      </c>
      <c r="BQ489" t="s">
        <v>1174</v>
      </c>
      <c r="BR489" t="s">
        <v>84</v>
      </c>
      <c r="BS489" s="3">
        <v>45875</v>
      </c>
      <c r="BT489" s="4">
        <v>0.36944444444444446</v>
      </c>
      <c r="BU489" t="s">
        <v>1175</v>
      </c>
      <c r="BV489" t="s">
        <v>86</v>
      </c>
      <c r="BY489">
        <v>1200</v>
      </c>
      <c r="CA489" t="s">
        <v>192</v>
      </c>
      <c r="CC489" t="s">
        <v>124</v>
      </c>
      <c r="CD489">
        <v>7405</v>
      </c>
      <c r="CE489" t="s">
        <v>1225</v>
      </c>
      <c r="CF489" s="3">
        <v>45876</v>
      </c>
      <c r="CI489">
        <v>1</v>
      </c>
      <c r="CJ489">
        <v>1</v>
      </c>
      <c r="CK489">
        <v>21</v>
      </c>
      <c r="CL489" t="s">
        <v>90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"080067033458"</f>
        <v>080067033458</v>
      </c>
      <c r="F490" s="3">
        <v>45874</v>
      </c>
      <c r="G490">
        <v>202605</v>
      </c>
      <c r="H490" t="s">
        <v>75</v>
      </c>
      <c r="I490" t="s">
        <v>76</v>
      </c>
      <c r="J490" t="s">
        <v>77</v>
      </c>
      <c r="K490" t="s">
        <v>78</v>
      </c>
      <c r="L490" t="s">
        <v>123</v>
      </c>
      <c r="M490" t="s">
        <v>124</v>
      </c>
      <c r="N490" t="s">
        <v>1226</v>
      </c>
      <c r="O490" t="s">
        <v>82</v>
      </c>
      <c r="P490" t="str">
        <f>"4170052930                    "</f>
        <v xml:space="preserve">4170052930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22.6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1</v>
      </c>
      <c r="BJ490">
        <v>0.2</v>
      </c>
      <c r="BK490">
        <v>1</v>
      </c>
      <c r="BL490">
        <v>71.2</v>
      </c>
      <c r="BM490">
        <v>10.68</v>
      </c>
      <c r="BN490">
        <v>81.88</v>
      </c>
      <c r="BO490">
        <v>81.88</v>
      </c>
      <c r="BQ490" t="s">
        <v>1227</v>
      </c>
      <c r="BR490" t="s">
        <v>84</v>
      </c>
      <c r="BS490" s="3">
        <v>45875</v>
      </c>
      <c r="BT490" s="4">
        <v>0.41875000000000001</v>
      </c>
      <c r="BU490" t="s">
        <v>1228</v>
      </c>
      <c r="BV490" t="s">
        <v>86</v>
      </c>
      <c r="BY490">
        <v>1200</v>
      </c>
      <c r="CA490" t="s">
        <v>1229</v>
      </c>
      <c r="CC490" t="s">
        <v>124</v>
      </c>
      <c r="CD490">
        <v>7499</v>
      </c>
      <c r="CE490" t="s">
        <v>109</v>
      </c>
      <c r="CF490" s="3">
        <v>45876</v>
      </c>
      <c r="CI490">
        <v>1</v>
      </c>
      <c r="CJ490">
        <v>1</v>
      </c>
      <c r="CK490">
        <v>21</v>
      </c>
      <c r="CL490" t="s">
        <v>90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"080067033504"</f>
        <v>080067033504</v>
      </c>
      <c r="F491" s="3">
        <v>45874</v>
      </c>
      <c r="G491">
        <v>202605</v>
      </c>
      <c r="H491" t="s">
        <v>75</v>
      </c>
      <c r="I491" t="s">
        <v>76</v>
      </c>
      <c r="J491" t="s">
        <v>77</v>
      </c>
      <c r="K491" t="s">
        <v>78</v>
      </c>
      <c r="L491" t="s">
        <v>278</v>
      </c>
      <c r="M491" t="s">
        <v>279</v>
      </c>
      <c r="N491" t="s">
        <v>928</v>
      </c>
      <c r="O491" t="s">
        <v>82</v>
      </c>
      <c r="P491" t="str">
        <f>"4170052918                    "</f>
        <v xml:space="preserve">4170052918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22.6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</v>
      </c>
      <c r="BJ491">
        <v>0.2</v>
      </c>
      <c r="BK491">
        <v>1</v>
      </c>
      <c r="BL491">
        <v>71.2</v>
      </c>
      <c r="BM491">
        <v>10.68</v>
      </c>
      <c r="BN491">
        <v>81.88</v>
      </c>
      <c r="BO491">
        <v>81.88</v>
      </c>
      <c r="BQ491" t="s">
        <v>929</v>
      </c>
      <c r="BR491" t="s">
        <v>84</v>
      </c>
      <c r="BS491" s="3">
        <v>45876</v>
      </c>
      <c r="BT491" s="4">
        <v>0.36180555555555555</v>
      </c>
      <c r="BU491" t="s">
        <v>1230</v>
      </c>
      <c r="BV491" t="s">
        <v>90</v>
      </c>
      <c r="BY491">
        <v>1200</v>
      </c>
      <c r="CA491" t="s">
        <v>511</v>
      </c>
      <c r="CC491" t="s">
        <v>279</v>
      </c>
      <c r="CD491" s="5" t="s">
        <v>512</v>
      </c>
      <c r="CE491" t="s">
        <v>109</v>
      </c>
      <c r="CF491" s="3">
        <v>45876</v>
      </c>
      <c r="CI491">
        <v>1</v>
      </c>
      <c r="CJ491">
        <v>2</v>
      </c>
      <c r="CK491">
        <v>21</v>
      </c>
      <c r="CL491" t="s">
        <v>90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"080067033523"</f>
        <v>080067033523</v>
      </c>
      <c r="F492" s="3">
        <v>45874</v>
      </c>
      <c r="G492">
        <v>202605</v>
      </c>
      <c r="H492" t="s">
        <v>75</v>
      </c>
      <c r="I492" t="s">
        <v>76</v>
      </c>
      <c r="J492" t="s">
        <v>77</v>
      </c>
      <c r="K492" t="s">
        <v>78</v>
      </c>
      <c r="L492" t="s">
        <v>385</v>
      </c>
      <c r="M492" t="s">
        <v>386</v>
      </c>
      <c r="N492" t="s">
        <v>397</v>
      </c>
      <c r="O492" t="s">
        <v>113</v>
      </c>
      <c r="P492" t="str">
        <f>"4170052861                    "</f>
        <v xml:space="preserve">4170052861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17.66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2</v>
      </c>
      <c r="BI492">
        <v>6</v>
      </c>
      <c r="BJ492">
        <v>3.4</v>
      </c>
      <c r="BK492">
        <v>6</v>
      </c>
      <c r="BL492">
        <v>55.63</v>
      </c>
      <c r="BM492">
        <v>8.34</v>
      </c>
      <c r="BN492">
        <v>63.97</v>
      </c>
      <c r="BO492">
        <v>63.97</v>
      </c>
      <c r="BQ492" t="s">
        <v>398</v>
      </c>
      <c r="BR492" t="s">
        <v>84</v>
      </c>
      <c r="BS492" s="3">
        <v>45875</v>
      </c>
      <c r="BT492" s="4">
        <v>0.45833333333333331</v>
      </c>
      <c r="BU492" t="s">
        <v>1231</v>
      </c>
      <c r="BV492" t="s">
        <v>86</v>
      </c>
      <c r="BY492">
        <v>17062</v>
      </c>
      <c r="CA492" t="s">
        <v>851</v>
      </c>
      <c r="CC492" t="s">
        <v>386</v>
      </c>
      <c r="CD492">
        <v>1559</v>
      </c>
      <c r="CE492" t="s">
        <v>147</v>
      </c>
      <c r="CF492" s="3">
        <v>45875</v>
      </c>
      <c r="CI492">
        <v>1</v>
      </c>
      <c r="CJ492">
        <v>1</v>
      </c>
      <c r="CK492">
        <v>32</v>
      </c>
      <c r="CL492" t="s">
        <v>90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"080067033534"</f>
        <v>080067033534</v>
      </c>
      <c r="F493" s="3">
        <v>45874</v>
      </c>
      <c r="G493">
        <v>202605</v>
      </c>
      <c r="H493" t="s">
        <v>75</v>
      </c>
      <c r="I493" t="s">
        <v>76</v>
      </c>
      <c r="J493" t="s">
        <v>77</v>
      </c>
      <c r="K493" t="s">
        <v>78</v>
      </c>
      <c r="L493" t="s">
        <v>217</v>
      </c>
      <c r="M493" t="s">
        <v>218</v>
      </c>
      <c r="N493" t="s">
        <v>544</v>
      </c>
      <c r="O493" t="s">
        <v>82</v>
      </c>
      <c r="P493" t="str">
        <f>"4170052934                    "</f>
        <v xml:space="preserve">4170052934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22.6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1</v>
      </c>
      <c r="BJ493">
        <v>0.2</v>
      </c>
      <c r="BK493">
        <v>1</v>
      </c>
      <c r="BL493">
        <v>71.2</v>
      </c>
      <c r="BM493">
        <v>10.68</v>
      </c>
      <c r="BN493">
        <v>81.88</v>
      </c>
      <c r="BO493">
        <v>81.88</v>
      </c>
      <c r="BQ493" t="s">
        <v>545</v>
      </c>
      <c r="BR493" t="s">
        <v>84</v>
      </c>
      <c r="BS493" s="3">
        <v>45875</v>
      </c>
      <c r="BT493" s="4">
        <v>0.57916666666666672</v>
      </c>
      <c r="BU493" t="s">
        <v>1232</v>
      </c>
      <c r="BV493" t="s">
        <v>90</v>
      </c>
      <c r="BY493">
        <v>1200</v>
      </c>
      <c r="CA493" t="s">
        <v>953</v>
      </c>
      <c r="CC493" t="s">
        <v>218</v>
      </c>
      <c r="CD493">
        <v>4000</v>
      </c>
      <c r="CE493" t="s">
        <v>109</v>
      </c>
      <c r="CF493" s="3">
        <v>45876</v>
      </c>
      <c r="CI493">
        <v>1</v>
      </c>
      <c r="CJ493">
        <v>1</v>
      </c>
      <c r="CK493">
        <v>21</v>
      </c>
      <c r="CL493" t="s">
        <v>90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"080067033562"</f>
        <v>080067033562</v>
      </c>
      <c r="F494" s="3">
        <v>45874</v>
      </c>
      <c r="G494">
        <v>202605</v>
      </c>
      <c r="H494" t="s">
        <v>75</v>
      </c>
      <c r="I494" t="s">
        <v>76</v>
      </c>
      <c r="J494" t="s">
        <v>77</v>
      </c>
      <c r="K494" t="s">
        <v>78</v>
      </c>
      <c r="L494" t="s">
        <v>75</v>
      </c>
      <c r="M494" t="s">
        <v>76</v>
      </c>
      <c r="N494" t="s">
        <v>152</v>
      </c>
      <c r="O494" t="s">
        <v>82</v>
      </c>
      <c r="P494" t="str">
        <f>"4170052882                    "</f>
        <v xml:space="preserve">4170052882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17.649999999999999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3</v>
      </c>
      <c r="BJ494">
        <v>1.7</v>
      </c>
      <c r="BK494">
        <v>3</v>
      </c>
      <c r="BL494">
        <v>55.61</v>
      </c>
      <c r="BM494">
        <v>8.34</v>
      </c>
      <c r="BN494">
        <v>63.95</v>
      </c>
      <c r="BO494">
        <v>63.95</v>
      </c>
      <c r="BQ494" t="s">
        <v>153</v>
      </c>
      <c r="BR494" t="s">
        <v>84</v>
      </c>
      <c r="BS494" s="3">
        <v>45875</v>
      </c>
      <c r="BT494" s="4">
        <v>0.31805555555555554</v>
      </c>
      <c r="BU494" t="s">
        <v>995</v>
      </c>
      <c r="BV494" t="s">
        <v>86</v>
      </c>
      <c r="BY494">
        <v>8512</v>
      </c>
      <c r="CA494" t="s">
        <v>155</v>
      </c>
      <c r="CC494" t="s">
        <v>76</v>
      </c>
      <c r="CD494">
        <v>1600</v>
      </c>
      <c r="CE494" t="s">
        <v>147</v>
      </c>
      <c r="CF494" s="3">
        <v>45875</v>
      </c>
      <c r="CI494">
        <v>1</v>
      </c>
      <c r="CJ494">
        <v>1</v>
      </c>
      <c r="CK494">
        <v>22</v>
      </c>
      <c r="CL494" t="s">
        <v>90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"080067033574"</f>
        <v>080067033574</v>
      </c>
      <c r="F495" s="3">
        <v>45874</v>
      </c>
      <c r="G495">
        <v>202605</v>
      </c>
      <c r="H495" t="s">
        <v>75</v>
      </c>
      <c r="I495" t="s">
        <v>76</v>
      </c>
      <c r="J495" t="s">
        <v>77</v>
      </c>
      <c r="K495" t="s">
        <v>78</v>
      </c>
      <c r="L495" t="s">
        <v>123</v>
      </c>
      <c r="M495" t="s">
        <v>124</v>
      </c>
      <c r="N495" t="s">
        <v>887</v>
      </c>
      <c r="O495" t="s">
        <v>82</v>
      </c>
      <c r="P495" t="str">
        <f>"4170052749                    "</f>
        <v xml:space="preserve">4170052749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22.6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1</v>
      </c>
      <c r="BJ495">
        <v>0.2</v>
      </c>
      <c r="BK495">
        <v>1</v>
      </c>
      <c r="BL495">
        <v>71.2</v>
      </c>
      <c r="BM495">
        <v>10.68</v>
      </c>
      <c r="BN495">
        <v>81.88</v>
      </c>
      <c r="BO495">
        <v>81.88</v>
      </c>
      <c r="BQ495" t="s">
        <v>888</v>
      </c>
      <c r="BR495" t="s">
        <v>84</v>
      </c>
      <c r="BS495" s="3">
        <v>45875</v>
      </c>
      <c r="BT495" s="4">
        <v>0.55694444444444446</v>
      </c>
      <c r="BU495" t="s">
        <v>1233</v>
      </c>
      <c r="BV495" t="s">
        <v>90</v>
      </c>
      <c r="BW495" t="s">
        <v>1045</v>
      </c>
      <c r="BX495" t="s">
        <v>1234</v>
      </c>
      <c r="BY495">
        <v>1200</v>
      </c>
      <c r="CC495" t="s">
        <v>124</v>
      </c>
      <c r="CD495">
        <v>7800</v>
      </c>
      <c r="CE495" t="s">
        <v>109</v>
      </c>
      <c r="CF495" s="3">
        <v>45876</v>
      </c>
      <c r="CI495">
        <v>1</v>
      </c>
      <c r="CJ495">
        <v>1</v>
      </c>
      <c r="CK495">
        <v>21</v>
      </c>
      <c r="CL495" t="s">
        <v>90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"080067033605"</f>
        <v>080067033605</v>
      </c>
      <c r="F496" s="3">
        <v>45874</v>
      </c>
      <c r="G496">
        <v>202605</v>
      </c>
      <c r="H496" t="s">
        <v>75</v>
      </c>
      <c r="I496" t="s">
        <v>76</v>
      </c>
      <c r="J496" t="s">
        <v>77</v>
      </c>
      <c r="K496" t="s">
        <v>78</v>
      </c>
      <c r="L496" t="s">
        <v>129</v>
      </c>
      <c r="M496" t="s">
        <v>130</v>
      </c>
      <c r="N496" t="s">
        <v>131</v>
      </c>
      <c r="O496" t="s">
        <v>82</v>
      </c>
      <c r="P496" t="str">
        <f>"4170052982                    "</f>
        <v xml:space="preserve">4170052982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56.47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5</v>
      </c>
      <c r="BJ496">
        <v>1.7</v>
      </c>
      <c r="BK496">
        <v>5</v>
      </c>
      <c r="BL496">
        <v>177.91</v>
      </c>
      <c r="BM496">
        <v>26.69</v>
      </c>
      <c r="BN496">
        <v>204.6</v>
      </c>
      <c r="BO496">
        <v>204.6</v>
      </c>
      <c r="BQ496" t="s">
        <v>132</v>
      </c>
      <c r="BR496" t="s">
        <v>84</v>
      </c>
      <c r="BS496" s="3">
        <v>45876</v>
      </c>
      <c r="BT496" s="4">
        <v>0.62847222222222221</v>
      </c>
      <c r="BU496" t="s">
        <v>133</v>
      </c>
      <c r="BV496" t="s">
        <v>90</v>
      </c>
      <c r="BW496" t="s">
        <v>134</v>
      </c>
      <c r="BX496" t="s">
        <v>440</v>
      </c>
      <c r="BY496">
        <v>8428</v>
      </c>
      <c r="CA496" t="s">
        <v>136</v>
      </c>
      <c r="CC496" t="s">
        <v>130</v>
      </c>
      <c r="CD496">
        <v>4133</v>
      </c>
      <c r="CE496" t="s">
        <v>117</v>
      </c>
      <c r="CF496" s="3">
        <v>45876</v>
      </c>
      <c r="CI496">
        <v>1</v>
      </c>
      <c r="CJ496">
        <v>2</v>
      </c>
      <c r="CK496">
        <v>21</v>
      </c>
      <c r="CL496" t="s">
        <v>90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"080067033628"</f>
        <v>080067033628</v>
      </c>
      <c r="F497" s="3">
        <v>45874</v>
      </c>
      <c r="G497">
        <v>202605</v>
      </c>
      <c r="H497" t="s">
        <v>75</v>
      </c>
      <c r="I497" t="s">
        <v>76</v>
      </c>
      <c r="J497" t="s">
        <v>77</v>
      </c>
      <c r="K497" t="s">
        <v>78</v>
      </c>
      <c r="L497" t="s">
        <v>123</v>
      </c>
      <c r="M497" t="s">
        <v>124</v>
      </c>
      <c r="N497" t="s">
        <v>189</v>
      </c>
      <c r="O497" t="s">
        <v>82</v>
      </c>
      <c r="P497" t="str">
        <f>"4170052942                    "</f>
        <v xml:space="preserve">4170052942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45.18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4</v>
      </c>
      <c r="BJ497">
        <v>1.5</v>
      </c>
      <c r="BK497">
        <v>4</v>
      </c>
      <c r="BL497">
        <v>142.34</v>
      </c>
      <c r="BM497">
        <v>21.35</v>
      </c>
      <c r="BN497">
        <v>163.69</v>
      </c>
      <c r="BO497">
        <v>163.69</v>
      </c>
      <c r="BQ497" t="s">
        <v>190</v>
      </c>
      <c r="BR497" t="s">
        <v>84</v>
      </c>
      <c r="BS497" s="3">
        <v>45875</v>
      </c>
      <c r="BT497" s="4">
        <v>0.42708333333333331</v>
      </c>
      <c r="BU497" t="s">
        <v>913</v>
      </c>
      <c r="BV497" t="s">
        <v>86</v>
      </c>
      <c r="BY497">
        <v>7560</v>
      </c>
      <c r="CA497" t="s">
        <v>192</v>
      </c>
      <c r="CC497" t="s">
        <v>124</v>
      </c>
      <c r="CD497">
        <v>8001</v>
      </c>
      <c r="CE497" t="s">
        <v>117</v>
      </c>
      <c r="CF497" s="3">
        <v>45876</v>
      </c>
      <c r="CI497">
        <v>1</v>
      </c>
      <c r="CJ497">
        <v>1</v>
      </c>
      <c r="CK497">
        <v>21</v>
      </c>
      <c r="CL497" t="s">
        <v>90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"080067033654"</f>
        <v>080067033654</v>
      </c>
      <c r="F498" s="3">
        <v>45874</v>
      </c>
      <c r="G498">
        <v>202605</v>
      </c>
      <c r="H498" t="s">
        <v>75</v>
      </c>
      <c r="I498" t="s">
        <v>76</v>
      </c>
      <c r="J498" t="s">
        <v>77</v>
      </c>
      <c r="K498" t="s">
        <v>78</v>
      </c>
      <c r="L498" t="s">
        <v>123</v>
      </c>
      <c r="M498" t="s">
        <v>124</v>
      </c>
      <c r="N498" t="s">
        <v>1235</v>
      </c>
      <c r="O498" t="s">
        <v>82</v>
      </c>
      <c r="P498" t="str">
        <f>"4170052955                    "</f>
        <v xml:space="preserve">4170052955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22.6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2</v>
      </c>
      <c r="BJ498">
        <v>1.4</v>
      </c>
      <c r="BK498">
        <v>2</v>
      </c>
      <c r="BL498">
        <v>71.2</v>
      </c>
      <c r="BM498">
        <v>10.68</v>
      </c>
      <c r="BN498">
        <v>81.88</v>
      </c>
      <c r="BO498">
        <v>81.88</v>
      </c>
      <c r="BQ498" t="s">
        <v>1236</v>
      </c>
      <c r="BR498" t="s">
        <v>84</v>
      </c>
      <c r="BS498" s="3">
        <v>45875</v>
      </c>
      <c r="BT498" s="4">
        <v>0.43680555555555556</v>
      </c>
      <c r="BU498" t="s">
        <v>1237</v>
      </c>
      <c r="BV498" t="s">
        <v>86</v>
      </c>
      <c r="BY498">
        <v>7000</v>
      </c>
      <c r="CA498" t="s">
        <v>1238</v>
      </c>
      <c r="CC498" t="s">
        <v>124</v>
      </c>
      <c r="CD498">
        <v>7460</v>
      </c>
      <c r="CE498" t="s">
        <v>147</v>
      </c>
      <c r="CF498" s="3">
        <v>45876</v>
      </c>
      <c r="CI498">
        <v>1</v>
      </c>
      <c r="CJ498">
        <v>1</v>
      </c>
      <c r="CK498">
        <v>21</v>
      </c>
      <c r="CL498" t="s">
        <v>90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"080067033676"</f>
        <v>080067033676</v>
      </c>
      <c r="F499" s="3">
        <v>45874</v>
      </c>
      <c r="G499">
        <v>202605</v>
      </c>
      <c r="H499" t="s">
        <v>75</v>
      </c>
      <c r="I499" t="s">
        <v>76</v>
      </c>
      <c r="J499" t="s">
        <v>77</v>
      </c>
      <c r="K499" t="s">
        <v>78</v>
      </c>
      <c r="L499" t="s">
        <v>234</v>
      </c>
      <c r="M499" t="s">
        <v>235</v>
      </c>
      <c r="N499" t="s">
        <v>236</v>
      </c>
      <c r="O499" t="s">
        <v>82</v>
      </c>
      <c r="P499" t="str">
        <f>"4170052786                    "</f>
        <v xml:space="preserve">4170052786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22.6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</v>
      </c>
      <c r="BJ499">
        <v>0.6</v>
      </c>
      <c r="BK499">
        <v>1</v>
      </c>
      <c r="BL499">
        <v>71.2</v>
      </c>
      <c r="BM499">
        <v>10.68</v>
      </c>
      <c r="BN499">
        <v>81.88</v>
      </c>
      <c r="BO499">
        <v>81.88</v>
      </c>
      <c r="BQ499" t="s">
        <v>237</v>
      </c>
      <c r="BR499" t="s">
        <v>84</v>
      </c>
      <c r="BS499" s="3">
        <v>45875</v>
      </c>
      <c r="BT499" s="4">
        <v>0.40277777777777779</v>
      </c>
      <c r="BU499" t="s">
        <v>238</v>
      </c>
      <c r="BV499" t="s">
        <v>86</v>
      </c>
      <c r="BY499">
        <v>3192</v>
      </c>
      <c r="CA499" t="s">
        <v>239</v>
      </c>
      <c r="CC499" t="s">
        <v>235</v>
      </c>
      <c r="CD499" s="5" t="s">
        <v>240</v>
      </c>
      <c r="CE499" t="s">
        <v>147</v>
      </c>
      <c r="CF499" s="3">
        <v>45875</v>
      </c>
      <c r="CI499">
        <v>1</v>
      </c>
      <c r="CJ499">
        <v>1</v>
      </c>
      <c r="CK499">
        <v>21</v>
      </c>
      <c r="CL499" t="s">
        <v>90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"080067033702"</f>
        <v>080067033702</v>
      </c>
      <c r="F500" s="3">
        <v>45874</v>
      </c>
      <c r="G500">
        <v>202605</v>
      </c>
      <c r="H500" t="s">
        <v>75</v>
      </c>
      <c r="I500" t="s">
        <v>76</v>
      </c>
      <c r="J500" t="s">
        <v>77</v>
      </c>
      <c r="K500" t="s">
        <v>78</v>
      </c>
      <c r="L500" t="s">
        <v>118</v>
      </c>
      <c r="M500" t="s">
        <v>118</v>
      </c>
      <c r="N500" t="s">
        <v>119</v>
      </c>
      <c r="O500" t="s">
        <v>82</v>
      </c>
      <c r="P500" t="str">
        <f>"4170052820                    "</f>
        <v xml:space="preserve">4170052820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43.78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1</v>
      </c>
      <c r="BJ500">
        <v>0.2</v>
      </c>
      <c r="BK500">
        <v>1</v>
      </c>
      <c r="BL500">
        <v>137.94</v>
      </c>
      <c r="BM500">
        <v>20.69</v>
      </c>
      <c r="BN500">
        <v>158.63</v>
      </c>
      <c r="BO500">
        <v>158.63</v>
      </c>
      <c r="BQ500" t="s">
        <v>120</v>
      </c>
      <c r="BR500" t="s">
        <v>84</v>
      </c>
      <c r="BS500" s="3">
        <v>45875</v>
      </c>
      <c r="BT500" s="4">
        <v>0.53888888888888886</v>
      </c>
      <c r="BU500" t="s">
        <v>121</v>
      </c>
      <c r="BV500" t="s">
        <v>86</v>
      </c>
      <c r="BY500">
        <v>1200</v>
      </c>
      <c r="CA500" t="s">
        <v>122</v>
      </c>
      <c r="CC500" t="s">
        <v>118</v>
      </c>
      <c r="CD500">
        <v>7646</v>
      </c>
      <c r="CE500" t="s">
        <v>109</v>
      </c>
      <c r="CF500" s="3">
        <v>45876</v>
      </c>
      <c r="CI500">
        <v>1</v>
      </c>
      <c r="CJ500">
        <v>1</v>
      </c>
      <c r="CK500">
        <v>23</v>
      </c>
      <c r="CL500" t="s">
        <v>90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"080067033735"</f>
        <v>080067033735</v>
      </c>
      <c r="F501" s="3">
        <v>45874</v>
      </c>
      <c r="G501">
        <v>202605</v>
      </c>
      <c r="H501" t="s">
        <v>75</v>
      </c>
      <c r="I501" t="s">
        <v>76</v>
      </c>
      <c r="J501" t="s">
        <v>77</v>
      </c>
      <c r="K501" t="s">
        <v>78</v>
      </c>
      <c r="L501" t="s">
        <v>137</v>
      </c>
      <c r="M501" t="s">
        <v>138</v>
      </c>
      <c r="N501" t="s">
        <v>1239</v>
      </c>
      <c r="O501" t="s">
        <v>82</v>
      </c>
      <c r="P501" t="str">
        <f>"4170053033                    "</f>
        <v xml:space="preserve">4170053033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22.6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1</v>
      </c>
      <c r="BJ501">
        <v>0.2</v>
      </c>
      <c r="BK501">
        <v>1</v>
      </c>
      <c r="BL501">
        <v>71.2</v>
      </c>
      <c r="BM501">
        <v>10.68</v>
      </c>
      <c r="BN501">
        <v>81.88</v>
      </c>
      <c r="BO501">
        <v>81.88</v>
      </c>
      <c r="BQ501" t="s">
        <v>1240</v>
      </c>
      <c r="BR501" t="s">
        <v>84</v>
      </c>
      <c r="BS501" s="3">
        <v>45875</v>
      </c>
      <c r="BT501" s="4">
        <v>0.3923611111111111</v>
      </c>
      <c r="BU501" t="s">
        <v>1241</v>
      </c>
      <c r="BV501" t="s">
        <v>86</v>
      </c>
      <c r="BY501">
        <v>1200</v>
      </c>
      <c r="CA501" t="s">
        <v>953</v>
      </c>
      <c r="CC501" t="s">
        <v>138</v>
      </c>
      <c r="CD501">
        <v>3610</v>
      </c>
      <c r="CE501" t="s">
        <v>109</v>
      </c>
      <c r="CF501" s="3">
        <v>45876</v>
      </c>
      <c r="CI501">
        <v>1</v>
      </c>
      <c r="CJ501">
        <v>1</v>
      </c>
      <c r="CK501">
        <v>21</v>
      </c>
      <c r="CL501" t="s">
        <v>90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"080067033762"</f>
        <v>080067033762</v>
      </c>
      <c r="F502" s="3">
        <v>45874</v>
      </c>
      <c r="G502">
        <v>202605</v>
      </c>
      <c r="H502" t="s">
        <v>75</v>
      </c>
      <c r="I502" t="s">
        <v>76</v>
      </c>
      <c r="J502" t="s">
        <v>77</v>
      </c>
      <c r="K502" t="s">
        <v>78</v>
      </c>
      <c r="L502" t="s">
        <v>278</v>
      </c>
      <c r="M502" t="s">
        <v>279</v>
      </c>
      <c r="N502" t="s">
        <v>690</v>
      </c>
      <c r="O502" t="s">
        <v>82</v>
      </c>
      <c r="P502" t="str">
        <f>"4170052745                    "</f>
        <v xml:space="preserve">4170052745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22.6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1</v>
      </c>
      <c r="BJ502">
        <v>0.2</v>
      </c>
      <c r="BK502">
        <v>1</v>
      </c>
      <c r="BL502">
        <v>71.2</v>
      </c>
      <c r="BM502">
        <v>10.68</v>
      </c>
      <c r="BN502">
        <v>81.88</v>
      </c>
      <c r="BO502">
        <v>81.88</v>
      </c>
      <c r="BQ502" t="s">
        <v>691</v>
      </c>
      <c r="BR502" t="s">
        <v>84</v>
      </c>
      <c r="BS502" s="3">
        <v>45875</v>
      </c>
      <c r="BT502" s="4">
        <v>0.44444444444444442</v>
      </c>
      <c r="BU502" t="s">
        <v>1242</v>
      </c>
      <c r="BV502" t="s">
        <v>90</v>
      </c>
      <c r="BY502">
        <v>1200</v>
      </c>
      <c r="CA502" t="s">
        <v>1243</v>
      </c>
      <c r="CC502" t="s">
        <v>279</v>
      </c>
      <c r="CD502" s="5" t="s">
        <v>289</v>
      </c>
      <c r="CE502" t="s">
        <v>109</v>
      </c>
      <c r="CF502" s="3">
        <v>45875</v>
      </c>
      <c r="CI502">
        <v>1</v>
      </c>
      <c r="CJ502">
        <v>1</v>
      </c>
      <c r="CK502">
        <v>21</v>
      </c>
      <c r="CL502" t="s">
        <v>90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"080067033782"</f>
        <v>080067033782</v>
      </c>
      <c r="F503" s="3">
        <v>45874</v>
      </c>
      <c r="G503">
        <v>202605</v>
      </c>
      <c r="H503" t="s">
        <v>75</v>
      </c>
      <c r="I503" t="s">
        <v>76</v>
      </c>
      <c r="J503" t="s">
        <v>77</v>
      </c>
      <c r="K503" t="s">
        <v>78</v>
      </c>
      <c r="L503" t="s">
        <v>217</v>
      </c>
      <c r="M503" t="s">
        <v>218</v>
      </c>
      <c r="N503" t="s">
        <v>219</v>
      </c>
      <c r="O503" t="s">
        <v>82</v>
      </c>
      <c r="P503" t="str">
        <f>"4170052849                    "</f>
        <v xml:space="preserve">4170052849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22.6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1</v>
      </c>
      <c r="BJ503">
        <v>0.2</v>
      </c>
      <c r="BK503">
        <v>1</v>
      </c>
      <c r="BL503">
        <v>71.2</v>
      </c>
      <c r="BM503">
        <v>10.68</v>
      </c>
      <c r="BN503">
        <v>81.88</v>
      </c>
      <c r="BO503">
        <v>81.88</v>
      </c>
      <c r="BQ503" t="s">
        <v>220</v>
      </c>
      <c r="BR503" t="s">
        <v>84</v>
      </c>
      <c r="BS503" s="3">
        <v>45875</v>
      </c>
      <c r="BT503" s="4">
        <v>0.33611111111111114</v>
      </c>
      <c r="BU503" t="s">
        <v>565</v>
      </c>
      <c r="BV503" t="s">
        <v>86</v>
      </c>
      <c r="BY503">
        <v>1200</v>
      </c>
      <c r="CA503" t="s">
        <v>566</v>
      </c>
      <c r="CC503" t="s">
        <v>218</v>
      </c>
      <c r="CD503">
        <v>4000</v>
      </c>
      <c r="CE503" t="s">
        <v>109</v>
      </c>
      <c r="CF503" s="3">
        <v>45875</v>
      </c>
      <c r="CI503">
        <v>1</v>
      </c>
      <c r="CJ503">
        <v>1</v>
      </c>
      <c r="CK503">
        <v>21</v>
      </c>
      <c r="CL503" t="s">
        <v>90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"080067033787"</f>
        <v>080067033787</v>
      </c>
      <c r="F504" s="3">
        <v>45874</v>
      </c>
      <c r="G504">
        <v>202605</v>
      </c>
      <c r="H504" t="s">
        <v>75</v>
      </c>
      <c r="I504" t="s">
        <v>76</v>
      </c>
      <c r="J504" t="s">
        <v>77</v>
      </c>
      <c r="K504" t="s">
        <v>78</v>
      </c>
      <c r="L504" t="s">
        <v>241</v>
      </c>
      <c r="M504" t="s">
        <v>242</v>
      </c>
      <c r="N504" t="s">
        <v>1244</v>
      </c>
      <c r="O504" t="s">
        <v>113</v>
      </c>
      <c r="P504" t="str">
        <f>"4170052880                    "</f>
        <v xml:space="preserve">4170052880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17.66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4</v>
      </c>
      <c r="BJ504">
        <v>5</v>
      </c>
      <c r="BK504">
        <v>5</v>
      </c>
      <c r="BL504">
        <v>55.63</v>
      </c>
      <c r="BM504">
        <v>8.34</v>
      </c>
      <c r="BN504">
        <v>63.97</v>
      </c>
      <c r="BO504">
        <v>63.97</v>
      </c>
      <c r="BQ504" t="s">
        <v>1245</v>
      </c>
      <c r="BR504" t="s">
        <v>84</v>
      </c>
      <c r="BS504" s="3">
        <v>45875</v>
      </c>
      <c r="BT504" s="4">
        <v>0.36736111111111114</v>
      </c>
      <c r="BU504" t="s">
        <v>1246</v>
      </c>
      <c r="BV504" t="s">
        <v>86</v>
      </c>
      <c r="BY504">
        <v>25000</v>
      </c>
      <c r="CA504" t="s">
        <v>540</v>
      </c>
      <c r="CC504" t="s">
        <v>242</v>
      </c>
      <c r="CD504">
        <v>1459</v>
      </c>
      <c r="CE504" t="s">
        <v>934</v>
      </c>
      <c r="CF504" s="3">
        <v>45876</v>
      </c>
      <c r="CI504">
        <v>1</v>
      </c>
      <c r="CJ504">
        <v>1</v>
      </c>
      <c r="CK504">
        <v>32</v>
      </c>
      <c r="CL504" t="s">
        <v>90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"080067033816"</f>
        <v>080067033816</v>
      </c>
      <c r="F505" s="3">
        <v>45874</v>
      </c>
      <c r="G505">
        <v>202605</v>
      </c>
      <c r="H505" t="s">
        <v>75</v>
      </c>
      <c r="I505" t="s">
        <v>76</v>
      </c>
      <c r="J505" t="s">
        <v>77</v>
      </c>
      <c r="K505" t="s">
        <v>78</v>
      </c>
      <c r="L505" t="s">
        <v>241</v>
      </c>
      <c r="M505" t="s">
        <v>242</v>
      </c>
      <c r="N505" t="s">
        <v>1247</v>
      </c>
      <c r="O505" t="s">
        <v>82</v>
      </c>
      <c r="P505" t="str">
        <f>"4170053001                    "</f>
        <v xml:space="preserve">4170053001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17.649999999999999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1</v>
      </c>
      <c r="BJ505">
        <v>0.2</v>
      </c>
      <c r="BK505">
        <v>1</v>
      </c>
      <c r="BL505">
        <v>55.61</v>
      </c>
      <c r="BM505">
        <v>8.34</v>
      </c>
      <c r="BN505">
        <v>63.95</v>
      </c>
      <c r="BO505">
        <v>63.95</v>
      </c>
      <c r="BQ505" t="s">
        <v>1248</v>
      </c>
      <c r="BR505" t="s">
        <v>84</v>
      </c>
      <c r="BS505" s="3">
        <v>45875</v>
      </c>
      <c r="BT505" s="4">
        <v>0.36041666666666666</v>
      </c>
      <c r="BU505" t="s">
        <v>1249</v>
      </c>
      <c r="BV505" t="s">
        <v>86</v>
      </c>
      <c r="BY505">
        <v>1200</v>
      </c>
      <c r="CA505" t="s">
        <v>576</v>
      </c>
      <c r="CC505" t="s">
        <v>242</v>
      </c>
      <c r="CD505">
        <v>1459</v>
      </c>
      <c r="CE505" t="s">
        <v>109</v>
      </c>
      <c r="CF505" s="3">
        <v>45875</v>
      </c>
      <c r="CI505">
        <v>1</v>
      </c>
      <c r="CJ505">
        <v>1</v>
      </c>
      <c r="CK505">
        <v>22</v>
      </c>
      <c r="CL505" t="s">
        <v>90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"080067033847"</f>
        <v>080067033847</v>
      </c>
      <c r="F506" s="3">
        <v>45874</v>
      </c>
      <c r="G506">
        <v>202605</v>
      </c>
      <c r="H506" t="s">
        <v>75</v>
      </c>
      <c r="I506" t="s">
        <v>76</v>
      </c>
      <c r="J506" t="s">
        <v>77</v>
      </c>
      <c r="K506" t="s">
        <v>78</v>
      </c>
      <c r="L506" t="s">
        <v>198</v>
      </c>
      <c r="M506" t="s">
        <v>199</v>
      </c>
      <c r="N506" t="s">
        <v>1001</v>
      </c>
      <c r="O506" t="s">
        <v>82</v>
      </c>
      <c r="P506" t="str">
        <f>"4170053005                    "</f>
        <v xml:space="preserve">4170053005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22.6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1</v>
      </c>
      <c r="BJ506">
        <v>0.2</v>
      </c>
      <c r="BK506">
        <v>1</v>
      </c>
      <c r="BL506">
        <v>71.2</v>
      </c>
      <c r="BM506">
        <v>10.68</v>
      </c>
      <c r="BN506">
        <v>81.88</v>
      </c>
      <c r="BO506">
        <v>81.88</v>
      </c>
      <c r="BQ506" t="s">
        <v>1002</v>
      </c>
      <c r="BR506" t="s">
        <v>84</v>
      </c>
      <c r="BS506" s="3">
        <v>45875</v>
      </c>
      <c r="BT506" s="4">
        <v>0.39027777777777778</v>
      </c>
      <c r="BU506" t="s">
        <v>622</v>
      </c>
      <c r="BV506" t="s">
        <v>86</v>
      </c>
      <c r="BY506">
        <v>1200</v>
      </c>
      <c r="CA506" t="s">
        <v>689</v>
      </c>
      <c r="CC506" t="s">
        <v>199</v>
      </c>
      <c r="CD506">
        <v>6001</v>
      </c>
      <c r="CE506" t="s">
        <v>109</v>
      </c>
      <c r="CF506" s="3">
        <v>45875</v>
      </c>
      <c r="CI506">
        <v>1</v>
      </c>
      <c r="CJ506">
        <v>1</v>
      </c>
      <c r="CK506">
        <v>21</v>
      </c>
      <c r="CL506" t="s">
        <v>90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"080067033850"</f>
        <v>080067033850</v>
      </c>
      <c r="F507" s="3">
        <v>45874</v>
      </c>
      <c r="G507">
        <v>202605</v>
      </c>
      <c r="H507" t="s">
        <v>75</v>
      </c>
      <c r="I507" t="s">
        <v>76</v>
      </c>
      <c r="J507" t="s">
        <v>77</v>
      </c>
      <c r="K507" t="s">
        <v>78</v>
      </c>
      <c r="L507" t="s">
        <v>162</v>
      </c>
      <c r="M507" t="s">
        <v>163</v>
      </c>
      <c r="N507" t="s">
        <v>811</v>
      </c>
      <c r="O507" t="s">
        <v>82</v>
      </c>
      <c r="P507" t="str">
        <f>"4170053026                    "</f>
        <v xml:space="preserve">4170053026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118.57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7</v>
      </c>
      <c r="BJ507">
        <v>10.5</v>
      </c>
      <c r="BK507">
        <v>10.5</v>
      </c>
      <c r="BL507">
        <v>373.55</v>
      </c>
      <c r="BM507">
        <v>56.03</v>
      </c>
      <c r="BN507">
        <v>429.58</v>
      </c>
      <c r="BO507">
        <v>429.58</v>
      </c>
      <c r="BQ507" t="s">
        <v>812</v>
      </c>
      <c r="BR507" t="s">
        <v>84</v>
      </c>
      <c r="BS507" s="3">
        <v>45875</v>
      </c>
      <c r="BT507" s="4">
        <v>0.91666666666666663</v>
      </c>
      <c r="BU507" t="s">
        <v>1250</v>
      </c>
      <c r="BV507" t="s">
        <v>90</v>
      </c>
      <c r="BY507">
        <v>52488</v>
      </c>
      <c r="CC507" t="s">
        <v>163</v>
      </c>
      <c r="CD507">
        <v>3201</v>
      </c>
      <c r="CE507" t="s">
        <v>117</v>
      </c>
      <c r="CF507" s="3">
        <v>45876</v>
      </c>
      <c r="CI507">
        <v>1</v>
      </c>
      <c r="CJ507">
        <v>1</v>
      </c>
      <c r="CK507">
        <v>21</v>
      </c>
      <c r="CL507" t="s">
        <v>90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"080067033873"</f>
        <v>080067033873</v>
      </c>
      <c r="F508" s="3">
        <v>45874</v>
      </c>
      <c r="G508">
        <v>202605</v>
      </c>
      <c r="H508" t="s">
        <v>75</v>
      </c>
      <c r="I508" t="s">
        <v>76</v>
      </c>
      <c r="J508" t="s">
        <v>77</v>
      </c>
      <c r="K508" t="s">
        <v>78</v>
      </c>
      <c r="L508" t="s">
        <v>123</v>
      </c>
      <c r="M508" t="s">
        <v>124</v>
      </c>
      <c r="N508" t="s">
        <v>168</v>
      </c>
      <c r="O508" t="s">
        <v>82</v>
      </c>
      <c r="P508" t="str">
        <f>"4170052906                    "</f>
        <v xml:space="preserve">4170052906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22.6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1</v>
      </c>
      <c r="BJ508">
        <v>0.2</v>
      </c>
      <c r="BK508">
        <v>1</v>
      </c>
      <c r="BL508">
        <v>71.2</v>
      </c>
      <c r="BM508">
        <v>10.68</v>
      </c>
      <c r="BN508">
        <v>81.88</v>
      </c>
      <c r="BO508">
        <v>81.88</v>
      </c>
      <c r="BQ508" t="s">
        <v>169</v>
      </c>
      <c r="BR508" t="s">
        <v>84</v>
      </c>
      <c r="BS508" s="3">
        <v>45875</v>
      </c>
      <c r="BT508" s="4">
        <v>0.43333333333333335</v>
      </c>
      <c r="BU508" t="s">
        <v>679</v>
      </c>
      <c r="BV508" t="s">
        <v>86</v>
      </c>
      <c r="BY508">
        <v>1200</v>
      </c>
      <c r="CA508" t="s">
        <v>171</v>
      </c>
      <c r="CC508" t="s">
        <v>124</v>
      </c>
      <c r="CD508">
        <v>7535</v>
      </c>
      <c r="CE508" t="s">
        <v>109</v>
      </c>
      <c r="CF508" s="3">
        <v>45876</v>
      </c>
      <c r="CI508">
        <v>1</v>
      </c>
      <c r="CJ508">
        <v>1</v>
      </c>
      <c r="CK508">
        <v>21</v>
      </c>
      <c r="CL508" t="s">
        <v>90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"080067033880"</f>
        <v>080067033880</v>
      </c>
      <c r="F509" s="3">
        <v>45874</v>
      </c>
      <c r="G509">
        <v>202605</v>
      </c>
      <c r="H509" t="s">
        <v>75</v>
      </c>
      <c r="I509" t="s">
        <v>76</v>
      </c>
      <c r="J509" t="s">
        <v>77</v>
      </c>
      <c r="K509" t="s">
        <v>78</v>
      </c>
      <c r="L509" t="s">
        <v>319</v>
      </c>
      <c r="M509" t="s">
        <v>320</v>
      </c>
      <c r="N509" t="s">
        <v>321</v>
      </c>
      <c r="O509" t="s">
        <v>82</v>
      </c>
      <c r="P509" t="str">
        <f>"4170052792                    "</f>
        <v xml:space="preserve">4170052792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43.78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1</v>
      </c>
      <c r="BJ509">
        <v>0.6</v>
      </c>
      <c r="BK509">
        <v>1</v>
      </c>
      <c r="BL509">
        <v>137.94</v>
      </c>
      <c r="BM509">
        <v>20.69</v>
      </c>
      <c r="BN509">
        <v>158.63</v>
      </c>
      <c r="BO509">
        <v>158.63</v>
      </c>
      <c r="BQ509" t="s">
        <v>322</v>
      </c>
      <c r="BR509" t="s">
        <v>84</v>
      </c>
      <c r="BS509" s="3">
        <v>45875</v>
      </c>
      <c r="BT509" s="4">
        <v>0.61250000000000004</v>
      </c>
      <c r="BU509" t="s">
        <v>1094</v>
      </c>
      <c r="BV509" t="s">
        <v>90</v>
      </c>
      <c r="BY509">
        <v>3192</v>
      </c>
      <c r="CA509" t="s">
        <v>324</v>
      </c>
      <c r="CC509" t="s">
        <v>320</v>
      </c>
      <c r="CD509">
        <v>2531</v>
      </c>
      <c r="CE509" t="s">
        <v>147</v>
      </c>
      <c r="CF509" s="3">
        <v>45876</v>
      </c>
      <c r="CI509">
        <v>1</v>
      </c>
      <c r="CJ509">
        <v>1</v>
      </c>
      <c r="CK509">
        <v>23</v>
      </c>
      <c r="CL509" t="s">
        <v>90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"080067033906"</f>
        <v>080067033906</v>
      </c>
      <c r="F510" s="3">
        <v>45874</v>
      </c>
      <c r="G510">
        <v>202605</v>
      </c>
      <c r="H510" t="s">
        <v>75</v>
      </c>
      <c r="I510" t="s">
        <v>76</v>
      </c>
      <c r="J510" t="s">
        <v>77</v>
      </c>
      <c r="K510" t="s">
        <v>78</v>
      </c>
      <c r="L510" t="s">
        <v>162</v>
      </c>
      <c r="M510" t="s">
        <v>163</v>
      </c>
      <c r="N510" t="s">
        <v>811</v>
      </c>
      <c r="O510" t="s">
        <v>82</v>
      </c>
      <c r="P510" t="str">
        <f>"4170052854                    "</f>
        <v xml:space="preserve">4170052854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22.6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1</v>
      </c>
      <c r="BJ510">
        <v>0.2</v>
      </c>
      <c r="BK510">
        <v>1</v>
      </c>
      <c r="BL510">
        <v>71.2</v>
      </c>
      <c r="BM510">
        <v>10.68</v>
      </c>
      <c r="BN510">
        <v>81.88</v>
      </c>
      <c r="BO510">
        <v>81.88</v>
      </c>
      <c r="BQ510" t="s">
        <v>812</v>
      </c>
      <c r="BR510" t="s">
        <v>84</v>
      </c>
      <c r="BS510" s="3">
        <v>45875</v>
      </c>
      <c r="BT510" s="4">
        <v>0.37777777777777777</v>
      </c>
      <c r="BU510" t="s">
        <v>1141</v>
      </c>
      <c r="BV510" t="s">
        <v>86</v>
      </c>
      <c r="BY510">
        <v>1200</v>
      </c>
      <c r="CA510" t="s">
        <v>814</v>
      </c>
      <c r="CC510" t="s">
        <v>163</v>
      </c>
      <c r="CD510">
        <v>3201</v>
      </c>
      <c r="CE510" t="s">
        <v>109</v>
      </c>
      <c r="CF510" s="3">
        <v>45875</v>
      </c>
      <c r="CI510">
        <v>1</v>
      </c>
      <c r="CJ510">
        <v>1</v>
      </c>
      <c r="CK510">
        <v>21</v>
      </c>
      <c r="CL510" t="s">
        <v>90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"080067033914"</f>
        <v>080067033914</v>
      </c>
      <c r="F511" s="3">
        <v>45874</v>
      </c>
      <c r="G511">
        <v>202605</v>
      </c>
      <c r="H511" t="s">
        <v>75</v>
      </c>
      <c r="I511" t="s">
        <v>76</v>
      </c>
      <c r="J511" t="s">
        <v>77</v>
      </c>
      <c r="K511" t="s">
        <v>78</v>
      </c>
      <c r="L511" t="s">
        <v>278</v>
      </c>
      <c r="M511" t="s">
        <v>279</v>
      </c>
      <c r="N511" t="s">
        <v>866</v>
      </c>
      <c r="O511" t="s">
        <v>95</v>
      </c>
      <c r="P511" t="str">
        <f>"4170052759                    "</f>
        <v xml:space="preserve">4170052759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43.7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12</v>
      </c>
      <c r="BJ511">
        <v>5.4</v>
      </c>
      <c r="BK511">
        <v>12</v>
      </c>
      <c r="BL511">
        <v>143.55000000000001</v>
      </c>
      <c r="BM511">
        <v>21.53</v>
      </c>
      <c r="BN511">
        <v>165.08</v>
      </c>
      <c r="BO511">
        <v>165.08</v>
      </c>
      <c r="BQ511" t="s">
        <v>867</v>
      </c>
      <c r="BR511" t="s">
        <v>84</v>
      </c>
      <c r="BS511" s="3">
        <v>45875</v>
      </c>
      <c r="BT511" s="4">
        <v>0.45416666666666666</v>
      </c>
      <c r="BU511" t="s">
        <v>1163</v>
      </c>
      <c r="BV511" t="s">
        <v>86</v>
      </c>
      <c r="BY511">
        <v>27144</v>
      </c>
      <c r="CA511" t="s">
        <v>532</v>
      </c>
      <c r="CC511" t="s">
        <v>279</v>
      </c>
      <c r="CD511" s="5" t="s">
        <v>533</v>
      </c>
      <c r="CE511" t="s">
        <v>147</v>
      </c>
      <c r="CF511" s="3">
        <v>45875</v>
      </c>
      <c r="CI511">
        <v>1</v>
      </c>
      <c r="CJ511">
        <v>1</v>
      </c>
      <c r="CK511">
        <v>41</v>
      </c>
      <c r="CL511" t="s">
        <v>90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"080067033933"</f>
        <v>080067033933</v>
      </c>
      <c r="F512" s="3">
        <v>45874</v>
      </c>
      <c r="G512">
        <v>202605</v>
      </c>
      <c r="H512" t="s">
        <v>75</v>
      </c>
      <c r="I512" t="s">
        <v>76</v>
      </c>
      <c r="J512" t="s">
        <v>77</v>
      </c>
      <c r="K512" t="s">
        <v>78</v>
      </c>
      <c r="L512" t="s">
        <v>234</v>
      </c>
      <c r="M512" t="s">
        <v>235</v>
      </c>
      <c r="N512" t="s">
        <v>236</v>
      </c>
      <c r="O512" t="s">
        <v>82</v>
      </c>
      <c r="P512" t="str">
        <f>"4170052775                    "</f>
        <v xml:space="preserve">4170052775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22.6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1</v>
      </c>
      <c r="BJ512">
        <v>0.2</v>
      </c>
      <c r="BK512">
        <v>1</v>
      </c>
      <c r="BL512">
        <v>71.2</v>
      </c>
      <c r="BM512">
        <v>10.68</v>
      </c>
      <c r="BN512">
        <v>81.88</v>
      </c>
      <c r="BO512">
        <v>81.88</v>
      </c>
      <c r="BQ512" t="s">
        <v>237</v>
      </c>
      <c r="BR512" t="s">
        <v>84</v>
      </c>
      <c r="BS512" s="3">
        <v>45875</v>
      </c>
      <c r="BT512" s="4">
        <v>0.4597222222222222</v>
      </c>
      <c r="BU512" t="s">
        <v>1176</v>
      </c>
      <c r="BV512" t="s">
        <v>90</v>
      </c>
      <c r="BY512">
        <v>1200</v>
      </c>
      <c r="CA512" t="s">
        <v>938</v>
      </c>
      <c r="CC512" t="s">
        <v>235</v>
      </c>
      <c r="CD512" s="5" t="s">
        <v>240</v>
      </c>
      <c r="CE512" t="s">
        <v>109</v>
      </c>
      <c r="CF512" s="3">
        <v>45876</v>
      </c>
      <c r="CI512">
        <v>1</v>
      </c>
      <c r="CJ512">
        <v>1</v>
      </c>
      <c r="CK512">
        <v>21</v>
      </c>
      <c r="CL512" t="s">
        <v>90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"080067033955"</f>
        <v>080067033955</v>
      </c>
      <c r="F513" s="3">
        <v>45874</v>
      </c>
      <c r="G513">
        <v>202605</v>
      </c>
      <c r="H513" t="s">
        <v>75</v>
      </c>
      <c r="I513" t="s">
        <v>76</v>
      </c>
      <c r="J513" t="s">
        <v>77</v>
      </c>
      <c r="K513" t="s">
        <v>78</v>
      </c>
      <c r="L513" t="s">
        <v>241</v>
      </c>
      <c r="M513" t="s">
        <v>242</v>
      </c>
      <c r="N513" t="s">
        <v>1251</v>
      </c>
      <c r="O513" t="s">
        <v>82</v>
      </c>
      <c r="P513" t="str">
        <f>"4170052829                    "</f>
        <v xml:space="preserve">4170052829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17.649999999999999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1</v>
      </c>
      <c r="BJ513">
        <v>0.2</v>
      </c>
      <c r="BK513">
        <v>1</v>
      </c>
      <c r="BL513">
        <v>55.61</v>
      </c>
      <c r="BM513">
        <v>8.34</v>
      </c>
      <c r="BN513">
        <v>63.95</v>
      </c>
      <c r="BO513">
        <v>63.95</v>
      </c>
      <c r="BQ513" t="s">
        <v>1252</v>
      </c>
      <c r="BR513" t="s">
        <v>84</v>
      </c>
      <c r="BS513" s="3">
        <v>45875</v>
      </c>
      <c r="BT513" s="4">
        <v>0.34930555555555554</v>
      </c>
      <c r="BU513" t="s">
        <v>1253</v>
      </c>
      <c r="BV513" t="s">
        <v>86</v>
      </c>
      <c r="BY513">
        <v>1200</v>
      </c>
      <c r="CA513" t="s">
        <v>720</v>
      </c>
      <c r="CC513" t="s">
        <v>242</v>
      </c>
      <c r="CD513">
        <v>1459</v>
      </c>
      <c r="CE513" t="s">
        <v>109</v>
      </c>
      <c r="CF513" s="3">
        <v>45875</v>
      </c>
      <c r="CI513">
        <v>1</v>
      </c>
      <c r="CJ513">
        <v>1</v>
      </c>
      <c r="CK513">
        <v>22</v>
      </c>
      <c r="CL513" t="s">
        <v>90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"080067033964"</f>
        <v>080067033964</v>
      </c>
      <c r="F514" s="3">
        <v>45874</v>
      </c>
      <c r="G514">
        <v>202605</v>
      </c>
      <c r="H514" t="s">
        <v>75</v>
      </c>
      <c r="I514" t="s">
        <v>76</v>
      </c>
      <c r="J514" t="s">
        <v>77</v>
      </c>
      <c r="K514" t="s">
        <v>78</v>
      </c>
      <c r="L514" t="s">
        <v>1254</v>
      </c>
      <c r="M514" t="s">
        <v>1255</v>
      </c>
      <c r="N514" t="s">
        <v>1256</v>
      </c>
      <c r="O514" t="s">
        <v>82</v>
      </c>
      <c r="P514" t="str">
        <f>"4170052767                    "</f>
        <v xml:space="preserve">4170052767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43.78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1</v>
      </c>
      <c r="BJ514">
        <v>0.2</v>
      </c>
      <c r="BK514">
        <v>1</v>
      </c>
      <c r="BL514">
        <v>137.94</v>
      </c>
      <c r="BM514">
        <v>20.69</v>
      </c>
      <c r="BN514">
        <v>158.63</v>
      </c>
      <c r="BO514">
        <v>158.63</v>
      </c>
      <c r="BQ514" t="s">
        <v>1257</v>
      </c>
      <c r="BR514" t="s">
        <v>84</v>
      </c>
      <c r="BS514" s="3">
        <v>45875</v>
      </c>
      <c r="BT514" s="4">
        <v>0.41666666666666669</v>
      </c>
      <c r="BU514" t="s">
        <v>1258</v>
      </c>
      <c r="BV514" t="s">
        <v>86</v>
      </c>
      <c r="BY514">
        <v>1200</v>
      </c>
      <c r="CA514" t="s">
        <v>1259</v>
      </c>
      <c r="CC514" t="s">
        <v>1255</v>
      </c>
      <c r="CD514">
        <v>3290</v>
      </c>
      <c r="CE514" t="s">
        <v>109</v>
      </c>
      <c r="CF514" s="3">
        <v>45876</v>
      </c>
      <c r="CI514">
        <v>1</v>
      </c>
      <c r="CJ514">
        <v>1</v>
      </c>
      <c r="CK514">
        <v>23</v>
      </c>
      <c r="CL514" t="s">
        <v>90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"080067034004"</f>
        <v>080067034004</v>
      </c>
      <c r="F515" s="3">
        <v>45874</v>
      </c>
      <c r="G515">
        <v>202605</v>
      </c>
      <c r="H515" t="s">
        <v>75</v>
      </c>
      <c r="I515" t="s">
        <v>76</v>
      </c>
      <c r="J515" t="s">
        <v>77</v>
      </c>
      <c r="K515" t="s">
        <v>78</v>
      </c>
      <c r="L515" t="s">
        <v>123</v>
      </c>
      <c r="M515" t="s">
        <v>124</v>
      </c>
      <c r="N515" t="s">
        <v>406</v>
      </c>
      <c r="O515" t="s">
        <v>82</v>
      </c>
      <c r="P515" t="str">
        <f>"4170052770                    "</f>
        <v xml:space="preserve">4170052770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22.6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1</v>
      </c>
      <c r="BJ515">
        <v>0.2</v>
      </c>
      <c r="BK515">
        <v>1</v>
      </c>
      <c r="BL515">
        <v>71.2</v>
      </c>
      <c r="BM515">
        <v>10.68</v>
      </c>
      <c r="BN515">
        <v>81.88</v>
      </c>
      <c r="BO515">
        <v>81.88</v>
      </c>
      <c r="BQ515" t="s">
        <v>407</v>
      </c>
      <c r="BR515" t="s">
        <v>84</v>
      </c>
      <c r="BS515" s="3">
        <v>45875</v>
      </c>
      <c r="BT515" s="4">
        <v>0.38263888888888886</v>
      </c>
      <c r="BU515" t="s">
        <v>408</v>
      </c>
      <c r="BV515" t="s">
        <v>86</v>
      </c>
      <c r="BY515">
        <v>1200</v>
      </c>
      <c r="CA515" t="s">
        <v>192</v>
      </c>
      <c r="CC515" t="s">
        <v>124</v>
      </c>
      <c r="CD515">
        <v>7441</v>
      </c>
      <c r="CE515" t="s">
        <v>109</v>
      </c>
      <c r="CF515" s="3">
        <v>45876</v>
      </c>
      <c r="CI515">
        <v>1</v>
      </c>
      <c r="CJ515">
        <v>1</v>
      </c>
      <c r="CK515">
        <v>21</v>
      </c>
      <c r="CL515" t="s">
        <v>90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"080067034003"</f>
        <v>080067034003</v>
      </c>
      <c r="F516" s="3">
        <v>45874</v>
      </c>
      <c r="G516">
        <v>202605</v>
      </c>
      <c r="H516" t="s">
        <v>75</v>
      </c>
      <c r="I516" t="s">
        <v>76</v>
      </c>
      <c r="J516" t="s">
        <v>77</v>
      </c>
      <c r="K516" t="s">
        <v>78</v>
      </c>
      <c r="L516" t="s">
        <v>123</v>
      </c>
      <c r="M516" t="s">
        <v>124</v>
      </c>
      <c r="N516" t="s">
        <v>125</v>
      </c>
      <c r="O516" t="s">
        <v>82</v>
      </c>
      <c r="P516" t="str">
        <f>"4170052981                    "</f>
        <v xml:space="preserve">4170052981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22.6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1</v>
      </c>
      <c r="BJ516">
        <v>0.2</v>
      </c>
      <c r="BK516">
        <v>1</v>
      </c>
      <c r="BL516">
        <v>71.2</v>
      </c>
      <c r="BM516">
        <v>10.68</v>
      </c>
      <c r="BN516">
        <v>81.88</v>
      </c>
      <c r="BO516">
        <v>81.88</v>
      </c>
      <c r="BQ516" t="s">
        <v>126</v>
      </c>
      <c r="BR516" t="s">
        <v>84</v>
      </c>
      <c r="BS516" s="3">
        <v>45875</v>
      </c>
      <c r="BT516" s="4">
        <v>0.33750000000000002</v>
      </c>
      <c r="BU516" t="s">
        <v>605</v>
      </c>
      <c r="BV516" t="s">
        <v>86</v>
      </c>
      <c r="BY516">
        <v>1200</v>
      </c>
      <c r="CA516" t="s">
        <v>128</v>
      </c>
      <c r="CC516" t="s">
        <v>124</v>
      </c>
      <c r="CD516">
        <v>7530</v>
      </c>
      <c r="CE516" t="s">
        <v>109</v>
      </c>
      <c r="CF516" s="3">
        <v>45876</v>
      </c>
      <c r="CI516">
        <v>1</v>
      </c>
      <c r="CJ516">
        <v>1</v>
      </c>
      <c r="CK516">
        <v>21</v>
      </c>
      <c r="CL516" t="s">
        <v>90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"080067034026"</f>
        <v>080067034026</v>
      </c>
      <c r="F517" s="3">
        <v>45874</v>
      </c>
      <c r="G517">
        <v>202605</v>
      </c>
      <c r="H517" t="s">
        <v>75</v>
      </c>
      <c r="I517" t="s">
        <v>76</v>
      </c>
      <c r="J517" t="s">
        <v>77</v>
      </c>
      <c r="K517" t="s">
        <v>78</v>
      </c>
      <c r="L517" t="s">
        <v>373</v>
      </c>
      <c r="M517" t="s">
        <v>374</v>
      </c>
      <c r="N517" t="s">
        <v>383</v>
      </c>
      <c r="O517" t="s">
        <v>82</v>
      </c>
      <c r="P517" t="str">
        <f>"4170052922                    "</f>
        <v xml:space="preserve">4170052922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22.6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1</v>
      </c>
      <c r="BJ517">
        <v>0.2</v>
      </c>
      <c r="BK517">
        <v>1</v>
      </c>
      <c r="BL517">
        <v>71.2</v>
      </c>
      <c r="BM517">
        <v>10.68</v>
      </c>
      <c r="BN517">
        <v>81.88</v>
      </c>
      <c r="BO517">
        <v>81.88</v>
      </c>
      <c r="BQ517" t="s">
        <v>384</v>
      </c>
      <c r="BR517" t="s">
        <v>84</v>
      </c>
      <c r="BS517" s="3">
        <v>45875</v>
      </c>
      <c r="BT517" s="4">
        <v>0.41458333333333336</v>
      </c>
      <c r="BU517" t="s">
        <v>376</v>
      </c>
      <c r="BV517" t="s">
        <v>86</v>
      </c>
      <c r="BY517">
        <v>1200</v>
      </c>
      <c r="CA517" t="s">
        <v>203</v>
      </c>
      <c r="CC517" t="s">
        <v>374</v>
      </c>
      <c r="CD517">
        <v>6220</v>
      </c>
      <c r="CE517" t="s">
        <v>109</v>
      </c>
      <c r="CF517" s="3">
        <v>45875</v>
      </c>
      <c r="CI517">
        <v>1</v>
      </c>
      <c r="CJ517">
        <v>1</v>
      </c>
      <c r="CK517">
        <v>21</v>
      </c>
      <c r="CL517" t="s">
        <v>90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"080067034023"</f>
        <v>080067034023</v>
      </c>
      <c r="F518" s="3">
        <v>45874</v>
      </c>
      <c r="G518">
        <v>202605</v>
      </c>
      <c r="H518" t="s">
        <v>75</v>
      </c>
      <c r="I518" t="s">
        <v>76</v>
      </c>
      <c r="J518" t="s">
        <v>77</v>
      </c>
      <c r="K518" t="s">
        <v>78</v>
      </c>
      <c r="L518" t="s">
        <v>278</v>
      </c>
      <c r="M518" t="s">
        <v>279</v>
      </c>
      <c r="N518" t="s">
        <v>1199</v>
      </c>
      <c r="O518" t="s">
        <v>82</v>
      </c>
      <c r="P518" t="str">
        <f>"4170052856                    "</f>
        <v xml:space="preserve">4170052856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22.6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1</v>
      </c>
      <c r="BJ518">
        <v>0.2</v>
      </c>
      <c r="BK518">
        <v>1</v>
      </c>
      <c r="BL518">
        <v>71.2</v>
      </c>
      <c r="BM518">
        <v>10.68</v>
      </c>
      <c r="BN518">
        <v>81.88</v>
      </c>
      <c r="BO518">
        <v>81.88</v>
      </c>
      <c r="BQ518" t="s">
        <v>1200</v>
      </c>
      <c r="BR518" t="s">
        <v>84</v>
      </c>
      <c r="BS518" s="3">
        <v>45875</v>
      </c>
      <c r="BT518" s="4">
        <v>0.43472222222222223</v>
      </c>
      <c r="BU518" t="s">
        <v>1260</v>
      </c>
      <c r="BV518" t="s">
        <v>86</v>
      </c>
      <c r="BY518">
        <v>1200</v>
      </c>
      <c r="CA518" t="s">
        <v>938</v>
      </c>
      <c r="CC518" t="s">
        <v>279</v>
      </c>
      <c r="CD518" s="5" t="s">
        <v>289</v>
      </c>
      <c r="CE518" t="s">
        <v>109</v>
      </c>
      <c r="CF518" s="3">
        <v>45875</v>
      </c>
      <c r="CI518">
        <v>1</v>
      </c>
      <c r="CJ518">
        <v>1</v>
      </c>
      <c r="CK518">
        <v>21</v>
      </c>
      <c r="CL518" t="s">
        <v>90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"080067034045"</f>
        <v>080067034045</v>
      </c>
      <c r="F519" s="3">
        <v>45874</v>
      </c>
      <c r="G519">
        <v>202605</v>
      </c>
      <c r="H519" t="s">
        <v>75</v>
      </c>
      <c r="I519" t="s">
        <v>76</v>
      </c>
      <c r="J519" t="s">
        <v>77</v>
      </c>
      <c r="K519" t="s">
        <v>78</v>
      </c>
      <c r="L519" t="s">
        <v>75</v>
      </c>
      <c r="M519" t="s">
        <v>76</v>
      </c>
      <c r="N519" t="s">
        <v>152</v>
      </c>
      <c r="O519" t="s">
        <v>82</v>
      </c>
      <c r="P519" t="str">
        <f>"4170052902                    "</f>
        <v xml:space="preserve">4170052902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17.649999999999999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1</v>
      </c>
      <c r="BJ519">
        <v>0.2</v>
      </c>
      <c r="BK519">
        <v>1</v>
      </c>
      <c r="BL519">
        <v>55.61</v>
      </c>
      <c r="BM519">
        <v>8.34</v>
      </c>
      <c r="BN519">
        <v>63.95</v>
      </c>
      <c r="BO519">
        <v>63.95</v>
      </c>
      <c r="BQ519" t="s">
        <v>153</v>
      </c>
      <c r="BR519" t="s">
        <v>84</v>
      </c>
      <c r="BS519" s="3">
        <v>45875</v>
      </c>
      <c r="BT519" s="4">
        <v>0.31805555555555554</v>
      </c>
      <c r="BU519" t="s">
        <v>995</v>
      </c>
      <c r="BV519" t="s">
        <v>86</v>
      </c>
      <c r="BY519">
        <v>1200</v>
      </c>
      <c r="CA519" t="s">
        <v>155</v>
      </c>
      <c r="CC519" t="s">
        <v>76</v>
      </c>
      <c r="CD519">
        <v>1600</v>
      </c>
      <c r="CE519" t="s">
        <v>109</v>
      </c>
      <c r="CF519" s="3">
        <v>45875</v>
      </c>
      <c r="CI519">
        <v>1</v>
      </c>
      <c r="CJ519">
        <v>1</v>
      </c>
      <c r="CK519">
        <v>22</v>
      </c>
      <c r="CL519" t="s">
        <v>90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"080067034046"</f>
        <v>080067034046</v>
      </c>
      <c r="F520" s="3">
        <v>45874</v>
      </c>
      <c r="G520">
        <v>202605</v>
      </c>
      <c r="H520" t="s">
        <v>75</v>
      </c>
      <c r="I520" t="s">
        <v>76</v>
      </c>
      <c r="J520" t="s">
        <v>77</v>
      </c>
      <c r="K520" t="s">
        <v>78</v>
      </c>
      <c r="L520" t="s">
        <v>217</v>
      </c>
      <c r="M520" t="s">
        <v>218</v>
      </c>
      <c r="N520" t="s">
        <v>1261</v>
      </c>
      <c r="O520" t="s">
        <v>82</v>
      </c>
      <c r="P520" t="str">
        <f>"4170052814                    "</f>
        <v xml:space="preserve">4170052814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22.6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1</v>
      </c>
      <c r="BJ520">
        <v>0.2</v>
      </c>
      <c r="BK520">
        <v>1</v>
      </c>
      <c r="BL520">
        <v>71.2</v>
      </c>
      <c r="BM520">
        <v>10.68</v>
      </c>
      <c r="BN520">
        <v>81.88</v>
      </c>
      <c r="BO520">
        <v>81.88</v>
      </c>
      <c r="BQ520" t="s">
        <v>1262</v>
      </c>
      <c r="BR520" t="s">
        <v>84</v>
      </c>
      <c r="BS520" s="3">
        <v>45875</v>
      </c>
      <c r="BT520" s="4">
        <v>0.4375</v>
      </c>
      <c r="BU520" t="s">
        <v>1263</v>
      </c>
      <c r="BV520" t="s">
        <v>86</v>
      </c>
      <c r="BY520">
        <v>1200</v>
      </c>
      <c r="CA520" t="s">
        <v>864</v>
      </c>
      <c r="CC520" t="s">
        <v>218</v>
      </c>
      <c r="CD520">
        <v>4000</v>
      </c>
      <c r="CE520" t="s">
        <v>109</v>
      </c>
      <c r="CF520" s="3">
        <v>45876</v>
      </c>
      <c r="CI520">
        <v>1</v>
      </c>
      <c r="CJ520">
        <v>1</v>
      </c>
      <c r="CK520">
        <v>21</v>
      </c>
      <c r="CL520" t="s">
        <v>90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"080067034094"</f>
        <v>080067034094</v>
      </c>
      <c r="F521" s="3">
        <v>45874</v>
      </c>
      <c r="G521">
        <v>202605</v>
      </c>
      <c r="H521" t="s">
        <v>75</v>
      </c>
      <c r="I521" t="s">
        <v>76</v>
      </c>
      <c r="J521" t="s">
        <v>77</v>
      </c>
      <c r="K521" t="s">
        <v>78</v>
      </c>
      <c r="L521" t="s">
        <v>385</v>
      </c>
      <c r="M521" t="s">
        <v>386</v>
      </c>
      <c r="N521" t="s">
        <v>397</v>
      </c>
      <c r="O521" t="s">
        <v>82</v>
      </c>
      <c r="P521" t="str">
        <f>"4170052772                    "</f>
        <v xml:space="preserve">4170052772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17.649999999999999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1</v>
      </c>
      <c r="BJ521">
        <v>0.2</v>
      </c>
      <c r="BK521">
        <v>1</v>
      </c>
      <c r="BL521">
        <v>55.61</v>
      </c>
      <c r="BM521">
        <v>8.34</v>
      </c>
      <c r="BN521">
        <v>63.95</v>
      </c>
      <c r="BO521">
        <v>63.95</v>
      </c>
      <c r="BQ521" t="s">
        <v>398</v>
      </c>
      <c r="BR521" t="s">
        <v>84</v>
      </c>
      <c r="BS521" s="3">
        <v>45875</v>
      </c>
      <c r="BT521" s="4">
        <v>0.45833333333333331</v>
      </c>
      <c r="BU521" t="s">
        <v>1231</v>
      </c>
      <c r="BV521" t="s">
        <v>86</v>
      </c>
      <c r="BY521">
        <v>1200</v>
      </c>
      <c r="CA521" t="s">
        <v>851</v>
      </c>
      <c r="CC521" t="s">
        <v>386</v>
      </c>
      <c r="CD521">
        <v>1559</v>
      </c>
      <c r="CE521" t="s">
        <v>109</v>
      </c>
      <c r="CF521" s="3">
        <v>45875</v>
      </c>
      <c r="CI521">
        <v>1</v>
      </c>
      <c r="CJ521">
        <v>1</v>
      </c>
      <c r="CK521">
        <v>22</v>
      </c>
      <c r="CL521" t="s">
        <v>90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"080067034092"</f>
        <v>080067034092</v>
      </c>
      <c r="F522" s="3">
        <v>45874</v>
      </c>
      <c r="G522">
        <v>202605</v>
      </c>
      <c r="H522" t="s">
        <v>75</v>
      </c>
      <c r="I522" t="s">
        <v>76</v>
      </c>
      <c r="J522" t="s">
        <v>77</v>
      </c>
      <c r="K522" t="s">
        <v>78</v>
      </c>
      <c r="L522" t="s">
        <v>123</v>
      </c>
      <c r="M522" t="s">
        <v>124</v>
      </c>
      <c r="N522" t="s">
        <v>677</v>
      </c>
      <c r="O522" t="s">
        <v>82</v>
      </c>
      <c r="P522" t="str">
        <f>"4170052946                    "</f>
        <v xml:space="preserve">4170052946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22.6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1</v>
      </c>
      <c r="BJ522">
        <v>0.2</v>
      </c>
      <c r="BK522">
        <v>1</v>
      </c>
      <c r="BL522">
        <v>71.2</v>
      </c>
      <c r="BM522">
        <v>10.68</v>
      </c>
      <c r="BN522">
        <v>81.88</v>
      </c>
      <c r="BO522">
        <v>81.88</v>
      </c>
      <c r="BQ522" t="s">
        <v>678</v>
      </c>
      <c r="BR522" t="s">
        <v>84</v>
      </c>
      <c r="BS522" s="3">
        <v>45875</v>
      </c>
      <c r="BT522" s="4">
        <v>0.43333333333333335</v>
      </c>
      <c r="BU522" t="s">
        <v>679</v>
      </c>
      <c r="BV522" t="s">
        <v>86</v>
      </c>
      <c r="BY522">
        <v>1200</v>
      </c>
      <c r="CA522" t="s">
        <v>171</v>
      </c>
      <c r="CC522" t="s">
        <v>124</v>
      </c>
      <c r="CD522">
        <v>7530</v>
      </c>
      <c r="CE522" t="s">
        <v>109</v>
      </c>
      <c r="CF522" s="3">
        <v>45876</v>
      </c>
      <c r="CI522">
        <v>1</v>
      </c>
      <c r="CJ522">
        <v>1</v>
      </c>
      <c r="CK522">
        <v>21</v>
      </c>
      <c r="CL522" t="s">
        <v>90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"080067034169"</f>
        <v>080067034169</v>
      </c>
      <c r="F523" s="3">
        <v>45874</v>
      </c>
      <c r="G523">
        <v>202605</v>
      </c>
      <c r="H523" t="s">
        <v>75</v>
      </c>
      <c r="I523" t="s">
        <v>76</v>
      </c>
      <c r="J523" t="s">
        <v>77</v>
      </c>
      <c r="K523" t="s">
        <v>78</v>
      </c>
      <c r="L523" t="s">
        <v>137</v>
      </c>
      <c r="M523" t="s">
        <v>138</v>
      </c>
      <c r="N523" t="s">
        <v>505</v>
      </c>
      <c r="O523" t="s">
        <v>82</v>
      </c>
      <c r="P523" t="str">
        <f>"4170052899                    "</f>
        <v xml:space="preserve">4170052899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22.6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1</v>
      </c>
      <c r="BJ523">
        <v>0.2</v>
      </c>
      <c r="BK523">
        <v>1</v>
      </c>
      <c r="BL523">
        <v>71.2</v>
      </c>
      <c r="BM523">
        <v>10.68</v>
      </c>
      <c r="BN523">
        <v>81.88</v>
      </c>
      <c r="BO523">
        <v>81.88</v>
      </c>
      <c r="BQ523" t="s">
        <v>506</v>
      </c>
      <c r="BR523" t="s">
        <v>84</v>
      </c>
      <c r="BS523" s="3">
        <v>45875</v>
      </c>
      <c r="BT523" s="4">
        <v>0.38472222222222224</v>
      </c>
      <c r="BU523" t="s">
        <v>1264</v>
      </c>
      <c r="BV523" t="s">
        <v>86</v>
      </c>
      <c r="BY523">
        <v>1200</v>
      </c>
      <c r="CA523" t="s">
        <v>264</v>
      </c>
      <c r="CC523" t="s">
        <v>138</v>
      </c>
      <c r="CD523">
        <v>3600</v>
      </c>
      <c r="CE523" t="s">
        <v>109</v>
      </c>
      <c r="CF523" s="3">
        <v>45875</v>
      </c>
      <c r="CI523">
        <v>1</v>
      </c>
      <c r="CJ523">
        <v>1</v>
      </c>
      <c r="CK523">
        <v>21</v>
      </c>
      <c r="CL523" t="s">
        <v>90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"080067034219"</f>
        <v>080067034219</v>
      </c>
      <c r="F524" s="3">
        <v>45874</v>
      </c>
      <c r="G524">
        <v>202605</v>
      </c>
      <c r="H524" t="s">
        <v>75</v>
      </c>
      <c r="I524" t="s">
        <v>76</v>
      </c>
      <c r="J524" t="s">
        <v>77</v>
      </c>
      <c r="K524" t="s">
        <v>78</v>
      </c>
      <c r="L524" t="s">
        <v>162</v>
      </c>
      <c r="M524" t="s">
        <v>163</v>
      </c>
      <c r="N524" t="s">
        <v>246</v>
      </c>
      <c r="O524" t="s">
        <v>82</v>
      </c>
      <c r="P524" t="str">
        <f>"4170052852                    "</f>
        <v xml:space="preserve">4170052852     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22.6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1</v>
      </c>
      <c r="BJ524">
        <v>0.2</v>
      </c>
      <c r="BK524">
        <v>1</v>
      </c>
      <c r="BL524">
        <v>71.2</v>
      </c>
      <c r="BM524">
        <v>10.68</v>
      </c>
      <c r="BN524">
        <v>81.88</v>
      </c>
      <c r="BO524">
        <v>81.88</v>
      </c>
      <c r="BQ524" t="s">
        <v>247</v>
      </c>
      <c r="BR524" t="s">
        <v>84</v>
      </c>
      <c r="BS524" s="3">
        <v>45875</v>
      </c>
      <c r="BT524" s="4">
        <v>0.41666666666666669</v>
      </c>
      <c r="BU524" t="s">
        <v>485</v>
      </c>
      <c r="BV524" t="s">
        <v>86</v>
      </c>
      <c r="BY524">
        <v>1200</v>
      </c>
      <c r="CC524" t="s">
        <v>163</v>
      </c>
      <c r="CD524">
        <v>3201</v>
      </c>
      <c r="CE524" t="s">
        <v>109</v>
      </c>
      <c r="CF524" s="3">
        <v>45876</v>
      </c>
      <c r="CI524">
        <v>1</v>
      </c>
      <c r="CJ524">
        <v>1</v>
      </c>
      <c r="CK524">
        <v>21</v>
      </c>
      <c r="CL524" t="s">
        <v>90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"080067034230"</f>
        <v>080067034230</v>
      </c>
      <c r="F525" s="3">
        <v>45874</v>
      </c>
      <c r="G525">
        <v>202605</v>
      </c>
      <c r="H525" t="s">
        <v>75</v>
      </c>
      <c r="I525" t="s">
        <v>76</v>
      </c>
      <c r="J525" t="s">
        <v>77</v>
      </c>
      <c r="K525" t="s">
        <v>78</v>
      </c>
      <c r="L525" t="s">
        <v>325</v>
      </c>
      <c r="M525" t="s">
        <v>326</v>
      </c>
      <c r="N525" t="s">
        <v>1265</v>
      </c>
      <c r="O525" t="s">
        <v>82</v>
      </c>
      <c r="P525" t="str">
        <f>"4170053017                    "</f>
        <v xml:space="preserve">4170053017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17.649999999999999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1</v>
      </c>
      <c r="BJ525">
        <v>0.2</v>
      </c>
      <c r="BK525">
        <v>1</v>
      </c>
      <c r="BL525">
        <v>55.61</v>
      </c>
      <c r="BM525">
        <v>8.34</v>
      </c>
      <c r="BN525">
        <v>63.95</v>
      </c>
      <c r="BO525">
        <v>63.95</v>
      </c>
      <c r="BQ525" t="s">
        <v>1266</v>
      </c>
      <c r="BR525" t="s">
        <v>84</v>
      </c>
      <c r="BS525" s="3">
        <v>45876</v>
      </c>
      <c r="BT525" s="4">
        <v>0.3840277777777778</v>
      </c>
      <c r="BU525" t="s">
        <v>658</v>
      </c>
      <c r="BV525" t="s">
        <v>90</v>
      </c>
      <c r="BY525">
        <v>1200</v>
      </c>
      <c r="CA525" t="s">
        <v>1267</v>
      </c>
      <c r="CC525" t="s">
        <v>326</v>
      </c>
      <c r="CD525">
        <v>2000</v>
      </c>
      <c r="CE525" t="s">
        <v>109</v>
      </c>
      <c r="CF525" s="3">
        <v>45877</v>
      </c>
      <c r="CI525">
        <v>1</v>
      </c>
      <c r="CJ525">
        <v>2</v>
      </c>
      <c r="CK525">
        <v>22</v>
      </c>
      <c r="CL525" t="s">
        <v>90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"080067034267"</f>
        <v>080067034267</v>
      </c>
      <c r="F526" s="3">
        <v>45874</v>
      </c>
      <c r="G526">
        <v>202605</v>
      </c>
      <c r="H526" t="s">
        <v>75</v>
      </c>
      <c r="I526" t="s">
        <v>76</v>
      </c>
      <c r="J526" t="s">
        <v>77</v>
      </c>
      <c r="K526" t="s">
        <v>78</v>
      </c>
      <c r="L526" t="s">
        <v>452</v>
      </c>
      <c r="M526" t="s">
        <v>453</v>
      </c>
      <c r="N526" t="s">
        <v>454</v>
      </c>
      <c r="O526" t="s">
        <v>82</v>
      </c>
      <c r="P526" t="str">
        <f>"4170053010                    "</f>
        <v xml:space="preserve">4170053010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43.78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1</v>
      </c>
      <c r="BJ526">
        <v>0.2</v>
      </c>
      <c r="BK526">
        <v>1</v>
      </c>
      <c r="BL526">
        <v>137.94</v>
      </c>
      <c r="BM526">
        <v>20.69</v>
      </c>
      <c r="BN526">
        <v>158.63</v>
      </c>
      <c r="BO526">
        <v>158.63</v>
      </c>
      <c r="BQ526" t="s">
        <v>455</v>
      </c>
      <c r="BR526" t="s">
        <v>84</v>
      </c>
      <c r="BS526" s="3">
        <v>45875</v>
      </c>
      <c r="BT526" s="4">
        <v>0.36527777777777776</v>
      </c>
      <c r="BU526" t="s">
        <v>483</v>
      </c>
      <c r="BV526" t="s">
        <v>86</v>
      </c>
      <c r="BY526">
        <v>1200</v>
      </c>
      <c r="CA526" t="s">
        <v>1093</v>
      </c>
      <c r="CC526" t="s">
        <v>453</v>
      </c>
      <c r="CD526">
        <v>1947</v>
      </c>
      <c r="CE526" t="s">
        <v>109</v>
      </c>
      <c r="CF526" s="3">
        <v>45875</v>
      </c>
      <c r="CI526">
        <v>1</v>
      </c>
      <c r="CJ526">
        <v>1</v>
      </c>
      <c r="CK526">
        <v>23</v>
      </c>
      <c r="CL526" t="s">
        <v>90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"080067034264"</f>
        <v>080067034264</v>
      </c>
      <c r="F527" s="3">
        <v>45874</v>
      </c>
      <c r="G527">
        <v>202605</v>
      </c>
      <c r="H527" t="s">
        <v>75</v>
      </c>
      <c r="I527" t="s">
        <v>76</v>
      </c>
      <c r="J527" t="s">
        <v>77</v>
      </c>
      <c r="K527" t="s">
        <v>78</v>
      </c>
      <c r="L527" t="s">
        <v>672</v>
      </c>
      <c r="M527" t="s">
        <v>673</v>
      </c>
      <c r="N527" t="s">
        <v>674</v>
      </c>
      <c r="O527" t="s">
        <v>82</v>
      </c>
      <c r="P527" t="str">
        <f>"4170052753                    "</f>
        <v xml:space="preserve">4170052753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43.78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1</v>
      </c>
      <c r="BJ527">
        <v>0.2</v>
      </c>
      <c r="BK527">
        <v>1</v>
      </c>
      <c r="BL527">
        <v>137.94</v>
      </c>
      <c r="BM527">
        <v>20.69</v>
      </c>
      <c r="BN527">
        <v>158.63</v>
      </c>
      <c r="BO527">
        <v>158.63</v>
      </c>
      <c r="BQ527" t="s">
        <v>675</v>
      </c>
      <c r="BR527" t="s">
        <v>84</v>
      </c>
      <c r="BS527" s="3">
        <v>45875</v>
      </c>
      <c r="BT527" s="4">
        <v>0.45833333333333331</v>
      </c>
      <c r="BU527" t="s">
        <v>1177</v>
      </c>
      <c r="BV527" t="s">
        <v>86</v>
      </c>
      <c r="BY527">
        <v>1200</v>
      </c>
      <c r="CA527" t="s">
        <v>806</v>
      </c>
      <c r="CC527" t="s">
        <v>673</v>
      </c>
      <c r="CD527">
        <v>3370</v>
      </c>
      <c r="CE527" t="s">
        <v>109</v>
      </c>
      <c r="CF527" s="3">
        <v>45876</v>
      </c>
      <c r="CI527">
        <v>2</v>
      </c>
      <c r="CJ527">
        <v>1</v>
      </c>
      <c r="CK527">
        <v>23</v>
      </c>
      <c r="CL527" t="s">
        <v>90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"080067034314"</f>
        <v>080067034314</v>
      </c>
      <c r="F528" s="3">
        <v>45874</v>
      </c>
      <c r="G528">
        <v>202605</v>
      </c>
      <c r="H528" t="s">
        <v>75</v>
      </c>
      <c r="I528" t="s">
        <v>76</v>
      </c>
      <c r="J528" t="s">
        <v>77</v>
      </c>
      <c r="K528" t="s">
        <v>78</v>
      </c>
      <c r="L528" t="s">
        <v>118</v>
      </c>
      <c r="M528" t="s">
        <v>118</v>
      </c>
      <c r="N528" t="s">
        <v>119</v>
      </c>
      <c r="O528" t="s">
        <v>82</v>
      </c>
      <c r="P528" t="str">
        <f>"4170052855                    "</f>
        <v xml:space="preserve">4170052855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43.78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1</v>
      </c>
      <c r="BJ528">
        <v>0.2</v>
      </c>
      <c r="BK528">
        <v>1</v>
      </c>
      <c r="BL528">
        <v>137.94</v>
      </c>
      <c r="BM528">
        <v>20.69</v>
      </c>
      <c r="BN528">
        <v>158.63</v>
      </c>
      <c r="BO528">
        <v>158.63</v>
      </c>
      <c r="BQ528" t="s">
        <v>120</v>
      </c>
      <c r="BR528" t="s">
        <v>84</v>
      </c>
      <c r="BS528" s="3">
        <v>45875</v>
      </c>
      <c r="BT528" s="4">
        <v>0.53888888888888886</v>
      </c>
      <c r="BU528" t="s">
        <v>121</v>
      </c>
      <c r="BV528" t="s">
        <v>86</v>
      </c>
      <c r="BY528">
        <v>1200</v>
      </c>
      <c r="CA528" t="s">
        <v>122</v>
      </c>
      <c r="CC528" t="s">
        <v>118</v>
      </c>
      <c r="CD528">
        <v>7646</v>
      </c>
      <c r="CE528" t="s">
        <v>109</v>
      </c>
      <c r="CF528" s="3">
        <v>45876</v>
      </c>
      <c r="CI528">
        <v>1</v>
      </c>
      <c r="CJ528">
        <v>1</v>
      </c>
      <c r="CK528">
        <v>23</v>
      </c>
      <c r="CL528" t="s">
        <v>90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"080067034328"</f>
        <v>080067034328</v>
      </c>
      <c r="F529" s="3">
        <v>45874</v>
      </c>
      <c r="G529">
        <v>202605</v>
      </c>
      <c r="H529" t="s">
        <v>75</v>
      </c>
      <c r="I529" t="s">
        <v>76</v>
      </c>
      <c r="J529" t="s">
        <v>77</v>
      </c>
      <c r="K529" t="s">
        <v>78</v>
      </c>
      <c r="L529" t="s">
        <v>291</v>
      </c>
      <c r="M529" t="s">
        <v>292</v>
      </c>
      <c r="N529" t="s">
        <v>131</v>
      </c>
      <c r="O529" t="s">
        <v>82</v>
      </c>
      <c r="P529" t="str">
        <f>"4170052970                    "</f>
        <v xml:space="preserve">4170052970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17.649999999999999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1</v>
      </c>
      <c r="BJ529">
        <v>0.2</v>
      </c>
      <c r="BK529">
        <v>1</v>
      </c>
      <c r="BL529">
        <v>55.61</v>
      </c>
      <c r="BM529">
        <v>8.34</v>
      </c>
      <c r="BN529">
        <v>63.95</v>
      </c>
      <c r="BO529">
        <v>63.95</v>
      </c>
      <c r="BQ529" t="s">
        <v>132</v>
      </c>
      <c r="BR529" t="s">
        <v>84</v>
      </c>
      <c r="BS529" s="3">
        <v>45875</v>
      </c>
      <c r="BT529" s="4">
        <v>0.41666666666666669</v>
      </c>
      <c r="BU529" t="s">
        <v>526</v>
      </c>
      <c r="BV529" t="s">
        <v>86</v>
      </c>
      <c r="BY529">
        <v>1200</v>
      </c>
      <c r="CA529" t="s">
        <v>296</v>
      </c>
      <c r="CC529" t="s">
        <v>292</v>
      </c>
      <c r="CD529">
        <v>1451</v>
      </c>
      <c r="CE529" t="s">
        <v>109</v>
      </c>
      <c r="CF529" s="3">
        <v>45875</v>
      </c>
      <c r="CI529">
        <v>1</v>
      </c>
      <c r="CJ529">
        <v>1</v>
      </c>
      <c r="CK529">
        <v>22</v>
      </c>
      <c r="CL529" t="s">
        <v>90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"080067034362"</f>
        <v>080067034362</v>
      </c>
      <c r="F530" s="3">
        <v>45874</v>
      </c>
      <c r="G530">
        <v>202605</v>
      </c>
      <c r="H530" t="s">
        <v>75</v>
      </c>
      <c r="I530" t="s">
        <v>76</v>
      </c>
      <c r="J530" t="s">
        <v>77</v>
      </c>
      <c r="K530" t="s">
        <v>78</v>
      </c>
      <c r="L530" t="s">
        <v>325</v>
      </c>
      <c r="M530" t="s">
        <v>326</v>
      </c>
      <c r="N530" t="s">
        <v>1268</v>
      </c>
      <c r="O530" t="s">
        <v>82</v>
      </c>
      <c r="P530" t="str">
        <f>"4170052996                    "</f>
        <v xml:space="preserve">4170052996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17.649999999999999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1</v>
      </c>
      <c r="BJ530">
        <v>0.2</v>
      </c>
      <c r="BK530">
        <v>1</v>
      </c>
      <c r="BL530">
        <v>55.61</v>
      </c>
      <c r="BM530">
        <v>8.34</v>
      </c>
      <c r="BN530">
        <v>63.95</v>
      </c>
      <c r="BO530">
        <v>63.95</v>
      </c>
      <c r="BQ530" t="s">
        <v>1269</v>
      </c>
      <c r="BR530" t="s">
        <v>84</v>
      </c>
      <c r="BS530" s="3">
        <v>45875</v>
      </c>
      <c r="BT530" s="4">
        <v>0.34930555555555554</v>
      </c>
      <c r="BU530" t="s">
        <v>1270</v>
      </c>
      <c r="BV530" t="s">
        <v>86</v>
      </c>
      <c r="BY530">
        <v>1200</v>
      </c>
      <c r="CA530" t="s">
        <v>1271</v>
      </c>
      <c r="CC530" t="s">
        <v>326</v>
      </c>
      <c r="CD530">
        <v>2192</v>
      </c>
      <c r="CE530" t="s">
        <v>109</v>
      </c>
      <c r="CF530" s="3">
        <v>45876</v>
      </c>
      <c r="CI530">
        <v>1</v>
      </c>
      <c r="CJ530">
        <v>1</v>
      </c>
      <c r="CK530">
        <v>22</v>
      </c>
      <c r="CL530" t="s">
        <v>90</v>
      </c>
    </row>
    <row r="531" spans="1:90" x14ac:dyDescent="0.3">
      <c r="A531" t="s">
        <v>72</v>
      </c>
      <c r="B531" t="s">
        <v>73</v>
      </c>
      <c r="C531" t="s">
        <v>74</v>
      </c>
      <c r="E531" t="str">
        <f>"080067034373"</f>
        <v>080067034373</v>
      </c>
      <c r="F531" s="3">
        <v>45874</v>
      </c>
      <c r="G531">
        <v>202605</v>
      </c>
      <c r="H531" t="s">
        <v>75</v>
      </c>
      <c r="I531" t="s">
        <v>76</v>
      </c>
      <c r="J531" t="s">
        <v>77</v>
      </c>
      <c r="K531" t="s">
        <v>78</v>
      </c>
      <c r="L531" t="s">
        <v>207</v>
      </c>
      <c r="M531" t="s">
        <v>208</v>
      </c>
      <c r="N531" t="s">
        <v>209</v>
      </c>
      <c r="O531" t="s">
        <v>82</v>
      </c>
      <c r="P531" t="str">
        <f>"4170052784                    "</f>
        <v xml:space="preserve">4170052784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172.3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6</v>
      </c>
      <c r="BJ531">
        <v>8.1</v>
      </c>
      <c r="BK531">
        <v>8.5</v>
      </c>
      <c r="BL531">
        <v>542.84</v>
      </c>
      <c r="BM531">
        <v>81.430000000000007</v>
      </c>
      <c r="BN531">
        <v>624.27</v>
      </c>
      <c r="BO531">
        <v>624.27</v>
      </c>
      <c r="BQ531" t="s">
        <v>210</v>
      </c>
      <c r="BR531" t="s">
        <v>84</v>
      </c>
      <c r="BS531" s="3">
        <v>45875</v>
      </c>
      <c r="BT531" s="4">
        <v>0.54097222222222219</v>
      </c>
      <c r="BU531" t="s">
        <v>211</v>
      </c>
      <c r="BV531" t="s">
        <v>86</v>
      </c>
      <c r="BY531">
        <v>40432</v>
      </c>
      <c r="CA531" t="s">
        <v>212</v>
      </c>
      <c r="CC531" t="s">
        <v>208</v>
      </c>
      <c r="CD531">
        <v>7300</v>
      </c>
      <c r="CE531" t="s">
        <v>117</v>
      </c>
      <c r="CF531" s="3">
        <v>45876</v>
      </c>
      <c r="CI531">
        <v>1</v>
      </c>
      <c r="CJ531">
        <v>1</v>
      </c>
      <c r="CK531">
        <v>23</v>
      </c>
      <c r="CL531" t="s">
        <v>90</v>
      </c>
    </row>
    <row r="532" spans="1:90" x14ac:dyDescent="0.3">
      <c r="A532" t="s">
        <v>72</v>
      </c>
      <c r="B532" t="s">
        <v>73</v>
      </c>
      <c r="C532" t="s">
        <v>74</v>
      </c>
      <c r="E532" t="str">
        <f>"080067034434"</f>
        <v>080067034434</v>
      </c>
      <c r="F532" s="3">
        <v>45874</v>
      </c>
      <c r="G532">
        <v>202605</v>
      </c>
      <c r="H532" t="s">
        <v>75</v>
      </c>
      <c r="I532" t="s">
        <v>76</v>
      </c>
      <c r="J532" t="s">
        <v>77</v>
      </c>
      <c r="K532" t="s">
        <v>78</v>
      </c>
      <c r="L532" t="s">
        <v>217</v>
      </c>
      <c r="M532" t="s">
        <v>218</v>
      </c>
      <c r="N532" t="s">
        <v>219</v>
      </c>
      <c r="O532" t="s">
        <v>82</v>
      </c>
      <c r="P532" t="str">
        <f>"4170053022                    "</f>
        <v xml:space="preserve">4170053022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22.6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1</v>
      </c>
      <c r="BJ532">
        <v>0.2</v>
      </c>
      <c r="BK532">
        <v>1</v>
      </c>
      <c r="BL532">
        <v>71.2</v>
      </c>
      <c r="BM532">
        <v>10.68</v>
      </c>
      <c r="BN532">
        <v>81.88</v>
      </c>
      <c r="BO532">
        <v>81.88</v>
      </c>
      <c r="BQ532" t="s">
        <v>220</v>
      </c>
      <c r="BR532" t="s">
        <v>84</v>
      </c>
      <c r="BS532" s="3">
        <v>45875</v>
      </c>
      <c r="BT532" s="4">
        <v>0.33611111111111114</v>
      </c>
      <c r="BU532" t="s">
        <v>565</v>
      </c>
      <c r="BV532" t="s">
        <v>86</v>
      </c>
      <c r="BY532">
        <v>1200</v>
      </c>
      <c r="CA532" t="s">
        <v>566</v>
      </c>
      <c r="CC532" t="s">
        <v>218</v>
      </c>
      <c r="CD532">
        <v>4000</v>
      </c>
      <c r="CE532" t="s">
        <v>109</v>
      </c>
      <c r="CF532" s="3">
        <v>45875</v>
      </c>
      <c r="CI532">
        <v>1</v>
      </c>
      <c r="CJ532">
        <v>1</v>
      </c>
      <c r="CK532">
        <v>21</v>
      </c>
      <c r="CL532" t="s">
        <v>90</v>
      </c>
    </row>
    <row r="533" spans="1:90" x14ac:dyDescent="0.3">
      <c r="A533" t="s">
        <v>72</v>
      </c>
      <c r="B533" t="s">
        <v>73</v>
      </c>
      <c r="C533" t="s">
        <v>74</v>
      </c>
      <c r="E533" t="str">
        <f>"080067034466"</f>
        <v>080067034466</v>
      </c>
      <c r="F533" s="3">
        <v>45874</v>
      </c>
      <c r="G533">
        <v>202605</v>
      </c>
      <c r="H533" t="s">
        <v>75</v>
      </c>
      <c r="I533" t="s">
        <v>76</v>
      </c>
      <c r="J533" t="s">
        <v>77</v>
      </c>
      <c r="K533" t="s">
        <v>78</v>
      </c>
      <c r="L533" t="s">
        <v>1272</v>
      </c>
      <c r="M533" t="s">
        <v>1273</v>
      </c>
      <c r="N533" t="s">
        <v>557</v>
      </c>
      <c r="O533" t="s">
        <v>82</v>
      </c>
      <c r="P533" t="str">
        <f>"4170052768                    "</f>
        <v xml:space="preserve">4170052768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101.63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9</v>
      </c>
      <c r="BJ533">
        <v>3.4</v>
      </c>
      <c r="BK533">
        <v>9</v>
      </c>
      <c r="BL533">
        <v>320.19</v>
      </c>
      <c r="BM533">
        <v>48.03</v>
      </c>
      <c r="BN533">
        <v>368.22</v>
      </c>
      <c r="BO533">
        <v>368.22</v>
      </c>
      <c r="BQ533" t="s">
        <v>558</v>
      </c>
      <c r="BR533" t="s">
        <v>84</v>
      </c>
      <c r="BS533" s="3">
        <v>45877</v>
      </c>
      <c r="BT533" s="4">
        <v>0.41666666666666669</v>
      </c>
      <c r="BU533" t="s">
        <v>1274</v>
      </c>
      <c r="BV533" t="s">
        <v>90</v>
      </c>
      <c r="BY533">
        <v>16965</v>
      </c>
      <c r="CC533" t="s">
        <v>1273</v>
      </c>
      <c r="CD533">
        <v>3720</v>
      </c>
      <c r="CE533" t="s">
        <v>147</v>
      </c>
      <c r="CF533" s="3">
        <v>45880</v>
      </c>
      <c r="CI533">
        <v>1</v>
      </c>
      <c r="CJ533">
        <v>3</v>
      </c>
      <c r="CK533">
        <v>21</v>
      </c>
      <c r="CL533" t="s">
        <v>90</v>
      </c>
    </row>
    <row r="534" spans="1:90" x14ac:dyDescent="0.3">
      <c r="A534" t="s">
        <v>72</v>
      </c>
      <c r="B534" t="s">
        <v>73</v>
      </c>
      <c r="C534" t="s">
        <v>74</v>
      </c>
      <c r="E534" t="str">
        <f>"R080066919448"</f>
        <v>R080066919448</v>
      </c>
      <c r="F534" s="3">
        <v>45874</v>
      </c>
      <c r="G534">
        <v>202605</v>
      </c>
      <c r="H534" t="s">
        <v>1275</v>
      </c>
      <c r="I534" t="s">
        <v>1276</v>
      </c>
      <c r="J534" t="s">
        <v>1277</v>
      </c>
      <c r="K534" t="s">
        <v>78</v>
      </c>
      <c r="L534" t="s">
        <v>75</v>
      </c>
      <c r="M534" t="s">
        <v>76</v>
      </c>
      <c r="N534" t="s">
        <v>77</v>
      </c>
      <c r="O534" t="s">
        <v>113</v>
      </c>
      <c r="P534" t="str">
        <f>"4170052288                    "</f>
        <v xml:space="preserve">4170052288  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250.36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2</v>
      </c>
      <c r="BI534">
        <v>11</v>
      </c>
      <c r="BJ534">
        <v>4.7</v>
      </c>
      <c r="BK534">
        <v>11</v>
      </c>
      <c r="BL534">
        <v>788.76</v>
      </c>
      <c r="BM534">
        <v>118.31</v>
      </c>
      <c r="BN534">
        <v>907.07</v>
      </c>
      <c r="BO534">
        <v>907.07</v>
      </c>
      <c r="BQ534" t="s">
        <v>84</v>
      </c>
      <c r="BR534" t="s">
        <v>1278</v>
      </c>
      <c r="BS534" s="3">
        <v>45875</v>
      </c>
      <c r="BT534" s="4">
        <v>0.3840277777777778</v>
      </c>
      <c r="BU534" t="s">
        <v>1120</v>
      </c>
      <c r="BV534" t="s">
        <v>86</v>
      </c>
      <c r="BY534">
        <v>23629</v>
      </c>
      <c r="CA534" t="s">
        <v>101</v>
      </c>
      <c r="CC534" t="s">
        <v>76</v>
      </c>
      <c r="CD534">
        <v>1601</v>
      </c>
      <c r="CE534" t="s">
        <v>117</v>
      </c>
      <c r="CF534" s="3">
        <v>45887</v>
      </c>
      <c r="CI534">
        <v>1</v>
      </c>
      <c r="CJ534">
        <v>1</v>
      </c>
      <c r="CK534">
        <v>33</v>
      </c>
      <c r="CL534" t="s">
        <v>90</v>
      </c>
    </row>
    <row r="535" spans="1:90" x14ac:dyDescent="0.3">
      <c r="A535" t="s">
        <v>72</v>
      </c>
      <c r="B535" t="s">
        <v>73</v>
      </c>
      <c r="C535" t="s">
        <v>74</v>
      </c>
      <c r="E535" t="str">
        <f>"080067034499"</f>
        <v>080067034499</v>
      </c>
      <c r="F535" s="3">
        <v>45874</v>
      </c>
      <c r="G535">
        <v>202605</v>
      </c>
      <c r="H535" t="s">
        <v>75</v>
      </c>
      <c r="I535" t="s">
        <v>76</v>
      </c>
      <c r="J535" t="s">
        <v>77</v>
      </c>
      <c r="K535" t="s">
        <v>78</v>
      </c>
      <c r="L535" t="s">
        <v>325</v>
      </c>
      <c r="M535" t="s">
        <v>326</v>
      </c>
      <c r="N535" t="s">
        <v>616</v>
      </c>
      <c r="O535" t="s">
        <v>82</v>
      </c>
      <c r="P535" t="str">
        <f>"4170053002                    "</f>
        <v xml:space="preserve">4170053002     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17.649999999999999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1</v>
      </c>
      <c r="BJ535">
        <v>0.2</v>
      </c>
      <c r="BK535">
        <v>1</v>
      </c>
      <c r="BL535">
        <v>55.61</v>
      </c>
      <c r="BM535">
        <v>8.34</v>
      </c>
      <c r="BN535">
        <v>63.95</v>
      </c>
      <c r="BO535">
        <v>63.95</v>
      </c>
      <c r="BQ535" t="s">
        <v>617</v>
      </c>
      <c r="BR535" t="s">
        <v>84</v>
      </c>
      <c r="BS535" s="3">
        <v>45875</v>
      </c>
      <c r="BT535" s="4">
        <v>0.4201388888888889</v>
      </c>
      <c r="BU535" t="s">
        <v>1080</v>
      </c>
      <c r="BV535" t="s">
        <v>86</v>
      </c>
      <c r="BY535">
        <v>1200</v>
      </c>
      <c r="CA535" t="s">
        <v>619</v>
      </c>
      <c r="CC535" t="s">
        <v>326</v>
      </c>
      <c r="CD535">
        <v>2169</v>
      </c>
      <c r="CE535" t="s">
        <v>109</v>
      </c>
      <c r="CF535" s="3">
        <v>45876</v>
      </c>
      <c r="CI535">
        <v>1</v>
      </c>
      <c r="CJ535">
        <v>1</v>
      </c>
      <c r="CK535">
        <v>22</v>
      </c>
      <c r="CL535" t="s">
        <v>90</v>
      </c>
    </row>
    <row r="536" spans="1:90" x14ac:dyDescent="0.3">
      <c r="A536" t="s">
        <v>72</v>
      </c>
      <c r="B536" t="s">
        <v>73</v>
      </c>
      <c r="C536" t="s">
        <v>74</v>
      </c>
      <c r="E536" t="str">
        <f>"080067034522"</f>
        <v>080067034522</v>
      </c>
      <c r="F536" s="3">
        <v>45874</v>
      </c>
      <c r="G536">
        <v>202605</v>
      </c>
      <c r="H536" t="s">
        <v>75</v>
      </c>
      <c r="I536" t="s">
        <v>76</v>
      </c>
      <c r="J536" t="s">
        <v>77</v>
      </c>
      <c r="K536" t="s">
        <v>78</v>
      </c>
      <c r="L536" t="s">
        <v>291</v>
      </c>
      <c r="M536" t="s">
        <v>292</v>
      </c>
      <c r="N536" t="s">
        <v>131</v>
      </c>
      <c r="O536" t="s">
        <v>82</v>
      </c>
      <c r="P536" t="str">
        <f>"4170052989                    "</f>
        <v xml:space="preserve">4170052989 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17.649999999999999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1</v>
      </c>
      <c r="BJ536">
        <v>1.9</v>
      </c>
      <c r="BK536">
        <v>2</v>
      </c>
      <c r="BL536">
        <v>55.61</v>
      </c>
      <c r="BM536">
        <v>8.34</v>
      </c>
      <c r="BN536">
        <v>63.95</v>
      </c>
      <c r="BO536">
        <v>63.95</v>
      </c>
      <c r="BQ536" t="s">
        <v>132</v>
      </c>
      <c r="BR536" t="s">
        <v>84</v>
      </c>
      <c r="BS536" s="3">
        <v>45875</v>
      </c>
      <c r="BT536" s="4">
        <v>0.41666666666666669</v>
      </c>
      <c r="BU536" t="s">
        <v>526</v>
      </c>
      <c r="BV536" t="s">
        <v>86</v>
      </c>
      <c r="BY536">
        <v>9600</v>
      </c>
      <c r="CA536" t="s">
        <v>296</v>
      </c>
      <c r="CC536" t="s">
        <v>292</v>
      </c>
      <c r="CD536">
        <v>1451</v>
      </c>
      <c r="CE536" t="s">
        <v>147</v>
      </c>
      <c r="CF536" s="3">
        <v>45875</v>
      </c>
      <c r="CI536">
        <v>1</v>
      </c>
      <c r="CJ536">
        <v>1</v>
      </c>
      <c r="CK536">
        <v>22</v>
      </c>
      <c r="CL536" t="s">
        <v>90</v>
      </c>
    </row>
    <row r="537" spans="1:90" x14ac:dyDescent="0.3">
      <c r="A537" t="s">
        <v>72</v>
      </c>
      <c r="B537" t="s">
        <v>73</v>
      </c>
      <c r="C537" t="s">
        <v>74</v>
      </c>
      <c r="E537" t="str">
        <f>"080067034524"</f>
        <v>080067034524</v>
      </c>
      <c r="F537" s="3">
        <v>45874</v>
      </c>
      <c r="G537">
        <v>202605</v>
      </c>
      <c r="H537" t="s">
        <v>75</v>
      </c>
      <c r="I537" t="s">
        <v>76</v>
      </c>
      <c r="J537" t="s">
        <v>77</v>
      </c>
      <c r="K537" t="s">
        <v>78</v>
      </c>
      <c r="L537" t="s">
        <v>162</v>
      </c>
      <c r="M537" t="s">
        <v>163</v>
      </c>
      <c r="N537" t="s">
        <v>811</v>
      </c>
      <c r="O537" t="s">
        <v>82</v>
      </c>
      <c r="P537" t="str">
        <f>"4170053034                    "</f>
        <v xml:space="preserve">4170053034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22.6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1</v>
      </c>
      <c r="BJ537">
        <v>0.2</v>
      </c>
      <c r="BK537">
        <v>1</v>
      </c>
      <c r="BL537">
        <v>71.2</v>
      </c>
      <c r="BM537">
        <v>10.68</v>
      </c>
      <c r="BN537">
        <v>81.88</v>
      </c>
      <c r="BO537">
        <v>81.88</v>
      </c>
      <c r="BQ537" t="s">
        <v>812</v>
      </c>
      <c r="BR537" t="s">
        <v>84</v>
      </c>
      <c r="BS537" s="3">
        <v>45875</v>
      </c>
      <c r="BT537" s="4">
        <v>0.37777777777777777</v>
      </c>
      <c r="BU537" t="s">
        <v>1141</v>
      </c>
      <c r="BV537" t="s">
        <v>86</v>
      </c>
      <c r="BY537">
        <v>1200</v>
      </c>
      <c r="CA537" t="s">
        <v>814</v>
      </c>
      <c r="CC537" t="s">
        <v>163</v>
      </c>
      <c r="CD537">
        <v>3201</v>
      </c>
      <c r="CE537" t="s">
        <v>109</v>
      </c>
      <c r="CF537" s="3">
        <v>45875</v>
      </c>
      <c r="CI537">
        <v>1</v>
      </c>
      <c r="CJ537">
        <v>1</v>
      </c>
      <c r="CK537">
        <v>21</v>
      </c>
      <c r="CL537" t="s">
        <v>90</v>
      </c>
    </row>
    <row r="538" spans="1:90" x14ac:dyDescent="0.3">
      <c r="A538" t="s">
        <v>72</v>
      </c>
      <c r="B538" t="s">
        <v>73</v>
      </c>
      <c r="C538" t="s">
        <v>74</v>
      </c>
      <c r="E538" t="str">
        <f>"080067034546"</f>
        <v>080067034546</v>
      </c>
      <c r="F538" s="3">
        <v>45874</v>
      </c>
      <c r="G538">
        <v>202605</v>
      </c>
      <c r="H538" t="s">
        <v>75</v>
      </c>
      <c r="I538" t="s">
        <v>76</v>
      </c>
      <c r="J538" t="s">
        <v>77</v>
      </c>
      <c r="K538" t="s">
        <v>78</v>
      </c>
      <c r="L538" t="s">
        <v>229</v>
      </c>
      <c r="M538" t="s">
        <v>230</v>
      </c>
      <c r="N538" t="s">
        <v>231</v>
      </c>
      <c r="O538" t="s">
        <v>82</v>
      </c>
      <c r="P538" t="str">
        <f>"4170052794                    "</f>
        <v xml:space="preserve">4170052794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43.78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1</v>
      </c>
      <c r="BJ538">
        <v>0.2</v>
      </c>
      <c r="BK538">
        <v>1</v>
      </c>
      <c r="BL538">
        <v>137.94</v>
      </c>
      <c r="BM538">
        <v>20.69</v>
      </c>
      <c r="BN538">
        <v>158.63</v>
      </c>
      <c r="BO538">
        <v>158.63</v>
      </c>
      <c r="BQ538" t="s">
        <v>232</v>
      </c>
      <c r="BR538" t="s">
        <v>84</v>
      </c>
      <c r="BS538" s="3">
        <v>45875</v>
      </c>
      <c r="BT538" s="4">
        <v>0.34722222222222221</v>
      </c>
      <c r="BU538" t="s">
        <v>996</v>
      </c>
      <c r="BV538" t="s">
        <v>86</v>
      </c>
      <c r="BY538">
        <v>1200</v>
      </c>
      <c r="CA538" t="s">
        <v>457</v>
      </c>
      <c r="CC538" t="s">
        <v>230</v>
      </c>
      <c r="CD538">
        <v>2740</v>
      </c>
      <c r="CE538" t="s">
        <v>109</v>
      </c>
      <c r="CF538" s="3">
        <v>45876</v>
      </c>
      <c r="CI538">
        <v>1</v>
      </c>
      <c r="CJ538">
        <v>1</v>
      </c>
      <c r="CK538">
        <v>23</v>
      </c>
      <c r="CL538" t="s">
        <v>90</v>
      </c>
    </row>
    <row r="539" spans="1:90" x14ac:dyDescent="0.3">
      <c r="A539" t="s">
        <v>72</v>
      </c>
      <c r="B539" t="s">
        <v>73</v>
      </c>
      <c r="C539" t="s">
        <v>74</v>
      </c>
      <c r="E539" t="str">
        <f>"080067034554"</f>
        <v>080067034554</v>
      </c>
      <c r="F539" s="3">
        <v>45874</v>
      </c>
      <c r="G539">
        <v>202605</v>
      </c>
      <c r="H539" t="s">
        <v>75</v>
      </c>
      <c r="I539" t="s">
        <v>76</v>
      </c>
      <c r="J539" t="s">
        <v>77</v>
      </c>
      <c r="K539" t="s">
        <v>78</v>
      </c>
      <c r="L539" t="s">
        <v>278</v>
      </c>
      <c r="M539" t="s">
        <v>279</v>
      </c>
      <c r="N539" t="s">
        <v>1279</v>
      </c>
      <c r="O539" t="s">
        <v>82</v>
      </c>
      <c r="P539" t="str">
        <f>"4170052766                    "</f>
        <v xml:space="preserve">4170052766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22.6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2</v>
      </c>
      <c r="BJ539">
        <v>1.4</v>
      </c>
      <c r="BK539">
        <v>2</v>
      </c>
      <c r="BL539">
        <v>71.2</v>
      </c>
      <c r="BM539">
        <v>10.68</v>
      </c>
      <c r="BN539">
        <v>81.88</v>
      </c>
      <c r="BO539">
        <v>81.88</v>
      </c>
      <c r="BQ539" t="s">
        <v>1280</v>
      </c>
      <c r="BR539" t="s">
        <v>84</v>
      </c>
      <c r="BS539" s="3">
        <v>45875</v>
      </c>
      <c r="BT539" s="4">
        <v>0.44722222222222224</v>
      </c>
      <c r="BU539" t="s">
        <v>1281</v>
      </c>
      <c r="BV539" t="s">
        <v>90</v>
      </c>
      <c r="BY539">
        <v>7000</v>
      </c>
      <c r="CA539" t="s">
        <v>283</v>
      </c>
      <c r="CC539" t="s">
        <v>279</v>
      </c>
      <c r="CD539" s="5" t="s">
        <v>652</v>
      </c>
      <c r="CE539" t="s">
        <v>147</v>
      </c>
      <c r="CF539" s="3">
        <v>45875</v>
      </c>
      <c r="CI539">
        <v>1</v>
      </c>
      <c r="CJ539">
        <v>1</v>
      </c>
      <c r="CK539">
        <v>21</v>
      </c>
      <c r="CL539" t="s">
        <v>90</v>
      </c>
    </row>
    <row r="540" spans="1:90" x14ac:dyDescent="0.3">
      <c r="A540" t="s">
        <v>72</v>
      </c>
      <c r="B540" t="s">
        <v>73</v>
      </c>
      <c r="C540" t="s">
        <v>74</v>
      </c>
      <c r="E540" t="str">
        <f>"080067034569"</f>
        <v>080067034569</v>
      </c>
      <c r="F540" s="3">
        <v>45874</v>
      </c>
      <c r="G540">
        <v>202605</v>
      </c>
      <c r="H540" t="s">
        <v>75</v>
      </c>
      <c r="I540" t="s">
        <v>76</v>
      </c>
      <c r="J540" t="s">
        <v>77</v>
      </c>
      <c r="K540" t="s">
        <v>78</v>
      </c>
      <c r="L540" t="s">
        <v>110</v>
      </c>
      <c r="M540" t="s">
        <v>111</v>
      </c>
      <c r="N540" t="s">
        <v>770</v>
      </c>
      <c r="O540" t="s">
        <v>82</v>
      </c>
      <c r="P540" t="str">
        <f>"4170052806                    "</f>
        <v xml:space="preserve">4170052806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17.649999999999999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1</v>
      </c>
      <c r="BJ540">
        <v>0.2</v>
      </c>
      <c r="BK540">
        <v>1</v>
      </c>
      <c r="BL540">
        <v>55.61</v>
      </c>
      <c r="BM540">
        <v>8.34</v>
      </c>
      <c r="BN540">
        <v>63.95</v>
      </c>
      <c r="BO540">
        <v>63.95</v>
      </c>
      <c r="BQ540" t="s">
        <v>771</v>
      </c>
      <c r="BR540" t="s">
        <v>84</v>
      </c>
      <c r="BS540" s="3">
        <v>45875</v>
      </c>
      <c r="BT540" s="4">
        <v>0.4</v>
      </c>
      <c r="BU540" t="s">
        <v>1282</v>
      </c>
      <c r="BV540" t="s">
        <v>86</v>
      </c>
      <c r="BY540">
        <v>1200</v>
      </c>
      <c r="CA540" t="s">
        <v>312</v>
      </c>
      <c r="CC540" t="s">
        <v>111</v>
      </c>
      <c r="CD540">
        <v>2163</v>
      </c>
      <c r="CE540" t="s">
        <v>109</v>
      </c>
      <c r="CF540" s="3">
        <v>45876</v>
      </c>
      <c r="CI540">
        <v>1</v>
      </c>
      <c r="CJ540">
        <v>1</v>
      </c>
      <c r="CK540">
        <v>22</v>
      </c>
      <c r="CL540" t="s">
        <v>90</v>
      </c>
    </row>
    <row r="541" spans="1:90" x14ac:dyDescent="0.3">
      <c r="A541" t="s">
        <v>72</v>
      </c>
      <c r="B541" t="s">
        <v>73</v>
      </c>
      <c r="C541" t="s">
        <v>74</v>
      </c>
      <c r="E541" t="str">
        <f>"080067034577"</f>
        <v>080067034577</v>
      </c>
      <c r="F541" s="3">
        <v>45874</v>
      </c>
      <c r="G541">
        <v>202605</v>
      </c>
      <c r="H541" t="s">
        <v>75</v>
      </c>
      <c r="I541" t="s">
        <v>76</v>
      </c>
      <c r="J541" t="s">
        <v>77</v>
      </c>
      <c r="K541" t="s">
        <v>78</v>
      </c>
      <c r="L541" t="s">
        <v>123</v>
      </c>
      <c r="M541" t="s">
        <v>124</v>
      </c>
      <c r="N541" t="s">
        <v>1051</v>
      </c>
      <c r="O541" t="s">
        <v>82</v>
      </c>
      <c r="P541" t="str">
        <f>"4170053018                    "</f>
        <v xml:space="preserve">4170053018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45.18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4</v>
      </c>
      <c r="BJ541">
        <v>1.4</v>
      </c>
      <c r="BK541">
        <v>4</v>
      </c>
      <c r="BL541">
        <v>142.34</v>
      </c>
      <c r="BM541">
        <v>21.35</v>
      </c>
      <c r="BN541">
        <v>163.69</v>
      </c>
      <c r="BO541">
        <v>163.69</v>
      </c>
      <c r="BQ541" t="s">
        <v>1052</v>
      </c>
      <c r="BR541" t="s">
        <v>84</v>
      </c>
      <c r="BS541" s="3">
        <v>45875</v>
      </c>
      <c r="BT541" s="4">
        <v>0.41111111111111109</v>
      </c>
      <c r="BU541" t="s">
        <v>1053</v>
      </c>
      <c r="BV541" t="s">
        <v>86</v>
      </c>
      <c r="BY541">
        <v>7000</v>
      </c>
      <c r="CA541" t="s">
        <v>1054</v>
      </c>
      <c r="CC541" t="s">
        <v>124</v>
      </c>
      <c r="CD541">
        <v>8001</v>
      </c>
      <c r="CE541" t="s">
        <v>147</v>
      </c>
      <c r="CF541" s="3">
        <v>45876</v>
      </c>
      <c r="CI541">
        <v>1</v>
      </c>
      <c r="CJ541">
        <v>1</v>
      </c>
      <c r="CK541">
        <v>21</v>
      </c>
      <c r="CL541" t="s">
        <v>90</v>
      </c>
    </row>
    <row r="542" spans="1:90" x14ac:dyDescent="0.3">
      <c r="A542" t="s">
        <v>72</v>
      </c>
      <c r="B542" t="s">
        <v>73</v>
      </c>
      <c r="C542" t="s">
        <v>74</v>
      </c>
      <c r="E542" t="str">
        <f>"080067034591"</f>
        <v>080067034591</v>
      </c>
      <c r="F542" s="3">
        <v>45874</v>
      </c>
      <c r="G542">
        <v>202605</v>
      </c>
      <c r="H542" t="s">
        <v>75</v>
      </c>
      <c r="I542" t="s">
        <v>76</v>
      </c>
      <c r="J542" t="s">
        <v>77</v>
      </c>
      <c r="K542" t="s">
        <v>78</v>
      </c>
      <c r="L542" t="s">
        <v>229</v>
      </c>
      <c r="M542" t="s">
        <v>230</v>
      </c>
      <c r="N542" t="s">
        <v>231</v>
      </c>
      <c r="O542" t="s">
        <v>82</v>
      </c>
      <c r="P542" t="str">
        <f>"4170053039                    "</f>
        <v xml:space="preserve">4170053039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43.78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1</v>
      </c>
      <c r="BJ542">
        <v>0.2</v>
      </c>
      <c r="BK542">
        <v>1</v>
      </c>
      <c r="BL542">
        <v>137.94</v>
      </c>
      <c r="BM542">
        <v>20.69</v>
      </c>
      <c r="BN542">
        <v>158.63</v>
      </c>
      <c r="BO542">
        <v>158.63</v>
      </c>
      <c r="BQ542" t="s">
        <v>232</v>
      </c>
      <c r="BR542" t="s">
        <v>84</v>
      </c>
      <c r="BS542" s="3">
        <v>45875</v>
      </c>
      <c r="BT542" s="4">
        <v>0.33333333333333331</v>
      </c>
      <c r="BU542" t="s">
        <v>233</v>
      </c>
      <c r="BV542" t="s">
        <v>86</v>
      </c>
      <c r="BY542">
        <v>1200</v>
      </c>
      <c r="CC542" t="s">
        <v>230</v>
      </c>
      <c r="CD542">
        <v>2740</v>
      </c>
      <c r="CE542" t="s">
        <v>109</v>
      </c>
      <c r="CF542" s="3">
        <v>45876</v>
      </c>
      <c r="CI542">
        <v>1</v>
      </c>
      <c r="CJ542">
        <v>1</v>
      </c>
      <c r="CK542">
        <v>23</v>
      </c>
      <c r="CL542" t="s">
        <v>90</v>
      </c>
    </row>
    <row r="543" spans="1:90" x14ac:dyDescent="0.3">
      <c r="A543" t="s">
        <v>72</v>
      </c>
      <c r="B543" t="s">
        <v>73</v>
      </c>
      <c r="C543" t="s">
        <v>74</v>
      </c>
      <c r="E543" t="str">
        <f>"080011586937"</f>
        <v>080011586937</v>
      </c>
      <c r="F543" s="3">
        <v>45874</v>
      </c>
      <c r="G543">
        <v>202605</v>
      </c>
      <c r="H543" t="s">
        <v>110</v>
      </c>
      <c r="I543" t="s">
        <v>111</v>
      </c>
      <c r="J543" t="s">
        <v>1283</v>
      </c>
      <c r="K543" t="s">
        <v>78</v>
      </c>
      <c r="L543" t="s">
        <v>75</v>
      </c>
      <c r="M543" t="s">
        <v>76</v>
      </c>
      <c r="N543" t="s">
        <v>94</v>
      </c>
      <c r="O543" t="s">
        <v>95</v>
      </c>
      <c r="P543" t="str">
        <f>"Za1001401239                  "</f>
        <v xml:space="preserve">Za1001401239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33.72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5</v>
      </c>
      <c r="BJ543">
        <v>7.2</v>
      </c>
      <c r="BK543">
        <v>8</v>
      </c>
      <c r="BL543">
        <v>112.11</v>
      </c>
      <c r="BM543">
        <v>16.82</v>
      </c>
      <c r="BN543">
        <v>128.93</v>
      </c>
      <c r="BO543">
        <v>128.93</v>
      </c>
      <c r="BP543" t="s">
        <v>96</v>
      </c>
      <c r="BQ543" t="s">
        <v>97</v>
      </c>
      <c r="BR543" t="s">
        <v>1284</v>
      </c>
      <c r="BS543" s="3">
        <v>45875</v>
      </c>
      <c r="BT543" s="4">
        <v>0.38541666666666669</v>
      </c>
      <c r="BU543" t="s">
        <v>1120</v>
      </c>
      <c r="BV543" t="s">
        <v>86</v>
      </c>
      <c r="BY543">
        <v>36000</v>
      </c>
      <c r="BZ543" t="s">
        <v>100</v>
      </c>
      <c r="CA543" t="s">
        <v>101</v>
      </c>
      <c r="CC543" t="s">
        <v>76</v>
      </c>
      <c r="CD543">
        <v>1619</v>
      </c>
      <c r="CE543" t="s">
        <v>102</v>
      </c>
      <c r="CF543" s="3">
        <v>45875</v>
      </c>
      <c r="CI543">
        <v>1</v>
      </c>
      <c r="CJ543">
        <v>1</v>
      </c>
      <c r="CK543">
        <v>42</v>
      </c>
      <c r="CL543" t="s">
        <v>90</v>
      </c>
    </row>
    <row r="544" spans="1:90" x14ac:dyDescent="0.3">
      <c r="A544" t="s">
        <v>72</v>
      </c>
      <c r="B544" t="s">
        <v>73</v>
      </c>
      <c r="C544" t="s">
        <v>74</v>
      </c>
      <c r="E544" t="str">
        <f>"080067112640"</f>
        <v>080067112640</v>
      </c>
      <c r="F544" s="3">
        <v>45877</v>
      </c>
      <c r="G544">
        <v>202605</v>
      </c>
      <c r="H544" t="s">
        <v>75</v>
      </c>
      <c r="I544" t="s">
        <v>76</v>
      </c>
      <c r="J544" t="s">
        <v>77</v>
      </c>
      <c r="K544" t="s">
        <v>78</v>
      </c>
      <c r="L544" t="s">
        <v>654</v>
      </c>
      <c r="M544" t="s">
        <v>655</v>
      </c>
      <c r="N544" t="s">
        <v>656</v>
      </c>
      <c r="O544" t="s">
        <v>82</v>
      </c>
      <c r="P544" t="str">
        <f>"4170053847                    "</f>
        <v xml:space="preserve">4170053847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23.09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1</v>
      </c>
      <c r="BJ544">
        <v>0.2</v>
      </c>
      <c r="BK544">
        <v>1</v>
      </c>
      <c r="BL544">
        <v>71.69</v>
      </c>
      <c r="BM544">
        <v>10.75</v>
      </c>
      <c r="BN544">
        <v>82.44</v>
      </c>
      <c r="BO544">
        <v>82.44</v>
      </c>
      <c r="BQ544" t="s">
        <v>657</v>
      </c>
      <c r="BR544" t="s">
        <v>84</v>
      </c>
      <c r="BS544" s="3">
        <v>45880</v>
      </c>
      <c r="BT544" s="4">
        <v>0.4375</v>
      </c>
      <c r="BU544" t="s">
        <v>1285</v>
      </c>
      <c r="BV544" t="s">
        <v>86</v>
      </c>
      <c r="BY544">
        <v>1200</v>
      </c>
      <c r="CA544" t="s">
        <v>1286</v>
      </c>
      <c r="CC544" t="s">
        <v>655</v>
      </c>
      <c r="CD544">
        <v>4120</v>
      </c>
      <c r="CE544" t="s">
        <v>109</v>
      </c>
      <c r="CF544" s="3">
        <v>45881</v>
      </c>
      <c r="CI544">
        <v>1</v>
      </c>
      <c r="CJ544">
        <v>1</v>
      </c>
      <c r="CK544">
        <v>21</v>
      </c>
      <c r="CL544" t="s">
        <v>90</v>
      </c>
    </row>
    <row r="545" spans="1:90" x14ac:dyDescent="0.3">
      <c r="A545" t="s">
        <v>72</v>
      </c>
      <c r="B545" t="s">
        <v>73</v>
      </c>
      <c r="C545" t="s">
        <v>74</v>
      </c>
      <c r="E545" t="str">
        <f>"080067112641"</f>
        <v>080067112641</v>
      </c>
      <c r="F545" s="3">
        <v>45877</v>
      </c>
      <c r="G545">
        <v>202605</v>
      </c>
      <c r="H545" t="s">
        <v>75</v>
      </c>
      <c r="I545" t="s">
        <v>76</v>
      </c>
      <c r="J545" t="s">
        <v>77</v>
      </c>
      <c r="K545" t="s">
        <v>78</v>
      </c>
      <c r="L545" t="s">
        <v>156</v>
      </c>
      <c r="M545" t="s">
        <v>157</v>
      </c>
      <c r="N545" t="s">
        <v>1287</v>
      </c>
      <c r="O545" t="s">
        <v>82</v>
      </c>
      <c r="P545" t="str">
        <f>"4170053756                    "</f>
        <v xml:space="preserve">4170053756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18.03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1</v>
      </c>
      <c r="BJ545">
        <v>0.2</v>
      </c>
      <c r="BK545">
        <v>1</v>
      </c>
      <c r="BL545">
        <v>55.99</v>
      </c>
      <c r="BM545">
        <v>8.4</v>
      </c>
      <c r="BN545">
        <v>64.39</v>
      </c>
      <c r="BO545">
        <v>64.39</v>
      </c>
      <c r="BQ545" t="s">
        <v>1288</v>
      </c>
      <c r="BR545" t="s">
        <v>84</v>
      </c>
      <c r="BS545" s="3">
        <v>45880</v>
      </c>
      <c r="BT545" s="4">
        <v>0.35972222222222222</v>
      </c>
      <c r="BU545" t="s">
        <v>1289</v>
      </c>
      <c r="BV545" t="s">
        <v>86</v>
      </c>
      <c r="BY545">
        <v>1200</v>
      </c>
      <c r="CA545" t="s">
        <v>272</v>
      </c>
      <c r="CC545" t="s">
        <v>157</v>
      </c>
      <c r="CD545">
        <v>1724</v>
      </c>
      <c r="CE545" t="s">
        <v>109</v>
      </c>
      <c r="CF545" s="3">
        <v>45880</v>
      </c>
      <c r="CI545">
        <v>1</v>
      </c>
      <c r="CJ545">
        <v>1</v>
      </c>
      <c r="CK545">
        <v>22</v>
      </c>
      <c r="CL545" t="s">
        <v>90</v>
      </c>
    </row>
    <row r="546" spans="1:90" x14ac:dyDescent="0.3">
      <c r="A546" t="s">
        <v>72</v>
      </c>
      <c r="B546" t="s">
        <v>73</v>
      </c>
      <c r="C546" t="s">
        <v>74</v>
      </c>
      <c r="E546" t="str">
        <f>"080067112664"</f>
        <v>080067112664</v>
      </c>
      <c r="F546" s="3">
        <v>45877</v>
      </c>
      <c r="G546">
        <v>202605</v>
      </c>
      <c r="H546" t="s">
        <v>75</v>
      </c>
      <c r="I546" t="s">
        <v>76</v>
      </c>
      <c r="J546" t="s">
        <v>77</v>
      </c>
      <c r="K546" t="s">
        <v>78</v>
      </c>
      <c r="L546" t="s">
        <v>75</v>
      </c>
      <c r="M546" t="s">
        <v>76</v>
      </c>
      <c r="N546" t="s">
        <v>1290</v>
      </c>
      <c r="O546" t="s">
        <v>82</v>
      </c>
      <c r="P546" t="str">
        <f>"4170053734                    "</f>
        <v xml:space="preserve">4170053734   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18.03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1</v>
      </c>
      <c r="BJ546">
        <v>0.2</v>
      </c>
      <c r="BK546">
        <v>1</v>
      </c>
      <c r="BL546">
        <v>55.99</v>
      </c>
      <c r="BM546">
        <v>8.4</v>
      </c>
      <c r="BN546">
        <v>64.39</v>
      </c>
      <c r="BO546">
        <v>64.39</v>
      </c>
      <c r="BQ546" t="s">
        <v>1291</v>
      </c>
      <c r="BR546" t="s">
        <v>84</v>
      </c>
      <c r="BS546" s="3">
        <v>45880</v>
      </c>
      <c r="BT546" s="4">
        <v>0.3840277777777778</v>
      </c>
      <c r="BU546" t="s">
        <v>1292</v>
      </c>
      <c r="BV546" t="s">
        <v>86</v>
      </c>
      <c r="BY546">
        <v>1200</v>
      </c>
      <c r="CA546" t="s">
        <v>1026</v>
      </c>
      <c r="CC546" t="s">
        <v>76</v>
      </c>
      <c r="CD546">
        <v>1601</v>
      </c>
      <c r="CE546" t="s">
        <v>109</v>
      </c>
      <c r="CF546" s="3">
        <v>45881</v>
      </c>
      <c r="CI546">
        <v>1</v>
      </c>
      <c r="CJ546">
        <v>1</v>
      </c>
      <c r="CK546">
        <v>22</v>
      </c>
      <c r="CL546" t="s">
        <v>90</v>
      </c>
    </row>
    <row r="547" spans="1:90" x14ac:dyDescent="0.3">
      <c r="A547" t="s">
        <v>72</v>
      </c>
      <c r="B547" t="s">
        <v>73</v>
      </c>
      <c r="C547" t="s">
        <v>74</v>
      </c>
      <c r="E547" t="str">
        <f>"080067002739"</f>
        <v>080067002739</v>
      </c>
      <c r="F547" s="3">
        <v>45873</v>
      </c>
      <c r="G547">
        <v>202605</v>
      </c>
      <c r="H547" t="s">
        <v>75</v>
      </c>
      <c r="I547" t="s">
        <v>76</v>
      </c>
      <c r="J547" t="s">
        <v>77</v>
      </c>
      <c r="K547" t="s">
        <v>78</v>
      </c>
      <c r="L547" t="s">
        <v>79</v>
      </c>
      <c r="M547" t="s">
        <v>80</v>
      </c>
      <c r="N547" t="s">
        <v>778</v>
      </c>
      <c r="O547" t="s">
        <v>95</v>
      </c>
      <c r="P547" t="str">
        <f>"4170052707                    "</f>
        <v xml:space="preserve">4170052707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48.51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30</v>
      </c>
      <c r="BJ547">
        <v>7.2</v>
      </c>
      <c r="BK547">
        <v>30</v>
      </c>
      <c r="BL547">
        <v>158.69999999999999</v>
      </c>
      <c r="BM547">
        <v>23.81</v>
      </c>
      <c r="BN547">
        <v>182.51</v>
      </c>
      <c r="BO547">
        <v>182.51</v>
      </c>
      <c r="BQ547" t="s">
        <v>779</v>
      </c>
      <c r="BR547" t="s">
        <v>84</v>
      </c>
      <c r="BS547" s="3">
        <v>45874</v>
      </c>
      <c r="BT547" s="4">
        <v>0.69791666666666663</v>
      </c>
      <c r="BU547" t="s">
        <v>1293</v>
      </c>
      <c r="BV547" t="s">
        <v>86</v>
      </c>
      <c r="BY547">
        <v>36000</v>
      </c>
      <c r="BZ547" t="s">
        <v>1294</v>
      </c>
      <c r="CC547" t="s">
        <v>80</v>
      </c>
      <c r="CD547">
        <v>1401</v>
      </c>
      <c r="CE547" t="s">
        <v>89</v>
      </c>
      <c r="CF547" s="3">
        <v>45874</v>
      </c>
      <c r="CI547">
        <v>1</v>
      </c>
      <c r="CJ547">
        <v>1</v>
      </c>
      <c r="CK547">
        <v>42</v>
      </c>
      <c r="CL547" t="s">
        <v>90</v>
      </c>
    </row>
    <row r="548" spans="1:90" x14ac:dyDescent="0.3">
      <c r="A548" t="s">
        <v>72</v>
      </c>
      <c r="B548" t="s">
        <v>73</v>
      </c>
      <c r="C548" t="s">
        <v>74</v>
      </c>
      <c r="E548" t="str">
        <f>"080067061244"</f>
        <v>080067061244</v>
      </c>
      <c r="F548" s="3">
        <v>45875</v>
      </c>
      <c r="G548">
        <v>202605</v>
      </c>
      <c r="H548" t="s">
        <v>75</v>
      </c>
      <c r="I548" t="s">
        <v>76</v>
      </c>
      <c r="J548" t="s">
        <v>77</v>
      </c>
      <c r="K548" t="s">
        <v>78</v>
      </c>
      <c r="L548" t="s">
        <v>319</v>
      </c>
      <c r="M548" t="s">
        <v>320</v>
      </c>
      <c r="N548" t="s">
        <v>321</v>
      </c>
      <c r="O548" t="s">
        <v>95</v>
      </c>
      <c r="P548" t="str">
        <f>"4170053338                    "</f>
        <v xml:space="preserve">4170053338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120.84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2</v>
      </c>
      <c r="BI548">
        <v>33</v>
      </c>
      <c r="BJ548">
        <v>18.3</v>
      </c>
      <c r="BK548">
        <v>33</v>
      </c>
      <c r="BL548">
        <v>381.12</v>
      </c>
      <c r="BM548">
        <v>57.17</v>
      </c>
      <c r="BN548">
        <v>438.29</v>
      </c>
      <c r="BO548">
        <v>438.29</v>
      </c>
      <c r="BQ548" t="s">
        <v>322</v>
      </c>
      <c r="BR548" t="s">
        <v>84</v>
      </c>
      <c r="BS548" s="3">
        <v>45876</v>
      </c>
      <c r="BT548" s="4">
        <v>0.43541666666666667</v>
      </c>
      <c r="BU548" t="s">
        <v>1295</v>
      </c>
      <c r="BV548" t="s">
        <v>86</v>
      </c>
      <c r="BY548">
        <v>91456</v>
      </c>
      <c r="CA548" t="s">
        <v>324</v>
      </c>
      <c r="CC548" t="s">
        <v>320</v>
      </c>
      <c r="CD548">
        <v>2531</v>
      </c>
      <c r="CE548" t="s">
        <v>147</v>
      </c>
      <c r="CF548" s="3">
        <v>45877</v>
      </c>
      <c r="CI548">
        <v>1</v>
      </c>
      <c r="CJ548">
        <v>1</v>
      </c>
      <c r="CK548">
        <v>43</v>
      </c>
      <c r="CL548" t="s">
        <v>90</v>
      </c>
    </row>
    <row r="549" spans="1:90" x14ac:dyDescent="0.3">
      <c r="A549" t="s">
        <v>72</v>
      </c>
      <c r="B549" t="s">
        <v>73</v>
      </c>
      <c r="C549" t="s">
        <v>74</v>
      </c>
      <c r="E549" t="str">
        <f>"080067062172"</f>
        <v>080067062172</v>
      </c>
      <c r="F549" s="3">
        <v>45875</v>
      </c>
      <c r="G549">
        <v>202605</v>
      </c>
      <c r="H549" t="s">
        <v>75</v>
      </c>
      <c r="I549" t="s">
        <v>76</v>
      </c>
      <c r="J549" t="s">
        <v>77</v>
      </c>
      <c r="K549" t="s">
        <v>78</v>
      </c>
      <c r="L549" t="s">
        <v>198</v>
      </c>
      <c r="M549" t="s">
        <v>199</v>
      </c>
      <c r="N549" t="s">
        <v>713</v>
      </c>
      <c r="O549" t="s">
        <v>82</v>
      </c>
      <c r="P549" t="str">
        <f>"4170053312                    "</f>
        <v xml:space="preserve">4170053312       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23.09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1</v>
      </c>
      <c r="BJ549">
        <v>0.2</v>
      </c>
      <c r="BK549">
        <v>1</v>
      </c>
      <c r="BL549">
        <v>71.69</v>
      </c>
      <c r="BM549">
        <v>10.75</v>
      </c>
      <c r="BN549">
        <v>82.44</v>
      </c>
      <c r="BO549">
        <v>82.44</v>
      </c>
      <c r="BQ549" t="s">
        <v>1296</v>
      </c>
      <c r="BR549" t="s">
        <v>84</v>
      </c>
      <c r="BS549" s="3">
        <v>45876</v>
      </c>
      <c r="BT549" s="4">
        <v>0.40972222222222221</v>
      </c>
      <c r="BU549" t="s">
        <v>1297</v>
      </c>
      <c r="BV549" t="s">
        <v>86</v>
      </c>
      <c r="BY549">
        <v>1200</v>
      </c>
      <c r="BZ549" t="s">
        <v>330</v>
      </c>
      <c r="CA549" t="s">
        <v>433</v>
      </c>
      <c r="CC549" t="s">
        <v>199</v>
      </c>
      <c r="CD549">
        <v>6012</v>
      </c>
      <c r="CE549" t="s">
        <v>597</v>
      </c>
      <c r="CF549" s="3">
        <v>45876</v>
      </c>
      <c r="CI549">
        <v>1</v>
      </c>
      <c r="CJ549">
        <v>1</v>
      </c>
      <c r="CK549">
        <v>21</v>
      </c>
      <c r="CL549" t="s">
        <v>90</v>
      </c>
    </row>
    <row r="550" spans="1:90" x14ac:dyDescent="0.3">
      <c r="A550" t="s">
        <v>72</v>
      </c>
      <c r="B550" t="s">
        <v>73</v>
      </c>
      <c r="C550" t="s">
        <v>74</v>
      </c>
      <c r="E550" t="str">
        <f>"080011587399"</f>
        <v>080011587399</v>
      </c>
      <c r="F550" s="3">
        <v>45875</v>
      </c>
      <c r="G550">
        <v>202605</v>
      </c>
      <c r="H550" t="s">
        <v>123</v>
      </c>
      <c r="I550" t="s">
        <v>124</v>
      </c>
      <c r="J550" t="s">
        <v>586</v>
      </c>
      <c r="K550" t="s">
        <v>78</v>
      </c>
      <c r="L550" t="s">
        <v>75</v>
      </c>
      <c r="M550" t="s">
        <v>76</v>
      </c>
      <c r="N550" t="s">
        <v>94</v>
      </c>
      <c r="O550" t="s">
        <v>82</v>
      </c>
      <c r="P550" t="str">
        <f>"Incorrect valves              "</f>
        <v xml:space="preserve">Incorrect valves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23.09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1</v>
      </c>
      <c r="BJ550">
        <v>0.2</v>
      </c>
      <c r="BK550">
        <v>1</v>
      </c>
      <c r="BL550">
        <v>71.69</v>
      </c>
      <c r="BM550">
        <v>10.75</v>
      </c>
      <c r="BN550">
        <v>82.44</v>
      </c>
      <c r="BO550">
        <v>82.44</v>
      </c>
      <c r="BP550" t="s">
        <v>96</v>
      </c>
      <c r="BQ550" t="s">
        <v>97</v>
      </c>
      <c r="BR550" t="s">
        <v>1298</v>
      </c>
      <c r="BS550" s="3">
        <v>45876</v>
      </c>
      <c r="BT550" s="4">
        <v>0.33333333333333331</v>
      </c>
      <c r="BU550" t="s">
        <v>1299</v>
      </c>
      <c r="BV550" t="s">
        <v>86</v>
      </c>
      <c r="BY550">
        <v>1200</v>
      </c>
      <c r="BZ550" t="s">
        <v>330</v>
      </c>
      <c r="CA550" t="s">
        <v>1300</v>
      </c>
      <c r="CC550" t="s">
        <v>76</v>
      </c>
      <c r="CD550">
        <v>1619</v>
      </c>
      <c r="CE550" t="s">
        <v>102</v>
      </c>
      <c r="CF550" s="3">
        <v>45877</v>
      </c>
      <c r="CI550">
        <v>1</v>
      </c>
      <c r="CJ550">
        <v>1</v>
      </c>
      <c r="CK550">
        <v>21</v>
      </c>
      <c r="CL550" t="s">
        <v>90</v>
      </c>
    </row>
    <row r="551" spans="1:90" x14ac:dyDescent="0.3">
      <c r="A551" t="s">
        <v>72</v>
      </c>
      <c r="B551" t="s">
        <v>73</v>
      </c>
      <c r="C551" t="s">
        <v>74</v>
      </c>
      <c r="E551" t="str">
        <f>"080067052360"</f>
        <v>080067052360</v>
      </c>
      <c r="F551" s="3">
        <v>45875</v>
      </c>
      <c r="G551">
        <v>202605</v>
      </c>
      <c r="H551" t="s">
        <v>75</v>
      </c>
      <c r="I551" t="s">
        <v>76</v>
      </c>
      <c r="J551" t="s">
        <v>77</v>
      </c>
      <c r="K551" t="s">
        <v>78</v>
      </c>
      <c r="L551" t="s">
        <v>278</v>
      </c>
      <c r="M551" t="s">
        <v>279</v>
      </c>
      <c r="N551" t="s">
        <v>1301</v>
      </c>
      <c r="O551" t="s">
        <v>95</v>
      </c>
      <c r="P551" t="str">
        <f>"4170045453                    "</f>
        <v xml:space="preserve">4170045453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64.91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2</v>
      </c>
      <c r="BI551">
        <v>26</v>
      </c>
      <c r="BJ551">
        <v>5.6</v>
      </c>
      <c r="BK551">
        <v>26</v>
      </c>
      <c r="BL551">
        <v>207.44</v>
      </c>
      <c r="BM551">
        <v>31.12</v>
      </c>
      <c r="BN551">
        <v>238.56</v>
      </c>
      <c r="BO551">
        <v>238.56</v>
      </c>
      <c r="BQ551" t="s">
        <v>1302</v>
      </c>
      <c r="BR551" t="s">
        <v>84</v>
      </c>
      <c r="BS551" s="3">
        <v>45876</v>
      </c>
      <c r="BT551" s="4">
        <v>0.53055555555555556</v>
      </c>
      <c r="BU551" t="s">
        <v>1303</v>
      </c>
      <c r="BV551" t="s">
        <v>86</v>
      </c>
      <c r="BY551">
        <v>14112</v>
      </c>
      <c r="CA551" t="s">
        <v>532</v>
      </c>
      <c r="CC551" t="s">
        <v>279</v>
      </c>
      <c r="CD551" s="5" t="s">
        <v>289</v>
      </c>
      <c r="CE551" t="s">
        <v>1304</v>
      </c>
      <c r="CF551" s="3">
        <v>45876</v>
      </c>
      <c r="CI551">
        <v>1</v>
      </c>
      <c r="CJ551">
        <v>1</v>
      </c>
      <c r="CK551">
        <v>41</v>
      </c>
      <c r="CL551" t="s">
        <v>90</v>
      </c>
    </row>
    <row r="552" spans="1:90" x14ac:dyDescent="0.3">
      <c r="A552" t="s">
        <v>72</v>
      </c>
      <c r="B552" t="s">
        <v>73</v>
      </c>
      <c r="C552" t="s">
        <v>74</v>
      </c>
      <c r="E552" t="str">
        <f>"080067053588"</f>
        <v>080067053588</v>
      </c>
      <c r="F552" s="3">
        <v>45875</v>
      </c>
      <c r="G552">
        <v>202605</v>
      </c>
      <c r="H552" t="s">
        <v>75</v>
      </c>
      <c r="I552" t="s">
        <v>76</v>
      </c>
      <c r="J552" t="s">
        <v>77</v>
      </c>
      <c r="K552" t="s">
        <v>78</v>
      </c>
      <c r="L552" t="s">
        <v>223</v>
      </c>
      <c r="M552" t="s">
        <v>224</v>
      </c>
      <c r="N552" t="s">
        <v>1305</v>
      </c>
      <c r="O552" t="s">
        <v>82</v>
      </c>
      <c r="P552" t="str">
        <f>"4170053020                    "</f>
        <v xml:space="preserve">4170053020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23.09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1</v>
      </c>
      <c r="BJ552">
        <v>0.2</v>
      </c>
      <c r="BK552">
        <v>1</v>
      </c>
      <c r="BL552">
        <v>71.69</v>
      </c>
      <c r="BM552">
        <v>10.75</v>
      </c>
      <c r="BN552">
        <v>82.44</v>
      </c>
      <c r="BO552">
        <v>82.44</v>
      </c>
      <c r="BQ552" t="s">
        <v>1306</v>
      </c>
      <c r="BR552" t="s">
        <v>84</v>
      </c>
      <c r="BS552" s="3">
        <v>45876</v>
      </c>
      <c r="BT552" s="4">
        <v>0.4861111111111111</v>
      </c>
      <c r="BU552" t="s">
        <v>1307</v>
      </c>
      <c r="BV552" t="s">
        <v>90</v>
      </c>
      <c r="BY552">
        <v>1200</v>
      </c>
      <c r="CA552" t="s">
        <v>1308</v>
      </c>
      <c r="CC552" t="s">
        <v>224</v>
      </c>
      <c r="CD552">
        <v>5200</v>
      </c>
      <c r="CE552" t="s">
        <v>109</v>
      </c>
      <c r="CF552" s="3">
        <v>45876</v>
      </c>
      <c r="CI552">
        <v>1</v>
      </c>
      <c r="CJ552">
        <v>1</v>
      </c>
      <c r="CK552">
        <v>21</v>
      </c>
      <c r="CL552" t="s">
        <v>90</v>
      </c>
    </row>
    <row r="553" spans="1:90" x14ac:dyDescent="0.3">
      <c r="A553" t="s">
        <v>72</v>
      </c>
      <c r="B553" t="s">
        <v>73</v>
      </c>
      <c r="C553" t="s">
        <v>74</v>
      </c>
      <c r="E553" t="str">
        <f>"080067053620"</f>
        <v>080067053620</v>
      </c>
      <c r="F553" s="3">
        <v>45875</v>
      </c>
      <c r="G553">
        <v>202605</v>
      </c>
      <c r="H553" t="s">
        <v>75</v>
      </c>
      <c r="I553" t="s">
        <v>76</v>
      </c>
      <c r="J553" t="s">
        <v>77</v>
      </c>
      <c r="K553" t="s">
        <v>78</v>
      </c>
      <c r="L553" t="s">
        <v>162</v>
      </c>
      <c r="M553" t="s">
        <v>163</v>
      </c>
      <c r="N553" t="s">
        <v>1192</v>
      </c>
      <c r="O553" t="s">
        <v>82</v>
      </c>
      <c r="P553" t="str">
        <f>"4170052907                    "</f>
        <v xml:space="preserve">4170052907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196.08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17</v>
      </c>
      <c r="BJ553">
        <v>6.8</v>
      </c>
      <c r="BK553">
        <v>17</v>
      </c>
      <c r="BL553">
        <v>608.88</v>
      </c>
      <c r="BM553">
        <v>91.33</v>
      </c>
      <c r="BN553">
        <v>700.21</v>
      </c>
      <c r="BO553">
        <v>700.21</v>
      </c>
      <c r="BQ553" t="s">
        <v>1193</v>
      </c>
      <c r="BR553" t="s">
        <v>84</v>
      </c>
      <c r="BS553" s="3">
        <v>45877</v>
      </c>
      <c r="BT553" s="4">
        <v>0.41666666666666669</v>
      </c>
      <c r="BU553" t="s">
        <v>1309</v>
      </c>
      <c r="BV553" t="s">
        <v>86</v>
      </c>
      <c r="BY553">
        <v>34048</v>
      </c>
      <c r="CC553" t="s">
        <v>163</v>
      </c>
      <c r="CD553">
        <v>3212</v>
      </c>
      <c r="CE553" t="s">
        <v>147</v>
      </c>
      <c r="CF553" s="3">
        <v>45877</v>
      </c>
      <c r="CI553">
        <v>2</v>
      </c>
      <c r="CJ553">
        <v>2</v>
      </c>
      <c r="CK553">
        <v>21</v>
      </c>
      <c r="CL553" t="s">
        <v>90</v>
      </c>
    </row>
    <row r="554" spans="1:90" x14ac:dyDescent="0.3">
      <c r="A554" t="s">
        <v>72</v>
      </c>
      <c r="B554" t="s">
        <v>73</v>
      </c>
      <c r="C554" t="s">
        <v>74</v>
      </c>
      <c r="E554" t="str">
        <f>"080067053640"</f>
        <v>080067053640</v>
      </c>
      <c r="F554" s="3">
        <v>45875</v>
      </c>
      <c r="G554">
        <v>202605</v>
      </c>
      <c r="H554" t="s">
        <v>75</v>
      </c>
      <c r="I554" t="s">
        <v>76</v>
      </c>
      <c r="J554" t="s">
        <v>77</v>
      </c>
      <c r="K554" t="s">
        <v>78</v>
      </c>
      <c r="L554" t="s">
        <v>137</v>
      </c>
      <c r="M554" t="s">
        <v>138</v>
      </c>
      <c r="N554" t="s">
        <v>1073</v>
      </c>
      <c r="O554" t="s">
        <v>82</v>
      </c>
      <c r="P554" t="str">
        <f>"4170053231                    "</f>
        <v xml:space="preserve">4170053231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23.09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1</v>
      </c>
      <c r="BJ554">
        <v>0.2</v>
      </c>
      <c r="BK554">
        <v>1</v>
      </c>
      <c r="BL554">
        <v>71.69</v>
      </c>
      <c r="BM554">
        <v>10.75</v>
      </c>
      <c r="BN554">
        <v>82.44</v>
      </c>
      <c r="BO554">
        <v>82.44</v>
      </c>
      <c r="BQ554" t="s">
        <v>1074</v>
      </c>
      <c r="BR554" t="s">
        <v>84</v>
      </c>
      <c r="BS554" s="3">
        <v>45876</v>
      </c>
      <c r="BT554" s="4">
        <v>0.48958333333333331</v>
      </c>
      <c r="BU554" t="s">
        <v>1310</v>
      </c>
      <c r="BV554" t="s">
        <v>86</v>
      </c>
      <c r="BY554">
        <v>1200</v>
      </c>
      <c r="BZ554" t="s">
        <v>330</v>
      </c>
      <c r="CA554" t="s">
        <v>953</v>
      </c>
      <c r="CC554" t="s">
        <v>138</v>
      </c>
      <c r="CD554">
        <v>3610</v>
      </c>
      <c r="CE554" t="s">
        <v>597</v>
      </c>
      <c r="CF554" s="3">
        <v>45876</v>
      </c>
      <c r="CI554">
        <v>1</v>
      </c>
      <c r="CJ554">
        <v>1</v>
      </c>
      <c r="CK554">
        <v>21</v>
      </c>
      <c r="CL554" t="s">
        <v>90</v>
      </c>
    </row>
    <row r="555" spans="1:90" x14ac:dyDescent="0.3">
      <c r="A555" t="s">
        <v>72</v>
      </c>
      <c r="B555" t="s">
        <v>73</v>
      </c>
      <c r="C555" t="s">
        <v>74</v>
      </c>
      <c r="E555" t="str">
        <f>"080067053665"</f>
        <v>080067053665</v>
      </c>
      <c r="F555" s="3">
        <v>45875</v>
      </c>
      <c r="G555">
        <v>202605</v>
      </c>
      <c r="H555" t="s">
        <v>75</v>
      </c>
      <c r="I555" t="s">
        <v>76</v>
      </c>
      <c r="J555" t="s">
        <v>77</v>
      </c>
      <c r="K555" t="s">
        <v>78</v>
      </c>
      <c r="L555" t="s">
        <v>198</v>
      </c>
      <c r="M555" t="s">
        <v>199</v>
      </c>
      <c r="N555" t="s">
        <v>430</v>
      </c>
      <c r="O555" t="s">
        <v>82</v>
      </c>
      <c r="P555" t="str">
        <f>"4170053081                    "</f>
        <v xml:space="preserve">4170053081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23.09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2</v>
      </c>
      <c r="BJ555">
        <v>0.9</v>
      </c>
      <c r="BK555">
        <v>2</v>
      </c>
      <c r="BL555">
        <v>71.69</v>
      </c>
      <c r="BM555">
        <v>10.75</v>
      </c>
      <c r="BN555">
        <v>82.44</v>
      </c>
      <c r="BO555">
        <v>82.44</v>
      </c>
      <c r="BQ555" t="s">
        <v>431</v>
      </c>
      <c r="BR555" t="s">
        <v>84</v>
      </c>
      <c r="BS555" s="3">
        <v>45876</v>
      </c>
      <c r="BT555" s="4">
        <v>0.37083333333333335</v>
      </c>
      <c r="BU555" t="s">
        <v>1311</v>
      </c>
      <c r="BV555" t="s">
        <v>86</v>
      </c>
      <c r="BY555">
        <v>4560</v>
      </c>
      <c r="BZ555" t="s">
        <v>330</v>
      </c>
      <c r="CA555" t="s">
        <v>433</v>
      </c>
      <c r="CC555" t="s">
        <v>199</v>
      </c>
      <c r="CD555">
        <v>6001</v>
      </c>
      <c r="CE555" t="s">
        <v>89</v>
      </c>
      <c r="CF555" s="3">
        <v>45876</v>
      </c>
      <c r="CI555">
        <v>1</v>
      </c>
      <c r="CJ555">
        <v>1</v>
      </c>
      <c r="CK555">
        <v>21</v>
      </c>
      <c r="CL555" t="s">
        <v>90</v>
      </c>
    </row>
    <row r="556" spans="1:90" x14ac:dyDescent="0.3">
      <c r="A556" t="s">
        <v>72</v>
      </c>
      <c r="B556" t="s">
        <v>73</v>
      </c>
      <c r="C556" t="s">
        <v>74</v>
      </c>
      <c r="E556" t="str">
        <f>"080067053684"</f>
        <v>080067053684</v>
      </c>
      <c r="F556" s="3">
        <v>45875</v>
      </c>
      <c r="G556">
        <v>202605</v>
      </c>
      <c r="H556" t="s">
        <v>75</v>
      </c>
      <c r="I556" t="s">
        <v>76</v>
      </c>
      <c r="J556" t="s">
        <v>77</v>
      </c>
      <c r="K556" t="s">
        <v>78</v>
      </c>
      <c r="L556" t="s">
        <v>373</v>
      </c>
      <c r="M556" t="s">
        <v>374</v>
      </c>
      <c r="N556" t="s">
        <v>1084</v>
      </c>
      <c r="O556" t="s">
        <v>82</v>
      </c>
      <c r="P556" t="str">
        <f>"4170053177                    "</f>
        <v xml:space="preserve">4170053177       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23.09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1</v>
      </c>
      <c r="BJ556">
        <v>0.2</v>
      </c>
      <c r="BK556">
        <v>1</v>
      </c>
      <c r="BL556">
        <v>71.69</v>
      </c>
      <c r="BM556">
        <v>10.75</v>
      </c>
      <c r="BN556">
        <v>82.44</v>
      </c>
      <c r="BO556">
        <v>82.44</v>
      </c>
      <c r="BQ556" t="s">
        <v>1085</v>
      </c>
      <c r="BR556" t="s">
        <v>84</v>
      </c>
      <c r="BS556" s="3">
        <v>45876</v>
      </c>
      <c r="BT556" s="4">
        <v>0.59305555555555556</v>
      </c>
      <c r="BU556" t="s">
        <v>1312</v>
      </c>
      <c r="BV556" t="s">
        <v>90</v>
      </c>
      <c r="BW556" t="s">
        <v>364</v>
      </c>
      <c r="BX556" t="s">
        <v>965</v>
      </c>
      <c r="BY556">
        <v>1200</v>
      </c>
      <c r="BZ556" t="s">
        <v>330</v>
      </c>
      <c r="CC556" t="s">
        <v>374</v>
      </c>
      <c r="CD556">
        <v>6220</v>
      </c>
      <c r="CE556" t="s">
        <v>597</v>
      </c>
      <c r="CF556" s="3">
        <v>45876</v>
      </c>
      <c r="CI556">
        <v>1</v>
      </c>
      <c r="CJ556">
        <v>1</v>
      </c>
      <c r="CK556">
        <v>21</v>
      </c>
      <c r="CL556" t="s">
        <v>90</v>
      </c>
    </row>
    <row r="557" spans="1:90" x14ac:dyDescent="0.3">
      <c r="A557" t="s">
        <v>72</v>
      </c>
      <c r="B557" t="s">
        <v>73</v>
      </c>
      <c r="C557" t="s">
        <v>74</v>
      </c>
      <c r="E557" t="str">
        <f>"080067053710"</f>
        <v>080067053710</v>
      </c>
      <c r="F557" s="3">
        <v>45875</v>
      </c>
      <c r="G557">
        <v>202605</v>
      </c>
      <c r="H557" t="s">
        <v>75</v>
      </c>
      <c r="I557" t="s">
        <v>76</v>
      </c>
      <c r="J557" t="s">
        <v>77</v>
      </c>
      <c r="K557" t="s">
        <v>78</v>
      </c>
      <c r="L557" t="s">
        <v>1219</v>
      </c>
      <c r="M557" t="s">
        <v>1220</v>
      </c>
      <c r="N557" t="s">
        <v>1313</v>
      </c>
      <c r="O557" t="s">
        <v>82</v>
      </c>
      <c r="P557" t="str">
        <f>"4170052750                    "</f>
        <v xml:space="preserve">4170052750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44.73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2</v>
      </c>
      <c r="BJ557">
        <v>1.1000000000000001</v>
      </c>
      <c r="BK557">
        <v>2</v>
      </c>
      <c r="BL557">
        <v>138.88999999999999</v>
      </c>
      <c r="BM557">
        <v>20.83</v>
      </c>
      <c r="BN557">
        <v>159.72</v>
      </c>
      <c r="BO557">
        <v>159.72</v>
      </c>
      <c r="BQ557" t="s">
        <v>1314</v>
      </c>
      <c r="BR557" t="s">
        <v>84</v>
      </c>
      <c r="BS557" s="3">
        <v>45880</v>
      </c>
      <c r="BT557" s="4">
        <v>0.625</v>
      </c>
      <c r="BU557" t="s">
        <v>1315</v>
      </c>
      <c r="BV557" t="s">
        <v>86</v>
      </c>
      <c r="BY557">
        <v>5320</v>
      </c>
      <c r="CA557" t="s">
        <v>457</v>
      </c>
      <c r="CC557" t="s">
        <v>1220</v>
      </c>
      <c r="CD557">
        <v>7380</v>
      </c>
      <c r="CE557" t="s">
        <v>147</v>
      </c>
      <c r="CF557" s="3">
        <v>45881</v>
      </c>
      <c r="CI557">
        <v>5</v>
      </c>
      <c r="CJ557">
        <v>3</v>
      </c>
      <c r="CK557">
        <v>23</v>
      </c>
      <c r="CL557" t="s">
        <v>90</v>
      </c>
    </row>
    <row r="558" spans="1:90" x14ac:dyDescent="0.3">
      <c r="A558" t="s">
        <v>72</v>
      </c>
      <c r="B558" t="s">
        <v>73</v>
      </c>
      <c r="C558" t="s">
        <v>74</v>
      </c>
      <c r="E558" t="str">
        <f>"080067053728"</f>
        <v>080067053728</v>
      </c>
      <c r="F558" s="3">
        <v>45875</v>
      </c>
      <c r="G558">
        <v>202605</v>
      </c>
      <c r="H558" t="s">
        <v>75</v>
      </c>
      <c r="I558" t="s">
        <v>76</v>
      </c>
      <c r="J558" t="s">
        <v>77</v>
      </c>
      <c r="K558" t="s">
        <v>78</v>
      </c>
      <c r="L558" t="s">
        <v>319</v>
      </c>
      <c r="M558" t="s">
        <v>320</v>
      </c>
      <c r="N558" t="s">
        <v>321</v>
      </c>
      <c r="O558" t="s">
        <v>82</v>
      </c>
      <c r="P558" t="str">
        <f>"4170053265                    "</f>
        <v xml:space="preserve">4170053265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44.73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1</v>
      </c>
      <c r="BJ558">
        <v>0.2</v>
      </c>
      <c r="BK558">
        <v>1</v>
      </c>
      <c r="BL558">
        <v>138.88999999999999</v>
      </c>
      <c r="BM558">
        <v>20.83</v>
      </c>
      <c r="BN558">
        <v>159.72</v>
      </c>
      <c r="BO558">
        <v>159.72</v>
      </c>
      <c r="BQ558" t="s">
        <v>322</v>
      </c>
      <c r="BR558" t="s">
        <v>84</v>
      </c>
      <c r="BS558" s="3">
        <v>45876</v>
      </c>
      <c r="BT558" s="4">
        <v>0.43680555555555556</v>
      </c>
      <c r="BU558" t="s">
        <v>1044</v>
      </c>
      <c r="BV558" t="s">
        <v>86</v>
      </c>
      <c r="BY558">
        <v>1200</v>
      </c>
      <c r="CA558" t="s">
        <v>324</v>
      </c>
      <c r="CC558" t="s">
        <v>320</v>
      </c>
      <c r="CD558">
        <v>2531</v>
      </c>
      <c r="CE558" t="s">
        <v>109</v>
      </c>
      <c r="CF558" s="3">
        <v>45877</v>
      </c>
      <c r="CI558">
        <v>1</v>
      </c>
      <c r="CJ558">
        <v>1</v>
      </c>
      <c r="CK558">
        <v>23</v>
      </c>
      <c r="CL558" t="s">
        <v>90</v>
      </c>
    </row>
    <row r="559" spans="1:90" x14ac:dyDescent="0.3">
      <c r="A559" t="s">
        <v>72</v>
      </c>
      <c r="B559" t="s">
        <v>73</v>
      </c>
      <c r="C559" t="s">
        <v>74</v>
      </c>
      <c r="E559" t="str">
        <f>"080067053772"</f>
        <v>080067053772</v>
      </c>
      <c r="F559" s="3">
        <v>45875</v>
      </c>
      <c r="G559">
        <v>202605</v>
      </c>
      <c r="H559" t="s">
        <v>75</v>
      </c>
      <c r="I559" t="s">
        <v>76</v>
      </c>
      <c r="J559" t="s">
        <v>77</v>
      </c>
      <c r="K559" t="s">
        <v>78</v>
      </c>
      <c r="L559" t="s">
        <v>1316</v>
      </c>
      <c r="M559" t="s">
        <v>1317</v>
      </c>
      <c r="N559" t="s">
        <v>1318</v>
      </c>
      <c r="O559" t="s">
        <v>82</v>
      </c>
      <c r="P559" t="str">
        <f>"4170053029                    "</f>
        <v xml:space="preserve">4170053029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23.09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1</v>
      </c>
      <c r="BJ559">
        <v>0.2</v>
      </c>
      <c r="BK559">
        <v>1</v>
      </c>
      <c r="BL559">
        <v>71.69</v>
      </c>
      <c r="BM559">
        <v>10.75</v>
      </c>
      <c r="BN559">
        <v>82.44</v>
      </c>
      <c r="BO559">
        <v>82.44</v>
      </c>
      <c r="BQ559" t="s">
        <v>1319</v>
      </c>
      <c r="BR559" t="s">
        <v>84</v>
      </c>
      <c r="BS559" s="3">
        <v>45876</v>
      </c>
      <c r="BT559" s="4">
        <v>0.37708333333333333</v>
      </c>
      <c r="BU559" t="s">
        <v>1320</v>
      </c>
      <c r="BV559" t="s">
        <v>86</v>
      </c>
      <c r="BY559">
        <v>1200</v>
      </c>
      <c r="CA559" t="s">
        <v>136</v>
      </c>
      <c r="CC559" t="s">
        <v>1317</v>
      </c>
      <c r="CD559">
        <v>4026</v>
      </c>
      <c r="CE559" t="s">
        <v>109</v>
      </c>
      <c r="CF559" s="3">
        <v>45876</v>
      </c>
      <c r="CI559">
        <v>1</v>
      </c>
      <c r="CJ559">
        <v>1</v>
      </c>
      <c r="CK559">
        <v>21</v>
      </c>
      <c r="CL559" t="s">
        <v>90</v>
      </c>
    </row>
    <row r="560" spans="1:90" x14ac:dyDescent="0.3">
      <c r="A560" t="s">
        <v>72</v>
      </c>
      <c r="B560" t="s">
        <v>73</v>
      </c>
      <c r="C560" t="s">
        <v>74</v>
      </c>
      <c r="E560" t="str">
        <f>"080067053931"</f>
        <v>080067053931</v>
      </c>
      <c r="F560" s="3">
        <v>45875</v>
      </c>
      <c r="G560">
        <v>202605</v>
      </c>
      <c r="H560" t="s">
        <v>75</v>
      </c>
      <c r="I560" t="s">
        <v>76</v>
      </c>
      <c r="J560" t="s">
        <v>77</v>
      </c>
      <c r="K560" t="s">
        <v>78</v>
      </c>
      <c r="L560" t="s">
        <v>123</v>
      </c>
      <c r="M560" t="s">
        <v>124</v>
      </c>
      <c r="N560" t="s">
        <v>1321</v>
      </c>
      <c r="O560" t="s">
        <v>82</v>
      </c>
      <c r="P560" t="str">
        <f>"4170052876                    "</f>
        <v xml:space="preserve">4170052876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40.380000000000003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2</v>
      </c>
      <c r="BJ560">
        <v>3.4</v>
      </c>
      <c r="BK560">
        <v>3.5</v>
      </c>
      <c r="BL560">
        <v>125.4</v>
      </c>
      <c r="BM560">
        <v>18.809999999999999</v>
      </c>
      <c r="BN560">
        <v>144.21</v>
      </c>
      <c r="BO560">
        <v>144.21</v>
      </c>
      <c r="BQ560" t="s">
        <v>1322</v>
      </c>
      <c r="BR560" t="s">
        <v>84</v>
      </c>
      <c r="BS560" s="3">
        <v>45877</v>
      </c>
      <c r="BT560" s="4">
        <v>0.35625000000000001</v>
      </c>
      <c r="BU560" t="s">
        <v>1323</v>
      </c>
      <c r="BV560" t="s">
        <v>90</v>
      </c>
      <c r="BW560" t="s">
        <v>773</v>
      </c>
      <c r="BX560" t="s">
        <v>1324</v>
      </c>
      <c r="BY560">
        <v>16965</v>
      </c>
      <c r="CA560" t="s">
        <v>128</v>
      </c>
      <c r="CC560" t="s">
        <v>124</v>
      </c>
      <c r="CD560">
        <v>7530</v>
      </c>
      <c r="CE560" t="s">
        <v>147</v>
      </c>
      <c r="CF560" s="3">
        <v>45880</v>
      </c>
      <c r="CI560">
        <v>1</v>
      </c>
      <c r="CJ560">
        <v>2</v>
      </c>
      <c r="CK560">
        <v>21</v>
      </c>
      <c r="CL560" t="s">
        <v>90</v>
      </c>
    </row>
    <row r="561" spans="1:90" x14ac:dyDescent="0.3">
      <c r="A561" t="s">
        <v>72</v>
      </c>
      <c r="B561" t="s">
        <v>73</v>
      </c>
      <c r="C561" t="s">
        <v>74</v>
      </c>
      <c r="E561" t="str">
        <f>"080067053941"</f>
        <v>080067053941</v>
      </c>
      <c r="F561" s="3">
        <v>45875</v>
      </c>
      <c r="G561">
        <v>202605</v>
      </c>
      <c r="H561" t="s">
        <v>75</v>
      </c>
      <c r="I561" t="s">
        <v>76</v>
      </c>
      <c r="J561" t="s">
        <v>77</v>
      </c>
      <c r="K561" t="s">
        <v>78</v>
      </c>
      <c r="L561" t="s">
        <v>319</v>
      </c>
      <c r="M561" t="s">
        <v>320</v>
      </c>
      <c r="N561" t="s">
        <v>321</v>
      </c>
      <c r="O561" t="s">
        <v>82</v>
      </c>
      <c r="P561" t="str">
        <f>"4170053140                    "</f>
        <v xml:space="preserve">4170053140       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44.73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1</v>
      </c>
      <c r="BJ561">
        <v>0.2</v>
      </c>
      <c r="BK561">
        <v>1</v>
      </c>
      <c r="BL561">
        <v>138.88999999999999</v>
      </c>
      <c r="BM561">
        <v>20.83</v>
      </c>
      <c r="BN561">
        <v>159.72</v>
      </c>
      <c r="BO561">
        <v>159.72</v>
      </c>
      <c r="BQ561" t="s">
        <v>322</v>
      </c>
      <c r="BR561" t="s">
        <v>84</v>
      </c>
      <c r="BS561" s="3">
        <v>45876</v>
      </c>
      <c r="BT561" s="4">
        <v>0.43680555555555556</v>
      </c>
      <c r="BU561" t="s">
        <v>1044</v>
      </c>
      <c r="BV561" t="s">
        <v>86</v>
      </c>
      <c r="BY561">
        <v>1200</v>
      </c>
      <c r="CA561" t="s">
        <v>324</v>
      </c>
      <c r="CC561" t="s">
        <v>320</v>
      </c>
      <c r="CD561">
        <v>2531</v>
      </c>
      <c r="CE561" t="s">
        <v>109</v>
      </c>
      <c r="CF561" s="3">
        <v>45877</v>
      </c>
      <c r="CI561">
        <v>1</v>
      </c>
      <c r="CJ561">
        <v>1</v>
      </c>
      <c r="CK561">
        <v>23</v>
      </c>
      <c r="CL561" t="s">
        <v>90</v>
      </c>
    </row>
    <row r="562" spans="1:90" x14ac:dyDescent="0.3">
      <c r="A562" t="s">
        <v>72</v>
      </c>
      <c r="B562" t="s">
        <v>73</v>
      </c>
      <c r="C562" t="s">
        <v>74</v>
      </c>
      <c r="E562" t="str">
        <f>"080067053963"</f>
        <v>080067053963</v>
      </c>
      <c r="F562" s="3">
        <v>45875</v>
      </c>
      <c r="G562">
        <v>202605</v>
      </c>
      <c r="H562" t="s">
        <v>75</v>
      </c>
      <c r="I562" t="s">
        <v>76</v>
      </c>
      <c r="J562" t="s">
        <v>77</v>
      </c>
      <c r="K562" t="s">
        <v>78</v>
      </c>
      <c r="L562" t="s">
        <v>75</v>
      </c>
      <c r="M562" t="s">
        <v>76</v>
      </c>
      <c r="N562" t="s">
        <v>152</v>
      </c>
      <c r="O562" t="s">
        <v>82</v>
      </c>
      <c r="P562" t="str">
        <f>"4170053296                    "</f>
        <v xml:space="preserve">4170053296         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18.03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1</v>
      </c>
      <c r="BI562">
        <v>1</v>
      </c>
      <c r="BJ562">
        <v>0.2</v>
      </c>
      <c r="BK562">
        <v>1</v>
      </c>
      <c r="BL562">
        <v>55.99</v>
      </c>
      <c r="BM562">
        <v>8.4</v>
      </c>
      <c r="BN562">
        <v>64.39</v>
      </c>
      <c r="BO562">
        <v>64.39</v>
      </c>
      <c r="BQ562" t="s">
        <v>153</v>
      </c>
      <c r="BR562" t="s">
        <v>84</v>
      </c>
      <c r="BS562" s="3">
        <v>45876</v>
      </c>
      <c r="BT562" s="4">
        <v>0.31805555555555554</v>
      </c>
      <c r="BU562" t="s">
        <v>995</v>
      </c>
      <c r="BV562" t="s">
        <v>86</v>
      </c>
      <c r="BY562">
        <v>1200</v>
      </c>
      <c r="CA562" t="s">
        <v>155</v>
      </c>
      <c r="CC562" t="s">
        <v>76</v>
      </c>
      <c r="CD562">
        <v>1600</v>
      </c>
      <c r="CE562" t="s">
        <v>109</v>
      </c>
      <c r="CF562" s="3">
        <v>45876</v>
      </c>
      <c r="CI562">
        <v>1</v>
      </c>
      <c r="CJ562">
        <v>1</v>
      </c>
      <c r="CK562">
        <v>22</v>
      </c>
      <c r="CL562" t="s">
        <v>90</v>
      </c>
    </row>
    <row r="563" spans="1:90" x14ac:dyDescent="0.3">
      <c r="A563" t="s">
        <v>72</v>
      </c>
      <c r="B563" t="s">
        <v>73</v>
      </c>
      <c r="C563" t="s">
        <v>74</v>
      </c>
      <c r="E563" t="str">
        <f>"080067053968"</f>
        <v>080067053968</v>
      </c>
      <c r="F563" s="3">
        <v>45875</v>
      </c>
      <c r="G563">
        <v>202605</v>
      </c>
      <c r="H563" t="s">
        <v>75</v>
      </c>
      <c r="I563" t="s">
        <v>76</v>
      </c>
      <c r="J563" t="s">
        <v>77</v>
      </c>
      <c r="K563" t="s">
        <v>78</v>
      </c>
      <c r="L563" t="s">
        <v>278</v>
      </c>
      <c r="M563" t="s">
        <v>279</v>
      </c>
      <c r="N563" t="s">
        <v>866</v>
      </c>
      <c r="O563" t="s">
        <v>95</v>
      </c>
      <c r="P563" t="str">
        <f>"4170053067                    "</f>
        <v xml:space="preserve">4170053067         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44.64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12</v>
      </c>
      <c r="BJ563">
        <v>6.8</v>
      </c>
      <c r="BK563">
        <v>12</v>
      </c>
      <c r="BL563">
        <v>144.49</v>
      </c>
      <c r="BM563">
        <v>21.67</v>
      </c>
      <c r="BN563">
        <v>166.16</v>
      </c>
      <c r="BO563">
        <v>166.16</v>
      </c>
      <c r="BQ563" t="s">
        <v>867</v>
      </c>
      <c r="BR563" t="s">
        <v>84</v>
      </c>
      <c r="BS563" s="3">
        <v>45876</v>
      </c>
      <c r="BT563" s="4">
        <v>0.42083333333333334</v>
      </c>
      <c r="BU563" t="s">
        <v>1163</v>
      </c>
      <c r="BV563" t="s">
        <v>86</v>
      </c>
      <c r="BY563">
        <v>34048</v>
      </c>
      <c r="CA563" t="s">
        <v>532</v>
      </c>
      <c r="CC563" t="s">
        <v>279</v>
      </c>
      <c r="CD563" s="5" t="s">
        <v>533</v>
      </c>
      <c r="CE563" t="s">
        <v>147</v>
      </c>
      <c r="CF563" s="3">
        <v>45876</v>
      </c>
      <c r="CI563">
        <v>1</v>
      </c>
      <c r="CJ563">
        <v>1</v>
      </c>
      <c r="CK563">
        <v>41</v>
      </c>
      <c r="CL563" t="s">
        <v>90</v>
      </c>
    </row>
    <row r="564" spans="1:90" x14ac:dyDescent="0.3">
      <c r="A564" t="s">
        <v>72</v>
      </c>
      <c r="B564" t="s">
        <v>73</v>
      </c>
      <c r="C564" t="s">
        <v>74</v>
      </c>
      <c r="E564" t="str">
        <f>"080067054013"</f>
        <v>080067054013</v>
      </c>
      <c r="F564" s="3">
        <v>45875</v>
      </c>
      <c r="G564">
        <v>202605</v>
      </c>
      <c r="H564" t="s">
        <v>75</v>
      </c>
      <c r="I564" t="s">
        <v>76</v>
      </c>
      <c r="J564" t="s">
        <v>77</v>
      </c>
      <c r="K564" t="s">
        <v>78</v>
      </c>
      <c r="L564" t="s">
        <v>278</v>
      </c>
      <c r="M564" t="s">
        <v>279</v>
      </c>
      <c r="N564" t="s">
        <v>690</v>
      </c>
      <c r="O564" t="s">
        <v>82</v>
      </c>
      <c r="P564" t="str">
        <f>"4170053178                    "</f>
        <v xml:space="preserve">4170053178         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23.09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1</v>
      </c>
      <c r="BI564">
        <v>1</v>
      </c>
      <c r="BJ564">
        <v>0.6</v>
      </c>
      <c r="BK564">
        <v>1</v>
      </c>
      <c r="BL564">
        <v>71.69</v>
      </c>
      <c r="BM564">
        <v>10.75</v>
      </c>
      <c r="BN564">
        <v>82.44</v>
      </c>
      <c r="BO564">
        <v>82.44</v>
      </c>
      <c r="BQ564" t="s">
        <v>691</v>
      </c>
      <c r="BR564" t="s">
        <v>84</v>
      </c>
      <c r="BS564" s="3">
        <v>45876</v>
      </c>
      <c r="BT564" s="4">
        <v>0.39791666666666664</v>
      </c>
      <c r="BU564" t="s">
        <v>510</v>
      </c>
      <c r="BV564" t="s">
        <v>86</v>
      </c>
      <c r="BY564">
        <v>3192</v>
      </c>
      <c r="CA564" t="s">
        <v>693</v>
      </c>
      <c r="CC564" t="s">
        <v>279</v>
      </c>
      <c r="CD564" s="5" t="s">
        <v>289</v>
      </c>
      <c r="CE564" t="s">
        <v>147</v>
      </c>
      <c r="CF564" s="3">
        <v>45876</v>
      </c>
      <c r="CI564">
        <v>1</v>
      </c>
      <c r="CJ564">
        <v>1</v>
      </c>
      <c r="CK564">
        <v>21</v>
      </c>
      <c r="CL564" t="s">
        <v>90</v>
      </c>
    </row>
    <row r="565" spans="1:90" x14ac:dyDescent="0.3">
      <c r="A565" t="s">
        <v>72</v>
      </c>
      <c r="B565" t="s">
        <v>73</v>
      </c>
      <c r="C565" t="s">
        <v>74</v>
      </c>
      <c r="E565" t="str">
        <f>"080067054021"</f>
        <v>080067054021</v>
      </c>
      <c r="F565" s="3">
        <v>45875</v>
      </c>
      <c r="G565">
        <v>202605</v>
      </c>
      <c r="H565" t="s">
        <v>75</v>
      </c>
      <c r="I565" t="s">
        <v>76</v>
      </c>
      <c r="J565" t="s">
        <v>77</v>
      </c>
      <c r="K565" t="s">
        <v>78</v>
      </c>
      <c r="L565" t="s">
        <v>75</v>
      </c>
      <c r="M565" t="s">
        <v>76</v>
      </c>
      <c r="N565" t="s">
        <v>152</v>
      </c>
      <c r="O565" t="s">
        <v>82</v>
      </c>
      <c r="P565" t="str">
        <f>"4170053097                    "</f>
        <v xml:space="preserve">4170053097           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18.03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1</v>
      </c>
      <c r="BJ565">
        <v>0.2</v>
      </c>
      <c r="BK565">
        <v>1</v>
      </c>
      <c r="BL565">
        <v>55.99</v>
      </c>
      <c r="BM565">
        <v>8.4</v>
      </c>
      <c r="BN565">
        <v>64.39</v>
      </c>
      <c r="BO565">
        <v>64.39</v>
      </c>
      <c r="BQ565" t="s">
        <v>153</v>
      </c>
      <c r="BR565" t="s">
        <v>84</v>
      </c>
      <c r="BS565" s="3">
        <v>45876</v>
      </c>
      <c r="BT565" s="4">
        <v>0.31805555555555554</v>
      </c>
      <c r="BU565" t="s">
        <v>995</v>
      </c>
      <c r="BV565" t="s">
        <v>86</v>
      </c>
      <c r="BY565">
        <v>1200</v>
      </c>
      <c r="CA565" t="s">
        <v>155</v>
      </c>
      <c r="CC565" t="s">
        <v>76</v>
      </c>
      <c r="CD565">
        <v>1600</v>
      </c>
      <c r="CE565" t="s">
        <v>109</v>
      </c>
      <c r="CF565" s="3">
        <v>45876</v>
      </c>
      <c r="CI565">
        <v>1</v>
      </c>
      <c r="CJ565">
        <v>1</v>
      </c>
      <c r="CK565">
        <v>22</v>
      </c>
      <c r="CL565" t="s">
        <v>90</v>
      </c>
    </row>
    <row r="566" spans="1:90" x14ac:dyDescent="0.3">
      <c r="A566" t="s">
        <v>72</v>
      </c>
      <c r="B566" t="s">
        <v>73</v>
      </c>
      <c r="C566" t="s">
        <v>74</v>
      </c>
      <c r="E566" t="str">
        <f>"080067054051"</f>
        <v>080067054051</v>
      </c>
      <c r="F566" s="3">
        <v>45875</v>
      </c>
      <c r="G566">
        <v>202605</v>
      </c>
      <c r="H566" t="s">
        <v>75</v>
      </c>
      <c r="I566" t="s">
        <v>76</v>
      </c>
      <c r="J566" t="s">
        <v>77</v>
      </c>
      <c r="K566" t="s">
        <v>78</v>
      </c>
      <c r="L566" t="s">
        <v>198</v>
      </c>
      <c r="M566" t="s">
        <v>199</v>
      </c>
      <c r="N566" t="s">
        <v>200</v>
      </c>
      <c r="O566" t="s">
        <v>82</v>
      </c>
      <c r="P566" t="str">
        <f>"4170053059                    "</f>
        <v xml:space="preserve">4170053059         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23.09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1</v>
      </c>
      <c r="BJ566">
        <v>0.2</v>
      </c>
      <c r="BK566">
        <v>1</v>
      </c>
      <c r="BL566">
        <v>71.69</v>
      </c>
      <c r="BM566">
        <v>10.75</v>
      </c>
      <c r="BN566">
        <v>82.44</v>
      </c>
      <c r="BO566">
        <v>82.44</v>
      </c>
      <c r="BQ566" t="s">
        <v>201</v>
      </c>
      <c r="BR566" t="s">
        <v>84</v>
      </c>
      <c r="BS566" s="3">
        <v>45876</v>
      </c>
      <c r="BT566" s="4">
        <v>0.47916666666666669</v>
      </c>
      <c r="BU566" t="s">
        <v>1325</v>
      </c>
      <c r="BV566" t="s">
        <v>90</v>
      </c>
      <c r="BW566" t="s">
        <v>364</v>
      </c>
      <c r="BX566" t="s">
        <v>965</v>
      </c>
      <c r="BY566">
        <v>1200</v>
      </c>
      <c r="BZ566" t="s">
        <v>330</v>
      </c>
      <c r="CC566" t="s">
        <v>199</v>
      </c>
      <c r="CD566">
        <v>6001</v>
      </c>
      <c r="CE566" t="s">
        <v>597</v>
      </c>
      <c r="CF566" s="3">
        <v>45876</v>
      </c>
      <c r="CI566">
        <v>1</v>
      </c>
      <c r="CJ566">
        <v>1</v>
      </c>
      <c r="CK566">
        <v>21</v>
      </c>
      <c r="CL566" t="s">
        <v>90</v>
      </c>
    </row>
    <row r="567" spans="1:90" x14ac:dyDescent="0.3">
      <c r="A567" t="s">
        <v>72</v>
      </c>
      <c r="B567" t="s">
        <v>73</v>
      </c>
      <c r="C567" t="s">
        <v>74</v>
      </c>
      <c r="E567" t="str">
        <f>"080067054103"</f>
        <v>080067054103</v>
      </c>
      <c r="F567" s="3">
        <v>45875</v>
      </c>
      <c r="G567">
        <v>202605</v>
      </c>
      <c r="H567" t="s">
        <v>75</v>
      </c>
      <c r="I567" t="s">
        <v>76</v>
      </c>
      <c r="J567" t="s">
        <v>77</v>
      </c>
      <c r="K567" t="s">
        <v>78</v>
      </c>
      <c r="L567" t="s">
        <v>162</v>
      </c>
      <c r="M567" t="s">
        <v>163</v>
      </c>
      <c r="N567" t="s">
        <v>246</v>
      </c>
      <c r="O567" t="s">
        <v>82</v>
      </c>
      <c r="P567" t="str">
        <f>"4170053047                    "</f>
        <v xml:space="preserve">4170053047         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23.09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1</v>
      </c>
      <c r="BJ567">
        <v>0.2</v>
      </c>
      <c r="BK567">
        <v>1</v>
      </c>
      <c r="BL567">
        <v>71.69</v>
      </c>
      <c r="BM567">
        <v>10.75</v>
      </c>
      <c r="BN567">
        <v>82.44</v>
      </c>
      <c r="BO567">
        <v>82.44</v>
      </c>
      <c r="BQ567" t="s">
        <v>247</v>
      </c>
      <c r="BR567" t="s">
        <v>84</v>
      </c>
      <c r="BS567" s="3">
        <v>45877</v>
      </c>
      <c r="BT567" s="4">
        <v>0.41666666666666669</v>
      </c>
      <c r="BU567" t="s">
        <v>1326</v>
      </c>
      <c r="BV567" t="s">
        <v>90</v>
      </c>
      <c r="BY567">
        <v>1200</v>
      </c>
      <c r="CC567" t="s">
        <v>163</v>
      </c>
      <c r="CD567">
        <v>3201</v>
      </c>
      <c r="CE567" t="s">
        <v>109</v>
      </c>
      <c r="CF567" s="3">
        <v>45880</v>
      </c>
      <c r="CI567">
        <v>1</v>
      </c>
      <c r="CJ567">
        <v>2</v>
      </c>
      <c r="CK567">
        <v>21</v>
      </c>
      <c r="CL567" t="s">
        <v>90</v>
      </c>
    </row>
    <row r="568" spans="1:90" x14ac:dyDescent="0.3">
      <c r="A568" t="s">
        <v>72</v>
      </c>
      <c r="B568" t="s">
        <v>73</v>
      </c>
      <c r="C568" t="s">
        <v>74</v>
      </c>
      <c r="E568" t="str">
        <f>"080067054135"</f>
        <v>080067054135</v>
      </c>
      <c r="F568" s="3">
        <v>45875</v>
      </c>
      <c r="G568">
        <v>202605</v>
      </c>
      <c r="H568" t="s">
        <v>75</v>
      </c>
      <c r="I568" t="s">
        <v>76</v>
      </c>
      <c r="J568" t="s">
        <v>77</v>
      </c>
      <c r="K568" t="s">
        <v>78</v>
      </c>
      <c r="L568" t="s">
        <v>75</v>
      </c>
      <c r="M568" t="s">
        <v>76</v>
      </c>
      <c r="N568" t="s">
        <v>152</v>
      </c>
      <c r="O568" t="s">
        <v>82</v>
      </c>
      <c r="P568" t="str">
        <f>"4170053098                    "</f>
        <v xml:space="preserve">4170053098         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18.03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1</v>
      </c>
      <c r="BI568">
        <v>1</v>
      </c>
      <c r="BJ568">
        <v>0.2</v>
      </c>
      <c r="BK568">
        <v>1</v>
      </c>
      <c r="BL568">
        <v>55.99</v>
      </c>
      <c r="BM568">
        <v>8.4</v>
      </c>
      <c r="BN568">
        <v>64.39</v>
      </c>
      <c r="BO568">
        <v>64.39</v>
      </c>
      <c r="BQ568" t="s">
        <v>153</v>
      </c>
      <c r="BR568" t="s">
        <v>84</v>
      </c>
      <c r="BS568" s="3">
        <v>45876</v>
      </c>
      <c r="BT568" s="4">
        <v>0.31805555555555554</v>
      </c>
      <c r="BU568" t="s">
        <v>995</v>
      </c>
      <c r="BV568" t="s">
        <v>86</v>
      </c>
      <c r="BY568">
        <v>1200</v>
      </c>
      <c r="CA568" t="s">
        <v>155</v>
      </c>
      <c r="CC568" t="s">
        <v>76</v>
      </c>
      <c r="CD568">
        <v>1600</v>
      </c>
      <c r="CE568" t="s">
        <v>109</v>
      </c>
      <c r="CF568" s="3">
        <v>45876</v>
      </c>
      <c r="CI568">
        <v>1</v>
      </c>
      <c r="CJ568">
        <v>1</v>
      </c>
      <c r="CK568">
        <v>22</v>
      </c>
      <c r="CL568" t="s">
        <v>90</v>
      </c>
    </row>
    <row r="569" spans="1:90" x14ac:dyDescent="0.3">
      <c r="A569" t="s">
        <v>72</v>
      </c>
      <c r="B569" t="s">
        <v>73</v>
      </c>
      <c r="C569" t="s">
        <v>74</v>
      </c>
      <c r="E569" t="str">
        <f>"080067054166"</f>
        <v>080067054166</v>
      </c>
      <c r="F569" s="3">
        <v>45875</v>
      </c>
      <c r="G569">
        <v>202605</v>
      </c>
      <c r="H569" t="s">
        <v>75</v>
      </c>
      <c r="I569" t="s">
        <v>76</v>
      </c>
      <c r="J569" t="s">
        <v>77</v>
      </c>
      <c r="K569" t="s">
        <v>78</v>
      </c>
      <c r="L569" t="s">
        <v>75</v>
      </c>
      <c r="M569" t="s">
        <v>76</v>
      </c>
      <c r="N569" t="s">
        <v>602</v>
      </c>
      <c r="O569" t="s">
        <v>82</v>
      </c>
      <c r="P569" t="str">
        <f>"4170053277                    "</f>
        <v xml:space="preserve">4170053277           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18.03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1</v>
      </c>
      <c r="BI569">
        <v>1</v>
      </c>
      <c r="BJ569">
        <v>0.2</v>
      </c>
      <c r="BK569">
        <v>1</v>
      </c>
      <c r="BL569">
        <v>55.99</v>
      </c>
      <c r="BM569">
        <v>8.4</v>
      </c>
      <c r="BN569">
        <v>64.39</v>
      </c>
      <c r="BO569">
        <v>64.39</v>
      </c>
      <c r="BQ569" t="s">
        <v>603</v>
      </c>
      <c r="BR569" t="s">
        <v>84</v>
      </c>
      <c r="BS569" s="3">
        <v>45877</v>
      </c>
      <c r="BT569" s="4">
        <v>0.35694444444444445</v>
      </c>
      <c r="BU569" t="s">
        <v>604</v>
      </c>
      <c r="BV569" t="s">
        <v>90</v>
      </c>
      <c r="BY569">
        <v>1200</v>
      </c>
      <c r="CA569" t="s">
        <v>1327</v>
      </c>
      <c r="CC569" t="s">
        <v>76</v>
      </c>
      <c r="CD569">
        <v>1665</v>
      </c>
      <c r="CE569" t="s">
        <v>109</v>
      </c>
      <c r="CF569" s="3">
        <v>45878</v>
      </c>
      <c r="CI569">
        <v>1</v>
      </c>
      <c r="CJ569">
        <v>2</v>
      </c>
      <c r="CK569">
        <v>22</v>
      </c>
      <c r="CL569" t="s">
        <v>90</v>
      </c>
    </row>
    <row r="570" spans="1:90" x14ac:dyDescent="0.3">
      <c r="A570" t="s">
        <v>72</v>
      </c>
      <c r="B570" t="s">
        <v>73</v>
      </c>
      <c r="C570" t="s">
        <v>74</v>
      </c>
      <c r="E570" t="str">
        <f>"080067054188"</f>
        <v>080067054188</v>
      </c>
      <c r="F570" s="3">
        <v>45875</v>
      </c>
      <c r="G570">
        <v>202605</v>
      </c>
      <c r="H570" t="s">
        <v>75</v>
      </c>
      <c r="I570" t="s">
        <v>76</v>
      </c>
      <c r="J570" t="s">
        <v>77</v>
      </c>
      <c r="K570" t="s">
        <v>78</v>
      </c>
      <c r="L570" t="s">
        <v>118</v>
      </c>
      <c r="M570" t="s">
        <v>118</v>
      </c>
      <c r="N570" t="s">
        <v>1328</v>
      </c>
      <c r="O570" t="s">
        <v>82</v>
      </c>
      <c r="P570" t="str">
        <f>"4170053100                    "</f>
        <v xml:space="preserve">4170053100         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44.73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1</v>
      </c>
      <c r="BJ570">
        <v>0.2</v>
      </c>
      <c r="BK570">
        <v>1</v>
      </c>
      <c r="BL570">
        <v>138.88999999999999</v>
      </c>
      <c r="BM570">
        <v>20.83</v>
      </c>
      <c r="BN570">
        <v>159.72</v>
      </c>
      <c r="BO570">
        <v>159.72</v>
      </c>
      <c r="BQ570" t="s">
        <v>1329</v>
      </c>
      <c r="BR570" t="s">
        <v>84</v>
      </c>
      <c r="BS570" s="3">
        <v>45877</v>
      </c>
      <c r="BT570" s="4">
        <v>0.59652777777777777</v>
      </c>
      <c r="BU570" t="s">
        <v>790</v>
      </c>
      <c r="BV570" t="s">
        <v>90</v>
      </c>
      <c r="BW570" t="s">
        <v>1167</v>
      </c>
      <c r="BX570" t="s">
        <v>1324</v>
      </c>
      <c r="BY570">
        <v>1200</v>
      </c>
      <c r="CA570" t="s">
        <v>122</v>
      </c>
      <c r="CC570" t="s">
        <v>118</v>
      </c>
      <c r="CD570">
        <v>7646</v>
      </c>
      <c r="CE570" t="s">
        <v>109</v>
      </c>
      <c r="CF570" s="3">
        <v>45880</v>
      </c>
      <c r="CI570">
        <v>1</v>
      </c>
      <c r="CJ570">
        <v>2</v>
      </c>
      <c r="CK570">
        <v>23</v>
      </c>
      <c r="CL570" t="s">
        <v>90</v>
      </c>
    </row>
    <row r="571" spans="1:90" x14ac:dyDescent="0.3">
      <c r="A571" t="s">
        <v>72</v>
      </c>
      <c r="B571" t="s">
        <v>73</v>
      </c>
      <c r="C571" t="s">
        <v>74</v>
      </c>
      <c r="E571" t="str">
        <f>"080067054193"</f>
        <v>080067054193</v>
      </c>
      <c r="F571" s="3">
        <v>45875</v>
      </c>
      <c r="G571">
        <v>202605</v>
      </c>
      <c r="H571" t="s">
        <v>75</v>
      </c>
      <c r="I571" t="s">
        <v>76</v>
      </c>
      <c r="J571" t="s">
        <v>77</v>
      </c>
      <c r="K571" t="s">
        <v>78</v>
      </c>
      <c r="L571" t="s">
        <v>217</v>
      </c>
      <c r="M571" t="s">
        <v>218</v>
      </c>
      <c r="N571" t="s">
        <v>861</v>
      </c>
      <c r="O571" t="s">
        <v>82</v>
      </c>
      <c r="P571" t="str">
        <f>"4170052875                    "</f>
        <v xml:space="preserve">4170052875         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23.09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2</v>
      </c>
      <c r="BJ571">
        <v>1.7</v>
      </c>
      <c r="BK571">
        <v>2</v>
      </c>
      <c r="BL571">
        <v>71.69</v>
      </c>
      <c r="BM571">
        <v>10.75</v>
      </c>
      <c r="BN571">
        <v>82.44</v>
      </c>
      <c r="BO571">
        <v>82.44</v>
      </c>
      <c r="BQ571" t="s">
        <v>1330</v>
      </c>
      <c r="BR571" t="s">
        <v>84</v>
      </c>
      <c r="BS571" s="3">
        <v>45876</v>
      </c>
      <c r="BT571" s="4">
        <v>0.40625</v>
      </c>
      <c r="BU571" t="s">
        <v>187</v>
      </c>
      <c r="BV571" t="s">
        <v>86</v>
      </c>
      <c r="BY571">
        <v>8512</v>
      </c>
      <c r="BZ571" t="s">
        <v>330</v>
      </c>
      <c r="CA571" t="s">
        <v>425</v>
      </c>
      <c r="CC571" t="s">
        <v>218</v>
      </c>
      <c r="CD571">
        <v>4001</v>
      </c>
      <c r="CE571" t="s">
        <v>89</v>
      </c>
      <c r="CF571" s="3">
        <v>45876</v>
      </c>
      <c r="CI571">
        <v>1</v>
      </c>
      <c r="CJ571">
        <v>1</v>
      </c>
      <c r="CK571">
        <v>21</v>
      </c>
      <c r="CL571" t="s">
        <v>90</v>
      </c>
    </row>
    <row r="572" spans="1:90" x14ac:dyDescent="0.3">
      <c r="A572" t="s">
        <v>72</v>
      </c>
      <c r="B572" t="s">
        <v>73</v>
      </c>
      <c r="C572" t="s">
        <v>74</v>
      </c>
      <c r="E572" t="str">
        <f>"080067054217"</f>
        <v>080067054217</v>
      </c>
      <c r="F572" s="3">
        <v>45875</v>
      </c>
      <c r="G572">
        <v>202605</v>
      </c>
      <c r="H572" t="s">
        <v>75</v>
      </c>
      <c r="I572" t="s">
        <v>76</v>
      </c>
      <c r="J572" t="s">
        <v>77</v>
      </c>
      <c r="K572" t="s">
        <v>78</v>
      </c>
      <c r="L572" t="s">
        <v>198</v>
      </c>
      <c r="M572" t="s">
        <v>199</v>
      </c>
      <c r="N572" t="s">
        <v>598</v>
      </c>
      <c r="O572" t="s">
        <v>82</v>
      </c>
      <c r="P572" t="str">
        <f>"4170053273                    "</f>
        <v xml:space="preserve">4170053273         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23.09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1</v>
      </c>
      <c r="BJ572">
        <v>0.2</v>
      </c>
      <c r="BK572">
        <v>1</v>
      </c>
      <c r="BL572">
        <v>71.69</v>
      </c>
      <c r="BM572">
        <v>10.75</v>
      </c>
      <c r="BN572">
        <v>82.44</v>
      </c>
      <c r="BO572">
        <v>82.44</v>
      </c>
      <c r="BQ572" t="s">
        <v>599</v>
      </c>
      <c r="BR572" t="s">
        <v>84</v>
      </c>
      <c r="BS572" s="3">
        <v>45876</v>
      </c>
      <c r="BT572" s="4">
        <v>0.69236111111111109</v>
      </c>
      <c r="BU572" t="s">
        <v>1331</v>
      </c>
      <c r="BV572" t="s">
        <v>90</v>
      </c>
      <c r="BW572" t="s">
        <v>134</v>
      </c>
      <c r="BX572" t="s">
        <v>747</v>
      </c>
      <c r="BY572">
        <v>1200</v>
      </c>
      <c r="CA572" t="s">
        <v>601</v>
      </c>
      <c r="CC572" t="s">
        <v>199</v>
      </c>
      <c r="CD572">
        <v>6001</v>
      </c>
      <c r="CE572" t="s">
        <v>109</v>
      </c>
      <c r="CF572" s="3">
        <v>45876</v>
      </c>
      <c r="CI572">
        <v>1</v>
      </c>
      <c r="CJ572">
        <v>1</v>
      </c>
      <c r="CK572">
        <v>21</v>
      </c>
      <c r="CL572" t="s">
        <v>90</v>
      </c>
    </row>
    <row r="573" spans="1:90" x14ac:dyDescent="0.3">
      <c r="A573" t="s">
        <v>72</v>
      </c>
      <c r="B573" t="s">
        <v>73</v>
      </c>
      <c r="C573" t="s">
        <v>74</v>
      </c>
      <c r="E573" t="str">
        <f>"080067054230"</f>
        <v>080067054230</v>
      </c>
      <c r="F573" s="3">
        <v>45875</v>
      </c>
      <c r="G573">
        <v>202605</v>
      </c>
      <c r="H573" t="s">
        <v>75</v>
      </c>
      <c r="I573" t="s">
        <v>76</v>
      </c>
      <c r="J573" t="s">
        <v>77</v>
      </c>
      <c r="K573" t="s">
        <v>78</v>
      </c>
      <c r="L573" t="s">
        <v>198</v>
      </c>
      <c r="M573" t="s">
        <v>199</v>
      </c>
      <c r="N573" t="s">
        <v>1332</v>
      </c>
      <c r="O573" t="s">
        <v>82</v>
      </c>
      <c r="P573" t="str">
        <f>"4170053145                    "</f>
        <v xml:space="preserve">4170053145           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34.619999999999997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3</v>
      </c>
      <c r="BJ573">
        <v>1.4</v>
      </c>
      <c r="BK573">
        <v>3</v>
      </c>
      <c r="BL573">
        <v>107.5</v>
      </c>
      <c r="BM573">
        <v>16.13</v>
      </c>
      <c r="BN573">
        <v>123.63</v>
      </c>
      <c r="BO573">
        <v>123.63</v>
      </c>
      <c r="BQ573" t="s">
        <v>1333</v>
      </c>
      <c r="BR573" t="s">
        <v>84</v>
      </c>
      <c r="BS573" s="3">
        <v>45876</v>
      </c>
      <c r="BT573" s="4">
        <v>0.4152777777777778</v>
      </c>
      <c r="BU573" t="s">
        <v>1334</v>
      </c>
      <c r="BV573" t="s">
        <v>86</v>
      </c>
      <c r="BY573">
        <v>7000</v>
      </c>
      <c r="CA573" t="s">
        <v>413</v>
      </c>
      <c r="CC573" t="s">
        <v>199</v>
      </c>
      <c r="CD573">
        <v>6001</v>
      </c>
      <c r="CE573" t="s">
        <v>147</v>
      </c>
      <c r="CF573" s="3">
        <v>45876</v>
      </c>
      <c r="CI573">
        <v>1</v>
      </c>
      <c r="CJ573">
        <v>1</v>
      </c>
      <c r="CK573">
        <v>21</v>
      </c>
      <c r="CL573" t="s">
        <v>90</v>
      </c>
    </row>
    <row r="574" spans="1:90" x14ac:dyDescent="0.3">
      <c r="A574" t="s">
        <v>72</v>
      </c>
      <c r="B574" t="s">
        <v>73</v>
      </c>
      <c r="C574" t="s">
        <v>74</v>
      </c>
      <c r="E574" t="str">
        <f>"080067054286"</f>
        <v>080067054286</v>
      </c>
      <c r="F574" s="3">
        <v>45875</v>
      </c>
      <c r="G574">
        <v>202605</v>
      </c>
      <c r="H574" t="s">
        <v>75</v>
      </c>
      <c r="I574" t="s">
        <v>76</v>
      </c>
      <c r="J574" t="s">
        <v>77</v>
      </c>
      <c r="K574" t="s">
        <v>78</v>
      </c>
      <c r="L574" t="s">
        <v>513</v>
      </c>
      <c r="M574" t="s">
        <v>514</v>
      </c>
      <c r="N574" t="s">
        <v>1017</v>
      </c>
      <c r="O574" t="s">
        <v>82</v>
      </c>
      <c r="P574" t="str">
        <f>"4170053107                    "</f>
        <v xml:space="preserve">4170053107           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44.73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2</v>
      </c>
      <c r="BJ574">
        <v>1.4</v>
      </c>
      <c r="BK574">
        <v>2</v>
      </c>
      <c r="BL574">
        <v>138.88999999999999</v>
      </c>
      <c r="BM574">
        <v>20.83</v>
      </c>
      <c r="BN574">
        <v>159.72</v>
      </c>
      <c r="BO574">
        <v>159.72</v>
      </c>
      <c r="BQ574" t="s">
        <v>1018</v>
      </c>
      <c r="BR574" t="s">
        <v>84</v>
      </c>
      <c r="BS574" s="3">
        <v>45876</v>
      </c>
      <c r="BT574" s="4">
        <v>0.40902777777777777</v>
      </c>
      <c r="BU574" t="s">
        <v>1335</v>
      </c>
      <c r="BV574" t="s">
        <v>86</v>
      </c>
      <c r="BY574">
        <v>7000</v>
      </c>
      <c r="CA574" t="s">
        <v>1336</v>
      </c>
      <c r="CC574" t="s">
        <v>514</v>
      </c>
      <c r="CD574" s="5" t="s">
        <v>519</v>
      </c>
      <c r="CE574" t="s">
        <v>147</v>
      </c>
      <c r="CF574" s="3">
        <v>45877</v>
      </c>
      <c r="CI574">
        <v>1</v>
      </c>
      <c r="CJ574">
        <v>1</v>
      </c>
      <c r="CK574">
        <v>23</v>
      </c>
      <c r="CL574" t="s">
        <v>90</v>
      </c>
    </row>
    <row r="575" spans="1:90" x14ac:dyDescent="0.3">
      <c r="A575" t="s">
        <v>72</v>
      </c>
      <c r="B575" t="s">
        <v>73</v>
      </c>
      <c r="C575" t="s">
        <v>74</v>
      </c>
      <c r="E575" t="str">
        <f>"080067054322"</f>
        <v>080067054322</v>
      </c>
      <c r="F575" s="3">
        <v>45875</v>
      </c>
      <c r="G575">
        <v>202605</v>
      </c>
      <c r="H575" t="s">
        <v>75</v>
      </c>
      <c r="I575" t="s">
        <v>76</v>
      </c>
      <c r="J575" t="s">
        <v>77</v>
      </c>
      <c r="K575" t="s">
        <v>78</v>
      </c>
      <c r="L575" t="s">
        <v>452</v>
      </c>
      <c r="M575" t="s">
        <v>453</v>
      </c>
      <c r="N575" t="s">
        <v>1337</v>
      </c>
      <c r="O575" t="s">
        <v>82</v>
      </c>
      <c r="P575" t="str">
        <f>"4170053072                    "</f>
        <v xml:space="preserve">4170053072         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44.73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1</v>
      </c>
      <c r="BJ575">
        <v>0.2</v>
      </c>
      <c r="BK575">
        <v>1</v>
      </c>
      <c r="BL575">
        <v>138.88999999999999</v>
      </c>
      <c r="BM575">
        <v>20.83</v>
      </c>
      <c r="BN575">
        <v>159.72</v>
      </c>
      <c r="BO575">
        <v>159.72</v>
      </c>
      <c r="BQ575" t="s">
        <v>1338</v>
      </c>
      <c r="BR575" t="s">
        <v>84</v>
      </c>
      <c r="BS575" s="3">
        <v>45876</v>
      </c>
      <c r="BT575" s="4">
        <v>0.43263888888888891</v>
      </c>
      <c r="BU575" t="s">
        <v>1312</v>
      </c>
      <c r="BV575" t="s">
        <v>86</v>
      </c>
      <c r="BY575">
        <v>1200</v>
      </c>
      <c r="CA575" t="s">
        <v>484</v>
      </c>
      <c r="CC575" t="s">
        <v>453</v>
      </c>
      <c r="CD575">
        <v>1947</v>
      </c>
      <c r="CE575" t="s">
        <v>109</v>
      </c>
      <c r="CF575" s="3">
        <v>45877</v>
      </c>
      <c r="CI575">
        <v>1</v>
      </c>
      <c r="CJ575">
        <v>1</v>
      </c>
      <c r="CK575">
        <v>23</v>
      </c>
      <c r="CL575" t="s">
        <v>90</v>
      </c>
    </row>
    <row r="576" spans="1:90" x14ac:dyDescent="0.3">
      <c r="A576" t="s">
        <v>72</v>
      </c>
      <c r="B576" t="s">
        <v>73</v>
      </c>
      <c r="C576" t="s">
        <v>74</v>
      </c>
      <c r="E576" t="str">
        <f>"080067054331"</f>
        <v>080067054331</v>
      </c>
      <c r="F576" s="3">
        <v>45875</v>
      </c>
      <c r="G576">
        <v>202605</v>
      </c>
      <c r="H576" t="s">
        <v>75</v>
      </c>
      <c r="I576" t="s">
        <v>76</v>
      </c>
      <c r="J576" t="s">
        <v>77</v>
      </c>
      <c r="K576" t="s">
        <v>78</v>
      </c>
      <c r="L576" t="s">
        <v>223</v>
      </c>
      <c r="M576" t="s">
        <v>224</v>
      </c>
      <c r="N576" t="s">
        <v>225</v>
      </c>
      <c r="O576" t="s">
        <v>82</v>
      </c>
      <c r="P576" t="str">
        <f>"4170053278                    "</f>
        <v xml:space="preserve">4170053278           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23.09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1</v>
      </c>
      <c r="BJ576">
        <v>0.6</v>
      </c>
      <c r="BK576">
        <v>1</v>
      </c>
      <c r="BL576">
        <v>71.69</v>
      </c>
      <c r="BM576">
        <v>10.75</v>
      </c>
      <c r="BN576">
        <v>82.44</v>
      </c>
      <c r="BO576">
        <v>82.44</v>
      </c>
      <c r="BQ576" t="s">
        <v>226</v>
      </c>
      <c r="BR576" t="s">
        <v>84</v>
      </c>
      <c r="BS576" s="3">
        <v>45876</v>
      </c>
      <c r="BT576" s="4">
        <v>0.56805555555555554</v>
      </c>
      <c r="BU576" t="s">
        <v>1339</v>
      </c>
      <c r="BV576" t="s">
        <v>90</v>
      </c>
      <c r="BY576">
        <v>3192</v>
      </c>
      <c r="CA576" t="s">
        <v>228</v>
      </c>
      <c r="CC576" t="s">
        <v>224</v>
      </c>
      <c r="CD576">
        <v>5201</v>
      </c>
      <c r="CE576" t="s">
        <v>147</v>
      </c>
      <c r="CF576" s="3">
        <v>45877</v>
      </c>
      <c r="CI576">
        <v>1</v>
      </c>
      <c r="CJ576">
        <v>1</v>
      </c>
      <c r="CK576">
        <v>21</v>
      </c>
      <c r="CL576" t="s">
        <v>90</v>
      </c>
    </row>
    <row r="577" spans="1:90" x14ac:dyDescent="0.3">
      <c r="A577" t="s">
        <v>72</v>
      </c>
      <c r="B577" t="s">
        <v>73</v>
      </c>
      <c r="C577" t="s">
        <v>74</v>
      </c>
      <c r="E577" t="str">
        <f>"080067054371"</f>
        <v>080067054371</v>
      </c>
      <c r="F577" s="3">
        <v>45875</v>
      </c>
      <c r="G577">
        <v>202605</v>
      </c>
      <c r="H577" t="s">
        <v>75</v>
      </c>
      <c r="I577" t="s">
        <v>76</v>
      </c>
      <c r="J577" t="s">
        <v>77</v>
      </c>
      <c r="K577" t="s">
        <v>78</v>
      </c>
      <c r="L577" t="s">
        <v>162</v>
      </c>
      <c r="M577" t="s">
        <v>163</v>
      </c>
      <c r="N577" t="s">
        <v>246</v>
      </c>
      <c r="O577" t="s">
        <v>82</v>
      </c>
      <c r="P577" t="str">
        <f>"4170053076                    "</f>
        <v xml:space="preserve">4170053076           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23.09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1</v>
      </c>
      <c r="BJ577">
        <v>0.2</v>
      </c>
      <c r="BK577">
        <v>1</v>
      </c>
      <c r="BL577">
        <v>71.69</v>
      </c>
      <c r="BM577">
        <v>10.75</v>
      </c>
      <c r="BN577">
        <v>82.44</v>
      </c>
      <c r="BO577">
        <v>82.44</v>
      </c>
      <c r="BQ577" t="s">
        <v>247</v>
      </c>
      <c r="BR577" t="s">
        <v>84</v>
      </c>
      <c r="BS577" s="3">
        <v>45877</v>
      </c>
      <c r="BT577" s="4">
        <v>0.41666666666666669</v>
      </c>
      <c r="BU577" t="s">
        <v>1326</v>
      </c>
      <c r="BV577" t="s">
        <v>90</v>
      </c>
      <c r="BY577">
        <v>1200</v>
      </c>
      <c r="CC577" t="s">
        <v>163</v>
      </c>
      <c r="CD577">
        <v>3201</v>
      </c>
      <c r="CE577" t="s">
        <v>109</v>
      </c>
      <c r="CF577" s="3">
        <v>45880</v>
      </c>
      <c r="CI577">
        <v>1</v>
      </c>
      <c r="CJ577">
        <v>2</v>
      </c>
      <c r="CK577">
        <v>21</v>
      </c>
      <c r="CL577" t="s">
        <v>90</v>
      </c>
    </row>
    <row r="578" spans="1:90" x14ac:dyDescent="0.3">
      <c r="A578" t="s">
        <v>72</v>
      </c>
      <c r="B578" t="s">
        <v>73</v>
      </c>
      <c r="C578" t="s">
        <v>74</v>
      </c>
      <c r="E578" t="str">
        <f>"080067054403"</f>
        <v>080067054403</v>
      </c>
      <c r="F578" s="3">
        <v>45875</v>
      </c>
      <c r="G578">
        <v>202605</v>
      </c>
      <c r="H578" t="s">
        <v>75</v>
      </c>
      <c r="I578" t="s">
        <v>76</v>
      </c>
      <c r="J578" t="s">
        <v>77</v>
      </c>
      <c r="K578" t="s">
        <v>78</v>
      </c>
      <c r="L578" t="s">
        <v>75</v>
      </c>
      <c r="M578" t="s">
        <v>76</v>
      </c>
      <c r="N578" t="s">
        <v>1340</v>
      </c>
      <c r="O578" t="s">
        <v>82</v>
      </c>
      <c r="P578" t="str">
        <f>"4170053062                    "</f>
        <v xml:space="preserve">4170053062           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18.03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1</v>
      </c>
      <c r="BJ578">
        <v>0.2</v>
      </c>
      <c r="BK578">
        <v>1</v>
      </c>
      <c r="BL578">
        <v>55.99</v>
      </c>
      <c r="BM578">
        <v>8.4</v>
      </c>
      <c r="BN578">
        <v>64.39</v>
      </c>
      <c r="BO578">
        <v>64.39</v>
      </c>
      <c r="BQ578" t="s">
        <v>1341</v>
      </c>
      <c r="BR578" t="s">
        <v>84</v>
      </c>
      <c r="BS578" s="3">
        <v>45876</v>
      </c>
      <c r="BT578" s="4">
        <v>0.38958333333333334</v>
      </c>
      <c r="BU578" t="s">
        <v>1342</v>
      </c>
      <c r="BV578" t="s">
        <v>86</v>
      </c>
      <c r="BY578">
        <v>1200</v>
      </c>
      <c r="CA578" t="s">
        <v>1343</v>
      </c>
      <c r="CC578" t="s">
        <v>76</v>
      </c>
      <c r="CD578">
        <v>1609</v>
      </c>
      <c r="CE578" t="s">
        <v>109</v>
      </c>
      <c r="CF578" s="3">
        <v>45876</v>
      </c>
      <c r="CI578">
        <v>1</v>
      </c>
      <c r="CJ578">
        <v>1</v>
      </c>
      <c r="CK578">
        <v>22</v>
      </c>
      <c r="CL578" t="s">
        <v>90</v>
      </c>
    </row>
    <row r="579" spans="1:90" x14ac:dyDescent="0.3">
      <c r="A579" t="s">
        <v>72</v>
      </c>
      <c r="B579" t="s">
        <v>73</v>
      </c>
      <c r="C579" t="s">
        <v>74</v>
      </c>
      <c r="E579" t="str">
        <f>"080067054433"</f>
        <v>080067054433</v>
      </c>
      <c r="F579" s="3">
        <v>45875</v>
      </c>
      <c r="G579">
        <v>202605</v>
      </c>
      <c r="H579" t="s">
        <v>75</v>
      </c>
      <c r="I579" t="s">
        <v>76</v>
      </c>
      <c r="J579" t="s">
        <v>77</v>
      </c>
      <c r="K579" t="s">
        <v>78</v>
      </c>
      <c r="L579" t="s">
        <v>1157</v>
      </c>
      <c r="M579" t="s">
        <v>1158</v>
      </c>
      <c r="N579" t="s">
        <v>1159</v>
      </c>
      <c r="O579" t="s">
        <v>82</v>
      </c>
      <c r="P579" t="str">
        <f>"4170053290                    "</f>
        <v xml:space="preserve">4170053290         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44.73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1</v>
      </c>
      <c r="BI579">
        <v>1</v>
      </c>
      <c r="BJ579">
        <v>0.2</v>
      </c>
      <c r="BK579">
        <v>1</v>
      </c>
      <c r="BL579">
        <v>138.88999999999999</v>
      </c>
      <c r="BM579">
        <v>20.83</v>
      </c>
      <c r="BN579">
        <v>159.72</v>
      </c>
      <c r="BO579">
        <v>159.72</v>
      </c>
      <c r="BQ579" t="s">
        <v>1160</v>
      </c>
      <c r="BR579" t="s">
        <v>84</v>
      </c>
      <c r="BS579" s="3">
        <v>45876</v>
      </c>
      <c r="BT579" s="4">
        <v>0.43402777777777779</v>
      </c>
      <c r="BU579" t="s">
        <v>1161</v>
      </c>
      <c r="BV579" t="s">
        <v>86</v>
      </c>
      <c r="BY579">
        <v>1200</v>
      </c>
      <c r="BZ579" t="s">
        <v>330</v>
      </c>
      <c r="CA579" t="s">
        <v>1162</v>
      </c>
      <c r="CC579" t="s">
        <v>1158</v>
      </c>
      <c r="CD579">
        <v>2302</v>
      </c>
      <c r="CE579" t="s">
        <v>597</v>
      </c>
      <c r="CF579" s="3">
        <v>45876</v>
      </c>
      <c r="CI579">
        <v>1</v>
      </c>
      <c r="CJ579">
        <v>1</v>
      </c>
      <c r="CK579">
        <v>23</v>
      </c>
      <c r="CL579" t="s">
        <v>90</v>
      </c>
    </row>
    <row r="580" spans="1:90" x14ac:dyDescent="0.3">
      <c r="A580" t="s">
        <v>72</v>
      </c>
      <c r="B580" t="s">
        <v>73</v>
      </c>
      <c r="C580" t="s">
        <v>74</v>
      </c>
      <c r="E580" t="str">
        <f>"080067054459"</f>
        <v>080067054459</v>
      </c>
      <c r="F580" s="3">
        <v>45875</v>
      </c>
      <c r="G580">
        <v>202605</v>
      </c>
      <c r="H580" t="s">
        <v>75</v>
      </c>
      <c r="I580" t="s">
        <v>76</v>
      </c>
      <c r="J580" t="s">
        <v>77</v>
      </c>
      <c r="K580" t="s">
        <v>78</v>
      </c>
      <c r="L580" t="s">
        <v>75</v>
      </c>
      <c r="M580" t="s">
        <v>76</v>
      </c>
      <c r="N580" t="s">
        <v>1126</v>
      </c>
      <c r="O580" t="s">
        <v>82</v>
      </c>
      <c r="P580" t="str">
        <f>"4170053206                    "</f>
        <v xml:space="preserve">4170053206           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18.03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1</v>
      </c>
      <c r="BI580">
        <v>1</v>
      </c>
      <c r="BJ580">
        <v>0.2</v>
      </c>
      <c r="BK580">
        <v>1</v>
      </c>
      <c r="BL580">
        <v>55.99</v>
      </c>
      <c r="BM580">
        <v>8.4</v>
      </c>
      <c r="BN580">
        <v>64.39</v>
      </c>
      <c r="BO580">
        <v>64.39</v>
      </c>
      <c r="BQ580" t="s">
        <v>1127</v>
      </c>
      <c r="BR580" t="s">
        <v>84</v>
      </c>
      <c r="BS580" s="3">
        <v>45876</v>
      </c>
      <c r="BT580" s="4">
        <v>0.42430555555555555</v>
      </c>
      <c r="BU580" t="s">
        <v>1344</v>
      </c>
      <c r="BV580" t="s">
        <v>86</v>
      </c>
      <c r="BY580">
        <v>1200</v>
      </c>
      <c r="BZ580" t="s">
        <v>330</v>
      </c>
      <c r="CA580" t="s">
        <v>1345</v>
      </c>
      <c r="CC580" t="s">
        <v>76</v>
      </c>
      <c r="CD580">
        <v>1619</v>
      </c>
      <c r="CE580" t="s">
        <v>109</v>
      </c>
      <c r="CF580" s="3">
        <v>45876</v>
      </c>
      <c r="CI580">
        <v>1</v>
      </c>
      <c r="CJ580">
        <v>1</v>
      </c>
      <c r="CK580">
        <v>22</v>
      </c>
      <c r="CL580" t="s">
        <v>90</v>
      </c>
    </row>
    <row r="581" spans="1:90" x14ac:dyDescent="0.3">
      <c r="A581" t="s">
        <v>72</v>
      </c>
      <c r="B581" t="s">
        <v>73</v>
      </c>
      <c r="C581" t="s">
        <v>74</v>
      </c>
      <c r="E581" t="str">
        <f>"080067054497"</f>
        <v>080067054497</v>
      </c>
      <c r="F581" s="3">
        <v>45875</v>
      </c>
      <c r="G581">
        <v>202605</v>
      </c>
      <c r="H581" t="s">
        <v>75</v>
      </c>
      <c r="I581" t="s">
        <v>76</v>
      </c>
      <c r="J581" t="s">
        <v>77</v>
      </c>
      <c r="K581" t="s">
        <v>78</v>
      </c>
      <c r="L581" t="s">
        <v>179</v>
      </c>
      <c r="M581" t="s">
        <v>180</v>
      </c>
      <c r="N581" t="s">
        <v>181</v>
      </c>
      <c r="O581" t="s">
        <v>82</v>
      </c>
      <c r="P581" t="str">
        <f>"4170053295                    "</f>
        <v xml:space="preserve">4170053295         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32.47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1</v>
      </c>
      <c r="BJ581">
        <v>0.2</v>
      </c>
      <c r="BK581">
        <v>1</v>
      </c>
      <c r="BL581">
        <v>100.82</v>
      </c>
      <c r="BM581">
        <v>15.12</v>
      </c>
      <c r="BN581">
        <v>115.94</v>
      </c>
      <c r="BO581">
        <v>115.94</v>
      </c>
      <c r="BQ581" t="s">
        <v>182</v>
      </c>
      <c r="BR581" t="s">
        <v>84</v>
      </c>
      <c r="BS581" s="3">
        <v>45876</v>
      </c>
      <c r="BT581" s="4">
        <v>0.41875000000000001</v>
      </c>
      <c r="BU581" t="s">
        <v>183</v>
      </c>
      <c r="BV581" t="s">
        <v>86</v>
      </c>
      <c r="BY581">
        <v>1200</v>
      </c>
      <c r="CA581" t="s">
        <v>184</v>
      </c>
      <c r="CC581" t="s">
        <v>180</v>
      </c>
      <c r="CD581">
        <v>1748</v>
      </c>
      <c r="CE581" t="s">
        <v>178</v>
      </c>
      <c r="CF581" s="3">
        <v>45877</v>
      </c>
      <c r="CI581">
        <v>1</v>
      </c>
      <c r="CJ581">
        <v>1</v>
      </c>
      <c r="CK581">
        <v>24</v>
      </c>
      <c r="CL581" t="s">
        <v>90</v>
      </c>
    </row>
    <row r="582" spans="1:90" x14ac:dyDescent="0.3">
      <c r="A582" t="s">
        <v>72</v>
      </c>
      <c r="B582" t="s">
        <v>73</v>
      </c>
      <c r="C582" t="s">
        <v>74</v>
      </c>
      <c r="E582" t="str">
        <f>"080067054521"</f>
        <v>080067054521</v>
      </c>
      <c r="F582" s="3">
        <v>45875</v>
      </c>
      <c r="G582">
        <v>202605</v>
      </c>
      <c r="H582" t="s">
        <v>75</v>
      </c>
      <c r="I582" t="s">
        <v>76</v>
      </c>
      <c r="J582" t="s">
        <v>77</v>
      </c>
      <c r="K582" t="s">
        <v>78</v>
      </c>
      <c r="L582" t="s">
        <v>555</v>
      </c>
      <c r="M582" t="s">
        <v>556</v>
      </c>
      <c r="N582" t="s">
        <v>844</v>
      </c>
      <c r="O582" t="s">
        <v>82</v>
      </c>
      <c r="P582" t="str">
        <f>"4170053078                    "</f>
        <v xml:space="preserve">4170053078         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44.73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1</v>
      </c>
      <c r="BJ582">
        <v>0.2</v>
      </c>
      <c r="BK582">
        <v>1</v>
      </c>
      <c r="BL582">
        <v>138.88999999999999</v>
      </c>
      <c r="BM582">
        <v>20.83</v>
      </c>
      <c r="BN582">
        <v>159.72</v>
      </c>
      <c r="BO582">
        <v>159.72</v>
      </c>
      <c r="BQ582" t="s">
        <v>845</v>
      </c>
      <c r="BR582" t="s">
        <v>84</v>
      </c>
      <c r="BS582" s="3">
        <v>45877</v>
      </c>
      <c r="BT582" s="4">
        <v>0.48541666666666666</v>
      </c>
      <c r="BU582" t="s">
        <v>1346</v>
      </c>
      <c r="BV582" t="s">
        <v>86</v>
      </c>
      <c r="BY582">
        <v>1200</v>
      </c>
      <c r="CA582" t="s">
        <v>1347</v>
      </c>
      <c r="CC582" t="s">
        <v>556</v>
      </c>
      <c r="CD582">
        <v>6850</v>
      </c>
      <c r="CE582" t="s">
        <v>178</v>
      </c>
      <c r="CF582" s="3">
        <v>45880</v>
      </c>
      <c r="CI582">
        <v>2</v>
      </c>
      <c r="CJ582">
        <v>2</v>
      </c>
      <c r="CK582">
        <v>23</v>
      </c>
      <c r="CL582" t="s">
        <v>90</v>
      </c>
    </row>
    <row r="583" spans="1:90" x14ac:dyDescent="0.3">
      <c r="A583" t="s">
        <v>72</v>
      </c>
      <c r="B583" t="s">
        <v>73</v>
      </c>
      <c r="C583" t="s">
        <v>74</v>
      </c>
      <c r="E583" t="str">
        <f>"080067054717"</f>
        <v>080067054717</v>
      </c>
      <c r="F583" s="3">
        <v>45875</v>
      </c>
      <c r="G583">
        <v>202605</v>
      </c>
      <c r="H583" t="s">
        <v>75</v>
      </c>
      <c r="I583" t="s">
        <v>76</v>
      </c>
      <c r="J583" t="s">
        <v>77</v>
      </c>
      <c r="K583" t="s">
        <v>78</v>
      </c>
      <c r="L583" t="s">
        <v>278</v>
      </c>
      <c r="M583" t="s">
        <v>279</v>
      </c>
      <c r="N583" t="s">
        <v>928</v>
      </c>
      <c r="O583" t="s">
        <v>95</v>
      </c>
      <c r="P583" t="str">
        <f>"4170052901                    "</f>
        <v xml:space="preserve">4170052901          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44.64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11</v>
      </c>
      <c r="BJ583">
        <v>4.8</v>
      </c>
      <c r="BK583">
        <v>11</v>
      </c>
      <c r="BL583">
        <v>144.49</v>
      </c>
      <c r="BM583">
        <v>21.67</v>
      </c>
      <c r="BN583">
        <v>166.16</v>
      </c>
      <c r="BO583">
        <v>166.16</v>
      </c>
      <c r="BQ583" t="s">
        <v>929</v>
      </c>
      <c r="BR583" t="s">
        <v>84</v>
      </c>
      <c r="BS583" s="3">
        <v>45876</v>
      </c>
      <c r="BT583" s="4">
        <v>0.36180555555555555</v>
      </c>
      <c r="BU583" t="s">
        <v>1230</v>
      </c>
      <c r="BV583" t="s">
        <v>86</v>
      </c>
      <c r="BY583">
        <v>23751</v>
      </c>
      <c r="BZ583" t="s">
        <v>100</v>
      </c>
      <c r="CA583" t="s">
        <v>511</v>
      </c>
      <c r="CC583" t="s">
        <v>279</v>
      </c>
      <c r="CD583" s="5" t="s">
        <v>512</v>
      </c>
      <c r="CE583" t="s">
        <v>89</v>
      </c>
      <c r="CF583" s="3">
        <v>45876</v>
      </c>
      <c r="CI583">
        <v>1</v>
      </c>
      <c r="CJ583">
        <v>1</v>
      </c>
      <c r="CK583">
        <v>41</v>
      </c>
      <c r="CL583" t="s">
        <v>90</v>
      </c>
    </row>
    <row r="584" spans="1:90" x14ac:dyDescent="0.3">
      <c r="A584" t="s">
        <v>72</v>
      </c>
      <c r="B584" t="s">
        <v>73</v>
      </c>
      <c r="C584" t="s">
        <v>74</v>
      </c>
      <c r="E584" t="str">
        <f>"080067054731"</f>
        <v>080067054731</v>
      </c>
      <c r="F584" s="3">
        <v>45875</v>
      </c>
      <c r="G584">
        <v>202605</v>
      </c>
      <c r="H584" t="s">
        <v>75</v>
      </c>
      <c r="I584" t="s">
        <v>76</v>
      </c>
      <c r="J584" t="s">
        <v>77</v>
      </c>
      <c r="K584" t="s">
        <v>78</v>
      </c>
      <c r="L584" t="s">
        <v>217</v>
      </c>
      <c r="M584" t="s">
        <v>218</v>
      </c>
      <c r="N584" t="s">
        <v>219</v>
      </c>
      <c r="O584" t="s">
        <v>82</v>
      </c>
      <c r="P584" t="str">
        <f>"4170053086                    "</f>
        <v xml:space="preserve">4170053086           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23.09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1</v>
      </c>
      <c r="BJ584">
        <v>0.2</v>
      </c>
      <c r="BK584">
        <v>1</v>
      </c>
      <c r="BL584">
        <v>71.69</v>
      </c>
      <c r="BM584">
        <v>10.75</v>
      </c>
      <c r="BN584">
        <v>82.44</v>
      </c>
      <c r="BO584">
        <v>82.44</v>
      </c>
      <c r="BQ584" t="s">
        <v>220</v>
      </c>
      <c r="BR584" t="s">
        <v>84</v>
      </c>
      <c r="BS584" s="3">
        <v>45876</v>
      </c>
      <c r="BT584" s="4">
        <v>0.33819444444444446</v>
      </c>
      <c r="BU584" t="s">
        <v>565</v>
      </c>
      <c r="BV584" t="s">
        <v>86</v>
      </c>
      <c r="BY584">
        <v>1200</v>
      </c>
      <c r="BZ584" t="s">
        <v>330</v>
      </c>
      <c r="CA584" t="s">
        <v>566</v>
      </c>
      <c r="CC584" t="s">
        <v>218</v>
      </c>
      <c r="CD584">
        <v>4000</v>
      </c>
      <c r="CE584" t="s">
        <v>597</v>
      </c>
      <c r="CF584" s="3">
        <v>45876</v>
      </c>
      <c r="CI584">
        <v>1</v>
      </c>
      <c r="CJ584">
        <v>1</v>
      </c>
      <c r="CK584">
        <v>21</v>
      </c>
      <c r="CL584" t="s">
        <v>90</v>
      </c>
    </row>
    <row r="585" spans="1:90" x14ac:dyDescent="0.3">
      <c r="A585" t="s">
        <v>72</v>
      </c>
      <c r="B585" t="s">
        <v>73</v>
      </c>
      <c r="C585" t="s">
        <v>74</v>
      </c>
      <c r="E585" t="str">
        <f>"080067054755"</f>
        <v>080067054755</v>
      </c>
      <c r="F585" s="3">
        <v>45875</v>
      </c>
      <c r="G585">
        <v>202605</v>
      </c>
      <c r="H585" t="s">
        <v>75</v>
      </c>
      <c r="I585" t="s">
        <v>76</v>
      </c>
      <c r="J585" t="s">
        <v>77</v>
      </c>
      <c r="K585" t="s">
        <v>78</v>
      </c>
      <c r="L585" t="s">
        <v>1135</v>
      </c>
      <c r="M585" t="s">
        <v>1136</v>
      </c>
      <c r="N585" t="s">
        <v>1137</v>
      </c>
      <c r="O585" t="s">
        <v>82</v>
      </c>
      <c r="P585" t="str">
        <f>"4170053117                    "</f>
        <v xml:space="preserve">4170053117           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44.73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1</v>
      </c>
      <c r="BJ585">
        <v>0.2</v>
      </c>
      <c r="BK585">
        <v>1</v>
      </c>
      <c r="BL585">
        <v>138.88999999999999</v>
      </c>
      <c r="BM585">
        <v>20.83</v>
      </c>
      <c r="BN585">
        <v>159.72</v>
      </c>
      <c r="BO585">
        <v>159.72</v>
      </c>
      <c r="BQ585" t="s">
        <v>1138</v>
      </c>
      <c r="BR585" t="s">
        <v>84</v>
      </c>
      <c r="BS585" s="3">
        <v>45877</v>
      </c>
      <c r="BT585" s="4">
        <v>0.41666666666666669</v>
      </c>
      <c r="BU585" t="s">
        <v>1139</v>
      </c>
      <c r="BV585" t="s">
        <v>86</v>
      </c>
      <c r="BY585">
        <v>1200</v>
      </c>
      <c r="BZ585" t="s">
        <v>35</v>
      </c>
      <c r="CC585" t="s">
        <v>1136</v>
      </c>
      <c r="CD585">
        <v>3760</v>
      </c>
      <c r="CE585" t="s">
        <v>109</v>
      </c>
      <c r="CF585" s="3">
        <v>45880</v>
      </c>
      <c r="CI585">
        <v>5</v>
      </c>
      <c r="CJ585">
        <v>2</v>
      </c>
      <c r="CK585">
        <v>23</v>
      </c>
      <c r="CL585" t="s">
        <v>90</v>
      </c>
    </row>
    <row r="586" spans="1:90" x14ac:dyDescent="0.3">
      <c r="A586" t="s">
        <v>72</v>
      </c>
      <c r="B586" t="s">
        <v>73</v>
      </c>
      <c r="C586" t="s">
        <v>74</v>
      </c>
      <c r="E586" t="str">
        <f>"080067054763"</f>
        <v>080067054763</v>
      </c>
      <c r="F586" s="3">
        <v>45875</v>
      </c>
      <c r="G586">
        <v>202605</v>
      </c>
      <c r="H586" t="s">
        <v>75</v>
      </c>
      <c r="I586" t="s">
        <v>76</v>
      </c>
      <c r="J586" t="s">
        <v>77</v>
      </c>
      <c r="K586" t="s">
        <v>78</v>
      </c>
      <c r="L586" t="s">
        <v>303</v>
      </c>
      <c r="M586" t="s">
        <v>304</v>
      </c>
      <c r="N586" t="s">
        <v>305</v>
      </c>
      <c r="O586" t="s">
        <v>82</v>
      </c>
      <c r="P586" t="str">
        <f>"4170053019                    "</f>
        <v xml:space="preserve">4170053019         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44.73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1</v>
      </c>
      <c r="BJ586">
        <v>1.7</v>
      </c>
      <c r="BK586">
        <v>2</v>
      </c>
      <c r="BL586">
        <v>138.88999999999999</v>
      </c>
      <c r="BM586">
        <v>20.83</v>
      </c>
      <c r="BN586">
        <v>159.72</v>
      </c>
      <c r="BO586">
        <v>159.72</v>
      </c>
      <c r="BQ586" t="s">
        <v>306</v>
      </c>
      <c r="BR586" t="s">
        <v>84</v>
      </c>
      <c r="BS586" s="3">
        <v>45877</v>
      </c>
      <c r="BT586" s="4">
        <v>0.40625</v>
      </c>
      <c r="BU586" t="s">
        <v>1348</v>
      </c>
      <c r="BV586" t="s">
        <v>90</v>
      </c>
      <c r="BW586" t="s">
        <v>773</v>
      </c>
      <c r="BX586" t="s">
        <v>843</v>
      </c>
      <c r="BY586">
        <v>8512</v>
      </c>
      <c r="CA586" t="s">
        <v>1349</v>
      </c>
      <c r="CC586" t="s">
        <v>304</v>
      </c>
      <c r="CD586">
        <v>7130</v>
      </c>
      <c r="CE586" t="s">
        <v>147</v>
      </c>
      <c r="CF586" s="3">
        <v>45880</v>
      </c>
      <c r="CI586">
        <v>1</v>
      </c>
      <c r="CJ586">
        <v>2</v>
      </c>
      <c r="CK586">
        <v>23</v>
      </c>
      <c r="CL586" t="s">
        <v>90</v>
      </c>
    </row>
    <row r="587" spans="1:90" x14ac:dyDescent="0.3">
      <c r="A587" t="s">
        <v>72</v>
      </c>
      <c r="B587" t="s">
        <v>73</v>
      </c>
      <c r="C587" t="s">
        <v>74</v>
      </c>
      <c r="E587" t="str">
        <f>"080067054777"</f>
        <v>080067054777</v>
      </c>
      <c r="F587" s="3">
        <v>45875</v>
      </c>
      <c r="G587">
        <v>202605</v>
      </c>
      <c r="H587" t="s">
        <v>75</v>
      </c>
      <c r="I587" t="s">
        <v>76</v>
      </c>
      <c r="J587" t="s">
        <v>77</v>
      </c>
      <c r="K587" t="s">
        <v>78</v>
      </c>
      <c r="L587" t="s">
        <v>325</v>
      </c>
      <c r="M587" t="s">
        <v>326</v>
      </c>
      <c r="N587" t="s">
        <v>1209</v>
      </c>
      <c r="O587" t="s">
        <v>82</v>
      </c>
      <c r="P587" t="str">
        <f>"4170053045                    "</f>
        <v xml:space="preserve">4170053045           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18.03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1</v>
      </c>
      <c r="BI587">
        <v>1</v>
      </c>
      <c r="BJ587">
        <v>0.2</v>
      </c>
      <c r="BK587">
        <v>1</v>
      </c>
      <c r="BL587">
        <v>55.99</v>
      </c>
      <c r="BM587">
        <v>8.4</v>
      </c>
      <c r="BN587">
        <v>64.39</v>
      </c>
      <c r="BO587">
        <v>64.39</v>
      </c>
      <c r="BQ587" t="s">
        <v>1210</v>
      </c>
      <c r="BR587" t="s">
        <v>84</v>
      </c>
      <c r="BS587" s="3">
        <v>45876</v>
      </c>
      <c r="BT587" s="4">
        <v>0.38680555555555557</v>
      </c>
      <c r="BU587" t="s">
        <v>1350</v>
      </c>
      <c r="BV587" t="s">
        <v>86</v>
      </c>
      <c r="BY587">
        <v>1200</v>
      </c>
      <c r="CA587" t="s">
        <v>1351</v>
      </c>
      <c r="CC587" t="s">
        <v>326</v>
      </c>
      <c r="CD587">
        <v>2190</v>
      </c>
      <c r="CE587" t="s">
        <v>109</v>
      </c>
      <c r="CF587" s="3">
        <v>45877</v>
      </c>
      <c r="CI587">
        <v>1</v>
      </c>
      <c r="CJ587">
        <v>1</v>
      </c>
      <c r="CK587">
        <v>22</v>
      </c>
      <c r="CL587" t="s">
        <v>90</v>
      </c>
    </row>
    <row r="588" spans="1:90" x14ac:dyDescent="0.3">
      <c r="A588" t="s">
        <v>72</v>
      </c>
      <c r="B588" t="s">
        <v>73</v>
      </c>
      <c r="C588" t="s">
        <v>74</v>
      </c>
      <c r="E588" t="str">
        <f>"080067054803"</f>
        <v>080067054803</v>
      </c>
      <c r="F588" s="3">
        <v>45875</v>
      </c>
      <c r="G588">
        <v>202605</v>
      </c>
      <c r="H588" t="s">
        <v>75</v>
      </c>
      <c r="I588" t="s">
        <v>76</v>
      </c>
      <c r="J588" t="s">
        <v>77</v>
      </c>
      <c r="K588" t="s">
        <v>78</v>
      </c>
      <c r="L588" t="s">
        <v>75</v>
      </c>
      <c r="M588" t="s">
        <v>76</v>
      </c>
      <c r="N588" t="s">
        <v>152</v>
      </c>
      <c r="O588" t="s">
        <v>82</v>
      </c>
      <c r="P588" t="str">
        <f>"4170053084                    "</f>
        <v xml:space="preserve">4170053084           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18.03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1</v>
      </c>
      <c r="BI588">
        <v>1</v>
      </c>
      <c r="BJ588">
        <v>0.2</v>
      </c>
      <c r="BK588">
        <v>1</v>
      </c>
      <c r="BL588">
        <v>55.99</v>
      </c>
      <c r="BM588">
        <v>8.4</v>
      </c>
      <c r="BN588">
        <v>64.39</v>
      </c>
      <c r="BO588">
        <v>64.39</v>
      </c>
      <c r="BQ588" t="s">
        <v>153</v>
      </c>
      <c r="BR588" t="s">
        <v>84</v>
      </c>
      <c r="BS588" s="3">
        <v>45876</v>
      </c>
      <c r="BT588" s="4">
        <v>0.31805555555555554</v>
      </c>
      <c r="BU588" t="s">
        <v>995</v>
      </c>
      <c r="BV588" t="s">
        <v>86</v>
      </c>
      <c r="BY588">
        <v>1200</v>
      </c>
      <c r="CA588" t="s">
        <v>155</v>
      </c>
      <c r="CC588" t="s">
        <v>76</v>
      </c>
      <c r="CD588">
        <v>1600</v>
      </c>
      <c r="CE588" t="s">
        <v>109</v>
      </c>
      <c r="CF588" s="3">
        <v>45876</v>
      </c>
      <c r="CI588">
        <v>1</v>
      </c>
      <c r="CJ588">
        <v>1</v>
      </c>
      <c r="CK588">
        <v>22</v>
      </c>
      <c r="CL588" t="s">
        <v>90</v>
      </c>
    </row>
    <row r="589" spans="1:90" x14ac:dyDescent="0.3">
      <c r="A589" t="s">
        <v>72</v>
      </c>
      <c r="B589" t="s">
        <v>73</v>
      </c>
      <c r="C589" t="s">
        <v>74</v>
      </c>
      <c r="E589" t="str">
        <f>"080067054846"</f>
        <v>080067054846</v>
      </c>
      <c r="F589" s="3">
        <v>45875</v>
      </c>
      <c r="G589">
        <v>202605</v>
      </c>
      <c r="H589" t="s">
        <v>75</v>
      </c>
      <c r="I589" t="s">
        <v>76</v>
      </c>
      <c r="J589" t="s">
        <v>77</v>
      </c>
      <c r="K589" t="s">
        <v>78</v>
      </c>
      <c r="L589" t="s">
        <v>319</v>
      </c>
      <c r="M589" t="s">
        <v>320</v>
      </c>
      <c r="N589" t="s">
        <v>321</v>
      </c>
      <c r="O589" t="s">
        <v>82</v>
      </c>
      <c r="P589" t="str">
        <f>"4170053105                    "</f>
        <v xml:space="preserve">4170053105         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64.92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3</v>
      </c>
      <c r="BJ589">
        <v>0.6</v>
      </c>
      <c r="BK589">
        <v>3</v>
      </c>
      <c r="BL589">
        <v>201.6</v>
      </c>
      <c r="BM589">
        <v>30.24</v>
      </c>
      <c r="BN589">
        <v>231.84</v>
      </c>
      <c r="BO589">
        <v>231.84</v>
      </c>
      <c r="BQ589" t="s">
        <v>322</v>
      </c>
      <c r="BR589" t="s">
        <v>84</v>
      </c>
      <c r="BS589" s="3">
        <v>45876</v>
      </c>
      <c r="BT589" s="4">
        <v>0.43611111111111112</v>
      </c>
      <c r="BU589" t="s">
        <v>1044</v>
      </c>
      <c r="BV589" t="s">
        <v>86</v>
      </c>
      <c r="BY589">
        <v>3192</v>
      </c>
      <c r="CA589" t="s">
        <v>324</v>
      </c>
      <c r="CC589" t="s">
        <v>320</v>
      </c>
      <c r="CD589">
        <v>2531</v>
      </c>
      <c r="CE589" t="s">
        <v>147</v>
      </c>
      <c r="CF589" s="3">
        <v>45877</v>
      </c>
      <c r="CI589">
        <v>1</v>
      </c>
      <c r="CJ589">
        <v>1</v>
      </c>
      <c r="CK589">
        <v>23</v>
      </c>
      <c r="CL589" t="s">
        <v>90</v>
      </c>
    </row>
    <row r="590" spans="1:90" x14ac:dyDescent="0.3">
      <c r="A590" t="s">
        <v>72</v>
      </c>
      <c r="B590" t="s">
        <v>73</v>
      </c>
      <c r="C590" t="s">
        <v>74</v>
      </c>
      <c r="E590" t="str">
        <f>"080067054845"</f>
        <v>080067054845</v>
      </c>
      <c r="F590" s="3">
        <v>45875</v>
      </c>
      <c r="G590">
        <v>202605</v>
      </c>
      <c r="H590" t="s">
        <v>75</v>
      </c>
      <c r="I590" t="s">
        <v>76</v>
      </c>
      <c r="J590" t="s">
        <v>77</v>
      </c>
      <c r="K590" t="s">
        <v>78</v>
      </c>
      <c r="L590" t="s">
        <v>241</v>
      </c>
      <c r="M590" t="s">
        <v>242</v>
      </c>
      <c r="N590" t="s">
        <v>494</v>
      </c>
      <c r="O590" t="s">
        <v>82</v>
      </c>
      <c r="P590" t="str">
        <f>"4170053104                    "</f>
        <v xml:space="preserve">4170053104         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18.03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1</v>
      </c>
      <c r="BJ590">
        <v>0.2</v>
      </c>
      <c r="BK590">
        <v>1</v>
      </c>
      <c r="BL590">
        <v>55.99</v>
      </c>
      <c r="BM590">
        <v>8.4</v>
      </c>
      <c r="BN590">
        <v>64.39</v>
      </c>
      <c r="BO590">
        <v>64.39</v>
      </c>
      <c r="BQ590" t="s">
        <v>495</v>
      </c>
      <c r="BR590" t="s">
        <v>84</v>
      </c>
      <c r="BS590" s="3">
        <v>45876</v>
      </c>
      <c r="BT590" s="4">
        <v>0.3347222222222222</v>
      </c>
      <c r="BU590" t="s">
        <v>1352</v>
      </c>
      <c r="BV590" t="s">
        <v>86</v>
      </c>
      <c r="BY590">
        <v>1200</v>
      </c>
      <c r="BZ590" t="s">
        <v>330</v>
      </c>
      <c r="CA590" t="s">
        <v>576</v>
      </c>
      <c r="CC590" t="s">
        <v>242</v>
      </c>
      <c r="CD590">
        <v>1459</v>
      </c>
      <c r="CE590" t="s">
        <v>597</v>
      </c>
      <c r="CF590" s="3">
        <v>45877</v>
      </c>
      <c r="CI590">
        <v>1</v>
      </c>
      <c r="CJ590">
        <v>1</v>
      </c>
      <c r="CK590">
        <v>22</v>
      </c>
      <c r="CL590" t="s">
        <v>90</v>
      </c>
    </row>
    <row r="591" spans="1:90" x14ac:dyDescent="0.3">
      <c r="A591" t="s">
        <v>72</v>
      </c>
      <c r="B591" t="s">
        <v>73</v>
      </c>
      <c r="C591" t="s">
        <v>74</v>
      </c>
      <c r="E591" t="str">
        <f>"080067054884"</f>
        <v>080067054884</v>
      </c>
      <c r="F591" s="3">
        <v>45875</v>
      </c>
      <c r="G591">
        <v>202605</v>
      </c>
      <c r="H591" t="s">
        <v>75</v>
      </c>
      <c r="I591" t="s">
        <v>76</v>
      </c>
      <c r="J591" t="s">
        <v>77</v>
      </c>
      <c r="K591" t="s">
        <v>78</v>
      </c>
      <c r="L591" t="s">
        <v>137</v>
      </c>
      <c r="M591" t="s">
        <v>138</v>
      </c>
      <c r="N591" t="s">
        <v>139</v>
      </c>
      <c r="O591" t="s">
        <v>82</v>
      </c>
      <c r="P591" t="str">
        <f>"4170053077                    "</f>
        <v xml:space="preserve">4170053077         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23.09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1</v>
      </c>
      <c r="BJ591">
        <v>0.2</v>
      </c>
      <c r="BK591">
        <v>1</v>
      </c>
      <c r="BL591">
        <v>71.69</v>
      </c>
      <c r="BM591">
        <v>10.75</v>
      </c>
      <c r="BN591">
        <v>82.44</v>
      </c>
      <c r="BO591">
        <v>82.44</v>
      </c>
      <c r="BQ591" t="s">
        <v>140</v>
      </c>
      <c r="BR591" t="s">
        <v>84</v>
      </c>
      <c r="BS591" s="3">
        <v>45876</v>
      </c>
      <c r="BT591" s="4">
        <v>0.3923611111111111</v>
      </c>
      <c r="BU591" t="s">
        <v>1186</v>
      </c>
      <c r="BV591" t="s">
        <v>86</v>
      </c>
      <c r="BY591">
        <v>1200</v>
      </c>
      <c r="BZ591" t="s">
        <v>330</v>
      </c>
      <c r="CA591" t="s">
        <v>953</v>
      </c>
      <c r="CC591" t="s">
        <v>138</v>
      </c>
      <c r="CD591">
        <v>3620</v>
      </c>
      <c r="CE591" t="s">
        <v>597</v>
      </c>
      <c r="CF591" s="3">
        <v>45876</v>
      </c>
      <c r="CI591">
        <v>1</v>
      </c>
      <c r="CJ591">
        <v>1</v>
      </c>
      <c r="CK591">
        <v>21</v>
      </c>
      <c r="CL591" t="s">
        <v>90</v>
      </c>
    </row>
    <row r="592" spans="1:90" x14ac:dyDescent="0.3">
      <c r="A592" t="s">
        <v>72</v>
      </c>
      <c r="B592" t="s">
        <v>73</v>
      </c>
      <c r="C592" t="s">
        <v>74</v>
      </c>
      <c r="E592" t="str">
        <f>"080067054890"</f>
        <v>080067054890</v>
      </c>
      <c r="F592" s="3">
        <v>45875</v>
      </c>
      <c r="G592">
        <v>202605</v>
      </c>
      <c r="H592" t="s">
        <v>75</v>
      </c>
      <c r="I592" t="s">
        <v>76</v>
      </c>
      <c r="J592" t="s">
        <v>77</v>
      </c>
      <c r="K592" t="s">
        <v>78</v>
      </c>
      <c r="L592" t="s">
        <v>319</v>
      </c>
      <c r="M592" t="s">
        <v>320</v>
      </c>
      <c r="N592" t="s">
        <v>321</v>
      </c>
      <c r="O592" t="s">
        <v>82</v>
      </c>
      <c r="P592" t="str">
        <f>"4170053101                    "</f>
        <v xml:space="preserve">4170053101         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64.92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3</v>
      </c>
      <c r="BJ592">
        <v>0.6</v>
      </c>
      <c r="BK592">
        <v>3</v>
      </c>
      <c r="BL592">
        <v>201.6</v>
      </c>
      <c r="BM592">
        <v>30.24</v>
      </c>
      <c r="BN592">
        <v>231.84</v>
      </c>
      <c r="BO592">
        <v>231.84</v>
      </c>
      <c r="BQ592" t="s">
        <v>322</v>
      </c>
      <c r="BR592" t="s">
        <v>84</v>
      </c>
      <c r="BS592" s="3">
        <v>45876</v>
      </c>
      <c r="BT592" s="4">
        <v>0.43680555555555556</v>
      </c>
      <c r="BU592" t="s">
        <v>1295</v>
      </c>
      <c r="BV592" t="s">
        <v>86</v>
      </c>
      <c r="BY592">
        <v>3192</v>
      </c>
      <c r="CA592" t="s">
        <v>324</v>
      </c>
      <c r="CC592" t="s">
        <v>320</v>
      </c>
      <c r="CD592">
        <v>2531</v>
      </c>
      <c r="CE592" t="s">
        <v>147</v>
      </c>
      <c r="CF592" s="3">
        <v>45877</v>
      </c>
      <c r="CI592">
        <v>1</v>
      </c>
      <c r="CJ592">
        <v>1</v>
      </c>
      <c r="CK592">
        <v>23</v>
      </c>
      <c r="CL592" t="s">
        <v>90</v>
      </c>
    </row>
    <row r="593" spans="1:90" x14ac:dyDescent="0.3">
      <c r="A593" t="s">
        <v>72</v>
      </c>
      <c r="B593" t="s">
        <v>73</v>
      </c>
      <c r="C593" t="s">
        <v>74</v>
      </c>
      <c r="E593" t="str">
        <f>"080067054925"</f>
        <v>080067054925</v>
      </c>
      <c r="F593" s="3">
        <v>45875</v>
      </c>
      <c r="G593">
        <v>202605</v>
      </c>
      <c r="H593" t="s">
        <v>75</v>
      </c>
      <c r="I593" t="s">
        <v>76</v>
      </c>
      <c r="J593" t="s">
        <v>77</v>
      </c>
      <c r="K593" t="s">
        <v>78</v>
      </c>
      <c r="L593" t="s">
        <v>123</v>
      </c>
      <c r="M593" t="s">
        <v>124</v>
      </c>
      <c r="N593" t="s">
        <v>1173</v>
      </c>
      <c r="O593" t="s">
        <v>82</v>
      </c>
      <c r="P593" t="str">
        <f>"4170053063                    "</f>
        <v xml:space="preserve">4170053063       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23.09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1</v>
      </c>
      <c r="BJ593">
        <v>0.2</v>
      </c>
      <c r="BK593">
        <v>1</v>
      </c>
      <c r="BL593">
        <v>71.69</v>
      </c>
      <c r="BM593">
        <v>10.75</v>
      </c>
      <c r="BN593">
        <v>82.44</v>
      </c>
      <c r="BO593">
        <v>82.44</v>
      </c>
      <c r="BQ593" t="s">
        <v>1174</v>
      </c>
      <c r="BR593" t="s">
        <v>84</v>
      </c>
      <c r="BS593" s="3">
        <v>45877</v>
      </c>
      <c r="BT593" s="4">
        <v>0.42152777777777778</v>
      </c>
      <c r="BU593" t="s">
        <v>1175</v>
      </c>
      <c r="BV593" t="s">
        <v>90</v>
      </c>
      <c r="BW593" t="s">
        <v>773</v>
      </c>
      <c r="BX593" t="s">
        <v>381</v>
      </c>
      <c r="BY593">
        <v>1200</v>
      </c>
      <c r="CA593" t="s">
        <v>192</v>
      </c>
      <c r="CC593" t="s">
        <v>124</v>
      </c>
      <c r="CD593">
        <v>7405</v>
      </c>
      <c r="CE593" t="s">
        <v>109</v>
      </c>
      <c r="CF593" s="3">
        <v>45880</v>
      </c>
      <c r="CI593">
        <v>1</v>
      </c>
      <c r="CJ593">
        <v>2</v>
      </c>
      <c r="CK593">
        <v>21</v>
      </c>
      <c r="CL593" t="s">
        <v>90</v>
      </c>
    </row>
    <row r="594" spans="1:90" x14ac:dyDescent="0.3">
      <c r="A594" t="s">
        <v>72</v>
      </c>
      <c r="B594" t="s">
        <v>73</v>
      </c>
      <c r="C594" t="s">
        <v>74</v>
      </c>
      <c r="E594" t="str">
        <f>"080067054979"</f>
        <v>080067054979</v>
      </c>
      <c r="F594" s="3">
        <v>45875</v>
      </c>
      <c r="G594">
        <v>202605</v>
      </c>
      <c r="H594" t="s">
        <v>75</v>
      </c>
      <c r="I594" t="s">
        <v>76</v>
      </c>
      <c r="J594" t="s">
        <v>77</v>
      </c>
      <c r="K594" t="s">
        <v>78</v>
      </c>
      <c r="L594" t="s">
        <v>217</v>
      </c>
      <c r="M594" t="s">
        <v>218</v>
      </c>
      <c r="N594" t="s">
        <v>219</v>
      </c>
      <c r="O594" t="s">
        <v>82</v>
      </c>
      <c r="P594" t="str">
        <f>"4170053123                    "</f>
        <v xml:space="preserve">4170053123           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23.09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1</v>
      </c>
      <c r="BJ594">
        <v>0.2</v>
      </c>
      <c r="BK594">
        <v>1</v>
      </c>
      <c r="BL594">
        <v>71.69</v>
      </c>
      <c r="BM594">
        <v>10.75</v>
      </c>
      <c r="BN594">
        <v>82.44</v>
      </c>
      <c r="BO594">
        <v>82.44</v>
      </c>
      <c r="BQ594" t="s">
        <v>220</v>
      </c>
      <c r="BR594" t="s">
        <v>84</v>
      </c>
      <c r="BS594" s="3">
        <v>45876</v>
      </c>
      <c r="BT594" s="4">
        <v>0.33819444444444446</v>
      </c>
      <c r="BU594" t="s">
        <v>565</v>
      </c>
      <c r="BV594" t="s">
        <v>86</v>
      </c>
      <c r="BY594">
        <v>1200</v>
      </c>
      <c r="BZ594" t="s">
        <v>330</v>
      </c>
      <c r="CA594" t="s">
        <v>566</v>
      </c>
      <c r="CC594" t="s">
        <v>218</v>
      </c>
      <c r="CD594">
        <v>4000</v>
      </c>
      <c r="CE594" t="s">
        <v>597</v>
      </c>
      <c r="CF594" s="3">
        <v>45876</v>
      </c>
      <c r="CI594">
        <v>1</v>
      </c>
      <c r="CJ594">
        <v>1</v>
      </c>
      <c r="CK594">
        <v>21</v>
      </c>
      <c r="CL594" t="s">
        <v>90</v>
      </c>
    </row>
    <row r="595" spans="1:90" x14ac:dyDescent="0.3">
      <c r="A595" t="s">
        <v>72</v>
      </c>
      <c r="B595" t="s">
        <v>73</v>
      </c>
      <c r="C595" t="s">
        <v>74</v>
      </c>
      <c r="E595" t="str">
        <f>"080067055213"</f>
        <v>080067055213</v>
      </c>
      <c r="F595" s="3">
        <v>45875</v>
      </c>
      <c r="G595">
        <v>202605</v>
      </c>
      <c r="H595" t="s">
        <v>75</v>
      </c>
      <c r="I595" t="s">
        <v>76</v>
      </c>
      <c r="J595" t="s">
        <v>77</v>
      </c>
      <c r="K595" t="s">
        <v>78</v>
      </c>
      <c r="L595" t="s">
        <v>75</v>
      </c>
      <c r="M595" t="s">
        <v>76</v>
      </c>
      <c r="N595" t="s">
        <v>537</v>
      </c>
      <c r="O595" t="s">
        <v>82</v>
      </c>
      <c r="P595" t="str">
        <f>"4170053037                    "</f>
        <v xml:space="preserve">4170053037           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18.03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1</v>
      </c>
      <c r="BJ595">
        <v>0.2</v>
      </c>
      <c r="BK595">
        <v>1</v>
      </c>
      <c r="BL595">
        <v>55.99</v>
      </c>
      <c r="BM595">
        <v>8.4</v>
      </c>
      <c r="BN595">
        <v>64.39</v>
      </c>
      <c r="BO595">
        <v>64.39</v>
      </c>
      <c r="BQ595" t="s">
        <v>538</v>
      </c>
      <c r="BR595" t="s">
        <v>84</v>
      </c>
      <c r="BS595" s="3">
        <v>45876</v>
      </c>
      <c r="BT595" s="4">
        <v>0.39861111111111114</v>
      </c>
      <c r="BU595" t="s">
        <v>738</v>
      </c>
      <c r="BV595" t="s">
        <v>86</v>
      </c>
      <c r="BY595">
        <v>1200</v>
      </c>
      <c r="CA595" t="s">
        <v>739</v>
      </c>
      <c r="CC595" t="s">
        <v>76</v>
      </c>
      <c r="CD595">
        <v>1619</v>
      </c>
      <c r="CE595" t="s">
        <v>109</v>
      </c>
      <c r="CF595" s="3">
        <v>45876</v>
      </c>
      <c r="CI595">
        <v>1</v>
      </c>
      <c r="CJ595">
        <v>1</v>
      </c>
      <c r="CK595">
        <v>22</v>
      </c>
      <c r="CL595" t="s">
        <v>90</v>
      </c>
    </row>
    <row r="596" spans="1:90" x14ac:dyDescent="0.3">
      <c r="A596" t="s">
        <v>72</v>
      </c>
      <c r="B596" t="s">
        <v>73</v>
      </c>
      <c r="C596" t="s">
        <v>74</v>
      </c>
      <c r="E596" t="str">
        <f>"080067055219"</f>
        <v>080067055219</v>
      </c>
      <c r="F596" s="3">
        <v>45875</v>
      </c>
      <c r="G596">
        <v>202605</v>
      </c>
      <c r="H596" t="s">
        <v>75</v>
      </c>
      <c r="I596" t="s">
        <v>76</v>
      </c>
      <c r="J596" t="s">
        <v>77</v>
      </c>
      <c r="K596" t="s">
        <v>78</v>
      </c>
      <c r="L596" t="s">
        <v>207</v>
      </c>
      <c r="M596" t="s">
        <v>208</v>
      </c>
      <c r="N596" t="s">
        <v>209</v>
      </c>
      <c r="O596" t="s">
        <v>82</v>
      </c>
      <c r="P596" t="str">
        <f>"4170053027                    "</f>
        <v xml:space="preserve">4170053027           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64.92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3</v>
      </c>
      <c r="BJ596">
        <v>1.7</v>
      </c>
      <c r="BK596">
        <v>3</v>
      </c>
      <c r="BL596">
        <v>201.6</v>
      </c>
      <c r="BM596">
        <v>30.24</v>
      </c>
      <c r="BN596">
        <v>231.84</v>
      </c>
      <c r="BO596">
        <v>231.84</v>
      </c>
      <c r="BQ596" t="s">
        <v>210</v>
      </c>
      <c r="BR596" t="s">
        <v>84</v>
      </c>
      <c r="BS596" s="3">
        <v>45877</v>
      </c>
      <c r="BT596" s="4">
        <v>0.48194444444444445</v>
      </c>
      <c r="BU596" t="s">
        <v>211</v>
      </c>
      <c r="BV596" t="s">
        <v>90</v>
      </c>
      <c r="BW596" t="s">
        <v>773</v>
      </c>
      <c r="BX596" t="s">
        <v>843</v>
      </c>
      <c r="BY596">
        <v>8512</v>
      </c>
      <c r="CA596" t="s">
        <v>212</v>
      </c>
      <c r="CC596" t="s">
        <v>208</v>
      </c>
      <c r="CD596">
        <v>7300</v>
      </c>
      <c r="CE596" t="s">
        <v>147</v>
      </c>
      <c r="CF596" s="3">
        <v>45880</v>
      </c>
      <c r="CI596">
        <v>1</v>
      </c>
      <c r="CJ596">
        <v>2</v>
      </c>
      <c r="CK596">
        <v>23</v>
      </c>
      <c r="CL596" t="s">
        <v>90</v>
      </c>
    </row>
    <row r="597" spans="1:90" x14ac:dyDescent="0.3">
      <c r="A597" t="s">
        <v>72</v>
      </c>
      <c r="B597" t="s">
        <v>73</v>
      </c>
      <c r="C597" t="s">
        <v>74</v>
      </c>
      <c r="E597" t="str">
        <f>"080067055246"</f>
        <v>080067055246</v>
      </c>
      <c r="F597" s="3">
        <v>45875</v>
      </c>
      <c r="G597">
        <v>202605</v>
      </c>
      <c r="H597" t="s">
        <v>75</v>
      </c>
      <c r="I597" t="s">
        <v>76</v>
      </c>
      <c r="J597" t="s">
        <v>77</v>
      </c>
      <c r="K597" t="s">
        <v>78</v>
      </c>
      <c r="L597" t="s">
        <v>319</v>
      </c>
      <c r="M597" t="s">
        <v>320</v>
      </c>
      <c r="N597" t="s">
        <v>321</v>
      </c>
      <c r="O597" t="s">
        <v>82</v>
      </c>
      <c r="P597" t="str">
        <f>"4170053103                    "</f>
        <v xml:space="preserve">4170053103           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85.12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4</v>
      </c>
      <c r="BJ597">
        <v>1.4</v>
      </c>
      <c r="BK597">
        <v>4</v>
      </c>
      <c r="BL597">
        <v>264.32</v>
      </c>
      <c r="BM597">
        <v>39.65</v>
      </c>
      <c r="BN597">
        <v>303.97000000000003</v>
      </c>
      <c r="BO597">
        <v>303.97000000000003</v>
      </c>
      <c r="BQ597" t="s">
        <v>322</v>
      </c>
      <c r="BR597" t="s">
        <v>84</v>
      </c>
      <c r="BS597" s="3">
        <v>45876</v>
      </c>
      <c r="BT597" s="4">
        <v>0.4375</v>
      </c>
      <c r="BU597" t="s">
        <v>1295</v>
      </c>
      <c r="BV597" t="s">
        <v>86</v>
      </c>
      <c r="BY597">
        <v>7000</v>
      </c>
      <c r="CA597" t="s">
        <v>324</v>
      </c>
      <c r="CC597" t="s">
        <v>320</v>
      </c>
      <c r="CD597">
        <v>2531</v>
      </c>
      <c r="CE597" t="s">
        <v>147</v>
      </c>
      <c r="CF597" s="3">
        <v>45877</v>
      </c>
      <c r="CI597">
        <v>1</v>
      </c>
      <c r="CJ597">
        <v>1</v>
      </c>
      <c r="CK597">
        <v>23</v>
      </c>
      <c r="CL597" t="s">
        <v>90</v>
      </c>
    </row>
    <row r="598" spans="1:90" x14ac:dyDescent="0.3">
      <c r="A598" t="s">
        <v>72</v>
      </c>
      <c r="B598" t="s">
        <v>73</v>
      </c>
      <c r="C598" t="s">
        <v>74</v>
      </c>
      <c r="E598" t="str">
        <f>"RR080066889909"</f>
        <v>RR080066889909</v>
      </c>
      <c r="F598" s="3">
        <v>45875</v>
      </c>
      <c r="G598">
        <v>202605</v>
      </c>
      <c r="H598" t="s">
        <v>325</v>
      </c>
      <c r="I598" t="s">
        <v>326</v>
      </c>
      <c r="J598" t="s">
        <v>1213</v>
      </c>
      <c r="K598" t="s">
        <v>78</v>
      </c>
      <c r="L598" t="s">
        <v>75</v>
      </c>
      <c r="M598" t="s">
        <v>76</v>
      </c>
      <c r="N598" t="s">
        <v>1353</v>
      </c>
      <c r="O598" t="s">
        <v>95</v>
      </c>
      <c r="P598" t="str">
        <f>"4170051961                    "</f>
        <v xml:space="preserve">4170051961           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34.450000000000003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1</v>
      </c>
      <c r="BJ598">
        <v>0.2</v>
      </c>
      <c r="BK598">
        <v>1</v>
      </c>
      <c r="BL598">
        <v>112.84</v>
      </c>
      <c r="BM598">
        <v>16.93</v>
      </c>
      <c r="BN598">
        <v>129.77000000000001</v>
      </c>
      <c r="BO598">
        <v>129.77000000000001</v>
      </c>
      <c r="BQ598" t="s">
        <v>1354</v>
      </c>
      <c r="BR598" t="s">
        <v>1214</v>
      </c>
      <c r="BS598" s="3">
        <v>45876</v>
      </c>
      <c r="BT598" s="4">
        <v>0.42430555555555555</v>
      </c>
      <c r="BU598" t="s">
        <v>1355</v>
      </c>
      <c r="BV598" t="s">
        <v>86</v>
      </c>
      <c r="BY598">
        <v>1200</v>
      </c>
      <c r="CA598" t="s">
        <v>1356</v>
      </c>
      <c r="CC598" t="s">
        <v>76</v>
      </c>
      <c r="CD598">
        <v>1665</v>
      </c>
      <c r="CE598" t="s">
        <v>109</v>
      </c>
      <c r="CF598" s="3">
        <v>45877</v>
      </c>
      <c r="CI598">
        <v>1</v>
      </c>
      <c r="CJ598">
        <v>1</v>
      </c>
      <c r="CK598">
        <v>42</v>
      </c>
      <c r="CL598" t="s">
        <v>90</v>
      </c>
    </row>
    <row r="599" spans="1:90" x14ac:dyDescent="0.3">
      <c r="A599" t="s">
        <v>72</v>
      </c>
      <c r="B599" t="s">
        <v>73</v>
      </c>
      <c r="C599" t="s">
        <v>74</v>
      </c>
      <c r="E599" t="str">
        <f>"080067056216"</f>
        <v>080067056216</v>
      </c>
      <c r="F599" s="3">
        <v>45875</v>
      </c>
      <c r="G599">
        <v>202605</v>
      </c>
      <c r="H599" t="s">
        <v>75</v>
      </c>
      <c r="I599" t="s">
        <v>76</v>
      </c>
      <c r="J599" t="s">
        <v>77</v>
      </c>
      <c r="K599" t="s">
        <v>78</v>
      </c>
      <c r="L599" t="s">
        <v>217</v>
      </c>
      <c r="M599" t="s">
        <v>218</v>
      </c>
      <c r="N599" t="s">
        <v>219</v>
      </c>
      <c r="O599" t="s">
        <v>82</v>
      </c>
      <c r="P599" t="str">
        <f>"4170053243                    "</f>
        <v xml:space="preserve">4170053243           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57.68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5</v>
      </c>
      <c r="BJ599">
        <v>3.9</v>
      </c>
      <c r="BK599">
        <v>5</v>
      </c>
      <c r="BL599">
        <v>179.12</v>
      </c>
      <c r="BM599">
        <v>26.87</v>
      </c>
      <c r="BN599">
        <v>205.99</v>
      </c>
      <c r="BO599">
        <v>205.99</v>
      </c>
      <c r="BQ599" t="s">
        <v>220</v>
      </c>
      <c r="BR599" t="s">
        <v>84</v>
      </c>
      <c r="BS599" s="3">
        <v>45876</v>
      </c>
      <c r="BT599" s="4">
        <v>0.33819444444444446</v>
      </c>
      <c r="BU599" t="s">
        <v>565</v>
      </c>
      <c r="BV599" t="s">
        <v>86</v>
      </c>
      <c r="BY599">
        <v>19520</v>
      </c>
      <c r="BZ599" t="s">
        <v>330</v>
      </c>
      <c r="CA599" t="s">
        <v>566</v>
      </c>
      <c r="CC599" t="s">
        <v>218</v>
      </c>
      <c r="CD599">
        <v>4051</v>
      </c>
      <c r="CE599" t="s">
        <v>117</v>
      </c>
      <c r="CF599" s="3">
        <v>45876</v>
      </c>
      <c r="CI599">
        <v>1</v>
      </c>
      <c r="CJ599">
        <v>1</v>
      </c>
      <c r="CK599">
        <v>21</v>
      </c>
      <c r="CL599" t="s">
        <v>90</v>
      </c>
    </row>
    <row r="600" spans="1:90" x14ac:dyDescent="0.3">
      <c r="A600" t="s">
        <v>72</v>
      </c>
      <c r="B600" t="s">
        <v>73</v>
      </c>
      <c r="C600" t="s">
        <v>74</v>
      </c>
      <c r="E600" t="str">
        <f>"080067056256"</f>
        <v>080067056256</v>
      </c>
      <c r="F600" s="3">
        <v>45875</v>
      </c>
      <c r="G600">
        <v>202605</v>
      </c>
      <c r="H600" t="s">
        <v>75</v>
      </c>
      <c r="I600" t="s">
        <v>76</v>
      </c>
      <c r="J600" t="s">
        <v>77</v>
      </c>
      <c r="K600" t="s">
        <v>78</v>
      </c>
      <c r="L600" t="s">
        <v>198</v>
      </c>
      <c r="M600" t="s">
        <v>199</v>
      </c>
      <c r="N600" t="s">
        <v>1357</v>
      </c>
      <c r="O600" t="s">
        <v>82</v>
      </c>
      <c r="P600" t="str">
        <f>"4170053164                    "</f>
        <v xml:space="preserve">4170053164           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23.09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1</v>
      </c>
      <c r="BI600">
        <v>1</v>
      </c>
      <c r="BJ600">
        <v>0.2</v>
      </c>
      <c r="BK600">
        <v>1</v>
      </c>
      <c r="BL600">
        <v>71.69</v>
      </c>
      <c r="BM600">
        <v>10.75</v>
      </c>
      <c r="BN600">
        <v>82.44</v>
      </c>
      <c r="BO600">
        <v>82.44</v>
      </c>
      <c r="BQ600" t="s">
        <v>1358</v>
      </c>
      <c r="BR600" t="s">
        <v>84</v>
      </c>
      <c r="BS600" s="3">
        <v>45877</v>
      </c>
      <c r="BT600" s="4">
        <v>0.40555555555555556</v>
      </c>
      <c r="BU600" t="s">
        <v>1359</v>
      </c>
      <c r="BV600" t="s">
        <v>90</v>
      </c>
      <c r="BW600" t="s">
        <v>134</v>
      </c>
      <c r="BX600" t="s">
        <v>1360</v>
      </c>
      <c r="BY600">
        <v>1200</v>
      </c>
      <c r="CA600" t="s">
        <v>203</v>
      </c>
      <c r="CC600" t="s">
        <v>199</v>
      </c>
      <c r="CD600">
        <v>6001</v>
      </c>
      <c r="CE600" t="s">
        <v>109</v>
      </c>
      <c r="CF600" s="3">
        <v>45877</v>
      </c>
      <c r="CI600">
        <v>1</v>
      </c>
      <c r="CJ600">
        <v>2</v>
      </c>
      <c r="CK600">
        <v>21</v>
      </c>
      <c r="CL600" t="s">
        <v>90</v>
      </c>
    </row>
    <row r="601" spans="1:90" x14ac:dyDescent="0.3">
      <c r="A601" t="s">
        <v>72</v>
      </c>
      <c r="B601" t="s">
        <v>73</v>
      </c>
      <c r="C601" t="s">
        <v>74</v>
      </c>
      <c r="E601" t="str">
        <f>"080067056259"</f>
        <v>080067056259</v>
      </c>
      <c r="F601" s="3">
        <v>45875</v>
      </c>
      <c r="G601">
        <v>202605</v>
      </c>
      <c r="H601" t="s">
        <v>75</v>
      </c>
      <c r="I601" t="s">
        <v>76</v>
      </c>
      <c r="J601" t="s">
        <v>77</v>
      </c>
      <c r="K601" t="s">
        <v>78</v>
      </c>
      <c r="L601" t="s">
        <v>179</v>
      </c>
      <c r="M601" t="s">
        <v>180</v>
      </c>
      <c r="N601" t="s">
        <v>1361</v>
      </c>
      <c r="O601" t="s">
        <v>95</v>
      </c>
      <c r="P601" t="str">
        <f>"4170053111                    "</f>
        <v xml:space="preserve">4170053111           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49.3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1</v>
      </c>
      <c r="BI601">
        <v>1</v>
      </c>
      <c r="BJ601">
        <v>1.3</v>
      </c>
      <c r="BK601">
        <v>2</v>
      </c>
      <c r="BL601">
        <v>158.96</v>
      </c>
      <c r="BM601">
        <v>23.84</v>
      </c>
      <c r="BN601">
        <v>182.8</v>
      </c>
      <c r="BO601">
        <v>182.8</v>
      </c>
      <c r="BQ601" t="s">
        <v>1362</v>
      </c>
      <c r="BR601" t="s">
        <v>84</v>
      </c>
      <c r="BS601" s="3">
        <v>45876</v>
      </c>
      <c r="BT601" s="4">
        <v>0.625</v>
      </c>
      <c r="BU601" t="s">
        <v>1363</v>
      </c>
      <c r="BV601" t="s">
        <v>86</v>
      </c>
      <c r="BY601">
        <v>6555</v>
      </c>
      <c r="CA601" t="s">
        <v>1364</v>
      </c>
      <c r="CC601" t="s">
        <v>180</v>
      </c>
      <c r="CD601">
        <v>1754</v>
      </c>
      <c r="CE601" t="s">
        <v>1365</v>
      </c>
      <c r="CF601" s="3">
        <v>45877</v>
      </c>
      <c r="CI601">
        <v>1</v>
      </c>
      <c r="CJ601">
        <v>1</v>
      </c>
      <c r="CK601">
        <v>44</v>
      </c>
      <c r="CL601" t="s">
        <v>90</v>
      </c>
    </row>
    <row r="602" spans="1:90" x14ac:dyDescent="0.3">
      <c r="A602" t="s">
        <v>72</v>
      </c>
      <c r="B602" t="s">
        <v>73</v>
      </c>
      <c r="C602" t="s">
        <v>74</v>
      </c>
      <c r="E602" t="str">
        <f>"080067056320"</f>
        <v>080067056320</v>
      </c>
      <c r="F602" s="3">
        <v>45875</v>
      </c>
      <c r="G602">
        <v>202605</v>
      </c>
      <c r="H602" t="s">
        <v>75</v>
      </c>
      <c r="I602" t="s">
        <v>76</v>
      </c>
      <c r="J602" t="s">
        <v>77</v>
      </c>
      <c r="K602" t="s">
        <v>78</v>
      </c>
      <c r="L602" t="s">
        <v>137</v>
      </c>
      <c r="M602" t="s">
        <v>138</v>
      </c>
      <c r="N602" t="s">
        <v>1366</v>
      </c>
      <c r="O602" t="s">
        <v>82</v>
      </c>
      <c r="P602" t="str">
        <f>"4170053293                    "</f>
        <v xml:space="preserve">4170053293           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23.09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1</v>
      </c>
      <c r="BJ602">
        <v>0.2</v>
      </c>
      <c r="BK602">
        <v>1</v>
      </c>
      <c r="BL602">
        <v>71.69</v>
      </c>
      <c r="BM602">
        <v>10.75</v>
      </c>
      <c r="BN602">
        <v>82.44</v>
      </c>
      <c r="BO602">
        <v>82.44</v>
      </c>
      <c r="BQ602" t="s">
        <v>1367</v>
      </c>
      <c r="BR602" t="s">
        <v>84</v>
      </c>
      <c r="BS602" s="3">
        <v>45876</v>
      </c>
      <c r="BT602" s="4">
        <v>0.49444444444444446</v>
      </c>
      <c r="BU602" t="s">
        <v>1368</v>
      </c>
      <c r="BV602" t="s">
        <v>90</v>
      </c>
      <c r="BW602" t="s">
        <v>134</v>
      </c>
      <c r="BX602" t="s">
        <v>641</v>
      </c>
      <c r="BY602">
        <v>1200</v>
      </c>
      <c r="BZ602" t="s">
        <v>330</v>
      </c>
      <c r="CA602" t="s">
        <v>953</v>
      </c>
      <c r="CC602" t="s">
        <v>138</v>
      </c>
      <c r="CD602">
        <v>3600</v>
      </c>
      <c r="CE602" t="s">
        <v>597</v>
      </c>
      <c r="CF602" s="3">
        <v>45876</v>
      </c>
      <c r="CI602">
        <v>1</v>
      </c>
      <c r="CJ602">
        <v>1</v>
      </c>
      <c r="CK602">
        <v>21</v>
      </c>
      <c r="CL602" t="s">
        <v>90</v>
      </c>
    </row>
    <row r="603" spans="1:90" x14ac:dyDescent="0.3">
      <c r="A603" t="s">
        <v>72</v>
      </c>
      <c r="B603" t="s">
        <v>73</v>
      </c>
      <c r="C603" t="s">
        <v>74</v>
      </c>
      <c r="E603" t="str">
        <f>"080067056325"</f>
        <v>080067056325</v>
      </c>
      <c r="F603" s="3">
        <v>45875</v>
      </c>
      <c r="G603">
        <v>202605</v>
      </c>
      <c r="H603" t="s">
        <v>75</v>
      </c>
      <c r="I603" t="s">
        <v>76</v>
      </c>
      <c r="J603" t="s">
        <v>77</v>
      </c>
      <c r="K603" t="s">
        <v>78</v>
      </c>
      <c r="L603" t="s">
        <v>123</v>
      </c>
      <c r="M603" t="s">
        <v>124</v>
      </c>
      <c r="N603" t="s">
        <v>406</v>
      </c>
      <c r="O603" t="s">
        <v>82</v>
      </c>
      <c r="P603" t="str">
        <f>"4170053079                    "</f>
        <v xml:space="preserve">4170053079                    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23.09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1</v>
      </c>
      <c r="BI603">
        <v>2</v>
      </c>
      <c r="BJ603">
        <v>1.7</v>
      </c>
      <c r="BK603">
        <v>2</v>
      </c>
      <c r="BL603">
        <v>71.69</v>
      </c>
      <c r="BM603">
        <v>10.75</v>
      </c>
      <c r="BN603">
        <v>82.44</v>
      </c>
      <c r="BO603">
        <v>82.44</v>
      </c>
      <c r="BQ603" t="s">
        <v>407</v>
      </c>
      <c r="BR603" t="s">
        <v>84</v>
      </c>
      <c r="BS603" s="3">
        <v>45877</v>
      </c>
      <c r="BT603" s="4">
        <v>0.4375</v>
      </c>
      <c r="BU603" t="s">
        <v>408</v>
      </c>
      <c r="BV603" t="s">
        <v>90</v>
      </c>
      <c r="BW603" t="s">
        <v>773</v>
      </c>
      <c r="BX603" t="s">
        <v>381</v>
      </c>
      <c r="BY603">
        <v>8550</v>
      </c>
      <c r="CA603" t="s">
        <v>192</v>
      </c>
      <c r="CC603" t="s">
        <v>124</v>
      </c>
      <c r="CD603">
        <v>7441</v>
      </c>
      <c r="CE603" t="s">
        <v>147</v>
      </c>
      <c r="CF603" s="3">
        <v>45880</v>
      </c>
      <c r="CI603">
        <v>1</v>
      </c>
      <c r="CJ603">
        <v>2</v>
      </c>
      <c r="CK603">
        <v>21</v>
      </c>
      <c r="CL603" t="s">
        <v>90</v>
      </c>
    </row>
    <row r="604" spans="1:90" x14ac:dyDescent="0.3">
      <c r="A604" t="s">
        <v>72</v>
      </c>
      <c r="B604" t="s">
        <v>73</v>
      </c>
      <c r="C604" t="s">
        <v>74</v>
      </c>
      <c r="E604" t="str">
        <f>"080067056372"</f>
        <v>080067056372</v>
      </c>
      <c r="F604" s="3">
        <v>45875</v>
      </c>
      <c r="G604">
        <v>202605</v>
      </c>
      <c r="H604" t="s">
        <v>75</v>
      </c>
      <c r="I604" t="s">
        <v>76</v>
      </c>
      <c r="J604" t="s">
        <v>77</v>
      </c>
      <c r="K604" t="s">
        <v>78</v>
      </c>
      <c r="L604" t="s">
        <v>137</v>
      </c>
      <c r="M604" t="s">
        <v>138</v>
      </c>
      <c r="N604" t="s">
        <v>139</v>
      </c>
      <c r="O604" t="s">
        <v>82</v>
      </c>
      <c r="P604" t="str">
        <f>"4170053197                    "</f>
        <v xml:space="preserve">4170053197                    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23.09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1</v>
      </c>
      <c r="BJ604">
        <v>0.2</v>
      </c>
      <c r="BK604">
        <v>1</v>
      </c>
      <c r="BL604">
        <v>71.69</v>
      </c>
      <c r="BM604">
        <v>10.75</v>
      </c>
      <c r="BN604">
        <v>82.44</v>
      </c>
      <c r="BO604">
        <v>82.44</v>
      </c>
      <c r="BQ604" t="s">
        <v>140</v>
      </c>
      <c r="BR604" t="s">
        <v>84</v>
      </c>
      <c r="BS604" s="3">
        <v>45876</v>
      </c>
      <c r="BT604" s="4">
        <v>0.3923611111111111</v>
      </c>
      <c r="BU604" t="s">
        <v>1369</v>
      </c>
      <c r="BV604" t="s">
        <v>86</v>
      </c>
      <c r="BY604">
        <v>1200</v>
      </c>
      <c r="BZ604" t="s">
        <v>330</v>
      </c>
      <c r="CA604" t="s">
        <v>953</v>
      </c>
      <c r="CC604" t="s">
        <v>138</v>
      </c>
      <c r="CD604">
        <v>3620</v>
      </c>
      <c r="CE604" t="s">
        <v>597</v>
      </c>
      <c r="CF604" s="3">
        <v>45876</v>
      </c>
      <c r="CI604">
        <v>1</v>
      </c>
      <c r="CJ604">
        <v>1</v>
      </c>
      <c r="CK604">
        <v>21</v>
      </c>
      <c r="CL604" t="s">
        <v>90</v>
      </c>
    </row>
    <row r="605" spans="1:90" x14ac:dyDescent="0.3">
      <c r="A605" t="s">
        <v>72</v>
      </c>
      <c r="B605" t="s">
        <v>73</v>
      </c>
      <c r="C605" t="s">
        <v>74</v>
      </c>
      <c r="E605" t="str">
        <f>"080067056426"</f>
        <v>080067056426</v>
      </c>
      <c r="F605" s="3">
        <v>45875</v>
      </c>
      <c r="G605">
        <v>202605</v>
      </c>
      <c r="H605" t="s">
        <v>75</v>
      </c>
      <c r="I605" t="s">
        <v>76</v>
      </c>
      <c r="J605" t="s">
        <v>77</v>
      </c>
      <c r="K605" t="s">
        <v>78</v>
      </c>
      <c r="L605" t="s">
        <v>137</v>
      </c>
      <c r="M605" t="s">
        <v>138</v>
      </c>
      <c r="N605" t="s">
        <v>731</v>
      </c>
      <c r="O605" t="s">
        <v>82</v>
      </c>
      <c r="P605" t="str">
        <f>"4170053279                    "</f>
        <v xml:space="preserve">4170053279           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23.09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1</v>
      </c>
      <c r="BJ605">
        <v>0.2</v>
      </c>
      <c r="BK605">
        <v>1</v>
      </c>
      <c r="BL605">
        <v>71.69</v>
      </c>
      <c r="BM605">
        <v>10.75</v>
      </c>
      <c r="BN605">
        <v>82.44</v>
      </c>
      <c r="BO605">
        <v>82.44</v>
      </c>
      <c r="BQ605" t="s">
        <v>732</v>
      </c>
      <c r="BR605" t="s">
        <v>84</v>
      </c>
      <c r="BS605" s="3">
        <v>45876</v>
      </c>
      <c r="BT605" s="4">
        <v>0.58611111111111114</v>
      </c>
      <c r="BU605" t="s">
        <v>1370</v>
      </c>
      <c r="BV605" t="s">
        <v>90</v>
      </c>
      <c r="BW605" t="s">
        <v>134</v>
      </c>
      <c r="BX605" t="s">
        <v>440</v>
      </c>
      <c r="BY605">
        <v>1200</v>
      </c>
      <c r="CA605" t="s">
        <v>734</v>
      </c>
      <c r="CC605" t="s">
        <v>138</v>
      </c>
      <c r="CD605">
        <v>4037</v>
      </c>
      <c r="CE605" t="s">
        <v>178</v>
      </c>
      <c r="CF605" s="3">
        <v>45876</v>
      </c>
      <c r="CI605">
        <v>1</v>
      </c>
      <c r="CJ605">
        <v>1</v>
      </c>
      <c r="CK605">
        <v>21</v>
      </c>
      <c r="CL605" t="s">
        <v>90</v>
      </c>
    </row>
    <row r="606" spans="1:90" x14ac:dyDescent="0.3">
      <c r="A606" t="s">
        <v>72</v>
      </c>
      <c r="B606" t="s">
        <v>73</v>
      </c>
      <c r="C606" t="s">
        <v>74</v>
      </c>
      <c r="E606" t="str">
        <f>"080067056530"</f>
        <v>080067056530</v>
      </c>
      <c r="F606" s="3">
        <v>45875</v>
      </c>
      <c r="G606">
        <v>202605</v>
      </c>
      <c r="H606" t="s">
        <v>75</v>
      </c>
      <c r="I606" t="s">
        <v>76</v>
      </c>
      <c r="J606" t="s">
        <v>77</v>
      </c>
      <c r="K606" t="s">
        <v>78</v>
      </c>
      <c r="L606" t="s">
        <v>335</v>
      </c>
      <c r="M606" t="s">
        <v>336</v>
      </c>
      <c r="N606" t="s">
        <v>1371</v>
      </c>
      <c r="O606" t="s">
        <v>82</v>
      </c>
      <c r="P606" t="str">
        <f>"4170053216                    "</f>
        <v xml:space="preserve">4170053216           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44.73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1</v>
      </c>
      <c r="BJ606">
        <v>0.2</v>
      </c>
      <c r="BK606">
        <v>1</v>
      </c>
      <c r="BL606">
        <v>138.88999999999999</v>
      </c>
      <c r="BM606">
        <v>20.83</v>
      </c>
      <c r="BN606">
        <v>159.72</v>
      </c>
      <c r="BO606">
        <v>159.72</v>
      </c>
      <c r="BQ606" t="s">
        <v>1372</v>
      </c>
      <c r="BR606" t="s">
        <v>84</v>
      </c>
      <c r="BS606" s="3">
        <v>45876</v>
      </c>
      <c r="BT606" s="4">
        <v>0.52708333333333335</v>
      </c>
      <c r="BU606" t="s">
        <v>1373</v>
      </c>
      <c r="BV606" t="s">
        <v>86</v>
      </c>
      <c r="BY606">
        <v>1200</v>
      </c>
      <c r="CA606" t="s">
        <v>340</v>
      </c>
      <c r="CC606" t="s">
        <v>336</v>
      </c>
      <c r="CD606" s="5" t="s">
        <v>1374</v>
      </c>
      <c r="CE606" t="s">
        <v>178</v>
      </c>
      <c r="CF606" s="3">
        <v>45877</v>
      </c>
      <c r="CI606">
        <v>1</v>
      </c>
      <c r="CJ606">
        <v>1</v>
      </c>
      <c r="CK606">
        <v>23</v>
      </c>
      <c r="CL606" t="s">
        <v>90</v>
      </c>
    </row>
    <row r="607" spans="1:90" x14ac:dyDescent="0.3">
      <c r="A607" t="s">
        <v>72</v>
      </c>
      <c r="B607" t="s">
        <v>73</v>
      </c>
      <c r="C607" t="s">
        <v>74</v>
      </c>
      <c r="E607" t="str">
        <f>"080067056564"</f>
        <v>080067056564</v>
      </c>
      <c r="F607" s="3">
        <v>45875</v>
      </c>
      <c r="G607">
        <v>202605</v>
      </c>
      <c r="H607" t="s">
        <v>75</v>
      </c>
      <c r="I607" t="s">
        <v>76</v>
      </c>
      <c r="J607" t="s">
        <v>77</v>
      </c>
      <c r="K607" t="s">
        <v>78</v>
      </c>
      <c r="L607" t="s">
        <v>234</v>
      </c>
      <c r="M607" t="s">
        <v>235</v>
      </c>
      <c r="N607" t="s">
        <v>236</v>
      </c>
      <c r="O607" t="s">
        <v>82</v>
      </c>
      <c r="P607" t="str">
        <f>"4170053168                    "</f>
        <v xml:space="preserve">4170053168           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23.09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1</v>
      </c>
      <c r="BJ607">
        <v>0.2</v>
      </c>
      <c r="BK607">
        <v>1</v>
      </c>
      <c r="BL607">
        <v>71.69</v>
      </c>
      <c r="BM607">
        <v>10.75</v>
      </c>
      <c r="BN607">
        <v>82.44</v>
      </c>
      <c r="BO607">
        <v>82.44</v>
      </c>
      <c r="BQ607" t="s">
        <v>237</v>
      </c>
      <c r="BR607" t="s">
        <v>84</v>
      </c>
      <c r="BS607" s="3">
        <v>45876</v>
      </c>
      <c r="BT607" s="4">
        <v>0.37222222222222223</v>
      </c>
      <c r="BU607" t="s">
        <v>650</v>
      </c>
      <c r="BV607" t="s">
        <v>86</v>
      </c>
      <c r="BY607">
        <v>1200</v>
      </c>
      <c r="CA607" t="s">
        <v>239</v>
      </c>
      <c r="CC607" t="s">
        <v>235</v>
      </c>
      <c r="CD607" s="5" t="s">
        <v>240</v>
      </c>
      <c r="CE607" t="s">
        <v>178</v>
      </c>
      <c r="CF607" s="3">
        <v>45876</v>
      </c>
      <c r="CI607">
        <v>1</v>
      </c>
      <c r="CJ607">
        <v>1</v>
      </c>
      <c r="CK607">
        <v>21</v>
      </c>
      <c r="CL607" t="s">
        <v>90</v>
      </c>
    </row>
    <row r="608" spans="1:90" x14ac:dyDescent="0.3">
      <c r="A608" t="s">
        <v>72</v>
      </c>
      <c r="B608" t="s">
        <v>73</v>
      </c>
      <c r="C608" t="s">
        <v>74</v>
      </c>
      <c r="E608" t="str">
        <f>"080067056730"</f>
        <v>080067056730</v>
      </c>
      <c r="F608" s="3">
        <v>45875</v>
      </c>
      <c r="G608">
        <v>202605</v>
      </c>
      <c r="H608" t="s">
        <v>75</v>
      </c>
      <c r="I608" t="s">
        <v>76</v>
      </c>
      <c r="J608" t="s">
        <v>77</v>
      </c>
      <c r="K608" t="s">
        <v>78</v>
      </c>
      <c r="L608" t="s">
        <v>162</v>
      </c>
      <c r="M608" t="s">
        <v>163</v>
      </c>
      <c r="N608" t="s">
        <v>246</v>
      </c>
      <c r="O608" t="s">
        <v>82</v>
      </c>
      <c r="P608" t="str">
        <f>"4170053155                    "</f>
        <v xml:space="preserve">4170053155           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46.15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4</v>
      </c>
      <c r="BJ608">
        <v>2</v>
      </c>
      <c r="BK608">
        <v>4</v>
      </c>
      <c r="BL608">
        <v>143.31</v>
      </c>
      <c r="BM608">
        <v>21.5</v>
      </c>
      <c r="BN608">
        <v>164.81</v>
      </c>
      <c r="BO608">
        <v>164.81</v>
      </c>
      <c r="BQ608" t="s">
        <v>247</v>
      </c>
      <c r="BR608" t="s">
        <v>84</v>
      </c>
      <c r="BS608" s="3">
        <v>45877</v>
      </c>
      <c r="BT608" s="4">
        <v>0.41666666666666669</v>
      </c>
      <c r="BU608" t="s">
        <v>485</v>
      </c>
      <c r="BV608" t="s">
        <v>90</v>
      </c>
      <c r="BY608">
        <v>10240</v>
      </c>
      <c r="CC608" t="s">
        <v>163</v>
      </c>
      <c r="CD608">
        <v>3201</v>
      </c>
      <c r="CE608" t="s">
        <v>178</v>
      </c>
      <c r="CF608" s="3">
        <v>45880</v>
      </c>
      <c r="CI608">
        <v>1</v>
      </c>
      <c r="CJ608">
        <v>2</v>
      </c>
      <c r="CK608">
        <v>21</v>
      </c>
      <c r="CL608" t="s">
        <v>90</v>
      </c>
    </row>
    <row r="609" spans="1:90" x14ac:dyDescent="0.3">
      <c r="A609" t="s">
        <v>72</v>
      </c>
      <c r="B609" t="s">
        <v>73</v>
      </c>
      <c r="C609" t="s">
        <v>74</v>
      </c>
      <c r="E609" t="str">
        <f>"080067056865"</f>
        <v>080067056865</v>
      </c>
      <c r="F609" s="3">
        <v>45875</v>
      </c>
      <c r="G609">
        <v>202605</v>
      </c>
      <c r="H609" t="s">
        <v>75</v>
      </c>
      <c r="I609" t="s">
        <v>76</v>
      </c>
      <c r="J609" t="s">
        <v>77</v>
      </c>
      <c r="K609" t="s">
        <v>78</v>
      </c>
      <c r="L609" t="s">
        <v>75</v>
      </c>
      <c r="M609" t="s">
        <v>76</v>
      </c>
      <c r="N609" t="s">
        <v>537</v>
      </c>
      <c r="O609" t="s">
        <v>82</v>
      </c>
      <c r="P609" t="str">
        <f>"4170053281                    "</f>
        <v xml:space="preserve">4170053281         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18.03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3</v>
      </c>
      <c r="BJ609">
        <v>1.4</v>
      </c>
      <c r="BK609">
        <v>3</v>
      </c>
      <c r="BL609">
        <v>55.99</v>
      </c>
      <c r="BM609">
        <v>8.4</v>
      </c>
      <c r="BN609">
        <v>64.39</v>
      </c>
      <c r="BO609">
        <v>64.39</v>
      </c>
      <c r="BQ609" t="s">
        <v>538</v>
      </c>
      <c r="BR609" t="s">
        <v>84</v>
      </c>
      <c r="BS609" s="3">
        <v>45876</v>
      </c>
      <c r="BT609" s="4">
        <v>0.39861111111111114</v>
      </c>
      <c r="BU609" t="s">
        <v>738</v>
      </c>
      <c r="BV609" t="s">
        <v>86</v>
      </c>
      <c r="BY609">
        <v>7000</v>
      </c>
      <c r="CA609" t="s">
        <v>739</v>
      </c>
      <c r="CC609" t="s">
        <v>76</v>
      </c>
      <c r="CD609">
        <v>1619</v>
      </c>
      <c r="CE609" t="s">
        <v>147</v>
      </c>
      <c r="CF609" s="3">
        <v>45876</v>
      </c>
      <c r="CI609">
        <v>1</v>
      </c>
      <c r="CJ609">
        <v>1</v>
      </c>
      <c r="CK609">
        <v>22</v>
      </c>
      <c r="CL609" t="s">
        <v>90</v>
      </c>
    </row>
    <row r="610" spans="1:90" x14ac:dyDescent="0.3">
      <c r="A610" t="s">
        <v>72</v>
      </c>
      <c r="B610" t="s">
        <v>73</v>
      </c>
      <c r="C610" t="s">
        <v>74</v>
      </c>
      <c r="E610" t="str">
        <f>"080067057146"</f>
        <v>080067057146</v>
      </c>
      <c r="F610" s="3">
        <v>45875</v>
      </c>
      <c r="G610">
        <v>202605</v>
      </c>
      <c r="H610" t="s">
        <v>75</v>
      </c>
      <c r="I610" t="s">
        <v>76</v>
      </c>
      <c r="J610" t="s">
        <v>77</v>
      </c>
      <c r="K610" t="s">
        <v>78</v>
      </c>
      <c r="L610" t="s">
        <v>373</v>
      </c>
      <c r="M610" t="s">
        <v>374</v>
      </c>
      <c r="N610" t="s">
        <v>1084</v>
      </c>
      <c r="O610" t="s">
        <v>82</v>
      </c>
      <c r="P610" t="str">
        <f>"4170053144                    "</f>
        <v xml:space="preserve">4170053144         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23.09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1</v>
      </c>
      <c r="BI610">
        <v>1</v>
      </c>
      <c r="BJ610">
        <v>0.2</v>
      </c>
      <c r="BK610">
        <v>1</v>
      </c>
      <c r="BL610">
        <v>71.69</v>
      </c>
      <c r="BM610">
        <v>10.75</v>
      </c>
      <c r="BN610">
        <v>82.44</v>
      </c>
      <c r="BO610">
        <v>82.44</v>
      </c>
      <c r="BQ610" t="s">
        <v>1085</v>
      </c>
      <c r="BR610" t="s">
        <v>84</v>
      </c>
      <c r="BS610" s="3">
        <v>45876</v>
      </c>
      <c r="BT610" s="4">
        <v>0.42916666666666664</v>
      </c>
      <c r="BU610" t="s">
        <v>1312</v>
      </c>
      <c r="BV610" t="s">
        <v>86</v>
      </c>
      <c r="BY610">
        <v>1200</v>
      </c>
      <c r="BZ610" t="s">
        <v>330</v>
      </c>
      <c r="CA610" t="s">
        <v>203</v>
      </c>
      <c r="CC610" t="s">
        <v>374</v>
      </c>
      <c r="CD610">
        <v>6220</v>
      </c>
      <c r="CE610" t="s">
        <v>597</v>
      </c>
      <c r="CF610" s="3">
        <v>45876</v>
      </c>
      <c r="CI610">
        <v>1</v>
      </c>
      <c r="CJ610">
        <v>1</v>
      </c>
      <c r="CK610">
        <v>21</v>
      </c>
      <c r="CL610" t="s">
        <v>90</v>
      </c>
    </row>
    <row r="611" spans="1:90" x14ac:dyDescent="0.3">
      <c r="A611" t="s">
        <v>72</v>
      </c>
      <c r="B611" t="s">
        <v>73</v>
      </c>
      <c r="C611" t="s">
        <v>74</v>
      </c>
      <c r="E611" t="str">
        <f>"080067057295"</f>
        <v>080067057295</v>
      </c>
      <c r="F611" s="3">
        <v>45875</v>
      </c>
      <c r="G611">
        <v>202605</v>
      </c>
      <c r="H611" t="s">
        <v>75</v>
      </c>
      <c r="I611" t="s">
        <v>76</v>
      </c>
      <c r="J611" t="s">
        <v>77</v>
      </c>
      <c r="K611" t="s">
        <v>78</v>
      </c>
      <c r="L611" t="s">
        <v>162</v>
      </c>
      <c r="M611" t="s">
        <v>163</v>
      </c>
      <c r="N611" t="s">
        <v>1375</v>
      </c>
      <c r="O611" t="s">
        <v>82</v>
      </c>
      <c r="P611" t="str">
        <f>"4170053274                    "</f>
        <v xml:space="preserve">4170053274         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23.09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1</v>
      </c>
      <c r="BI611">
        <v>1</v>
      </c>
      <c r="BJ611">
        <v>0.2</v>
      </c>
      <c r="BK611">
        <v>1</v>
      </c>
      <c r="BL611">
        <v>71.69</v>
      </c>
      <c r="BM611">
        <v>10.75</v>
      </c>
      <c r="BN611">
        <v>82.44</v>
      </c>
      <c r="BO611">
        <v>82.44</v>
      </c>
      <c r="BQ611" t="s">
        <v>1376</v>
      </c>
      <c r="BR611" t="s">
        <v>84</v>
      </c>
      <c r="BS611" s="3">
        <v>45877</v>
      </c>
      <c r="BT611" s="4">
        <v>0.77847222222222223</v>
      </c>
      <c r="BU611" t="s">
        <v>444</v>
      </c>
      <c r="BV611" t="s">
        <v>86</v>
      </c>
      <c r="BY611">
        <v>1200</v>
      </c>
      <c r="CA611" t="s">
        <v>919</v>
      </c>
      <c r="CC611" t="s">
        <v>163</v>
      </c>
      <c r="CD611">
        <v>3201</v>
      </c>
      <c r="CE611" t="s">
        <v>109</v>
      </c>
      <c r="CF611" s="3">
        <v>45880</v>
      </c>
      <c r="CI611">
        <v>5</v>
      </c>
      <c r="CJ611">
        <v>2</v>
      </c>
      <c r="CK611">
        <v>21</v>
      </c>
      <c r="CL611" t="s">
        <v>90</v>
      </c>
    </row>
    <row r="612" spans="1:90" x14ac:dyDescent="0.3">
      <c r="A612" t="s">
        <v>72</v>
      </c>
      <c r="B612" t="s">
        <v>73</v>
      </c>
      <c r="C612" t="s">
        <v>74</v>
      </c>
      <c r="E612" t="str">
        <f>"080067058405"</f>
        <v>080067058405</v>
      </c>
      <c r="F612" s="3">
        <v>45875</v>
      </c>
      <c r="G612">
        <v>202605</v>
      </c>
      <c r="H612" t="s">
        <v>75</v>
      </c>
      <c r="I612" t="s">
        <v>76</v>
      </c>
      <c r="J612" t="s">
        <v>77</v>
      </c>
      <c r="K612" t="s">
        <v>78</v>
      </c>
      <c r="L612" t="s">
        <v>672</v>
      </c>
      <c r="M612" t="s">
        <v>673</v>
      </c>
      <c r="N612" t="s">
        <v>674</v>
      </c>
      <c r="O612" t="s">
        <v>82</v>
      </c>
      <c r="P612" t="str">
        <f>"4170053282                    "</f>
        <v xml:space="preserve">4170053282           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85.12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1</v>
      </c>
      <c r="BI612">
        <v>4</v>
      </c>
      <c r="BJ612">
        <v>1.8</v>
      </c>
      <c r="BK612">
        <v>4</v>
      </c>
      <c r="BL612">
        <v>264.32</v>
      </c>
      <c r="BM612">
        <v>39.65</v>
      </c>
      <c r="BN612">
        <v>303.97000000000003</v>
      </c>
      <c r="BO612">
        <v>303.97000000000003</v>
      </c>
      <c r="BQ612" t="s">
        <v>675</v>
      </c>
      <c r="BR612" t="s">
        <v>84</v>
      </c>
      <c r="BS612" s="3">
        <v>45876</v>
      </c>
      <c r="BT612" s="4">
        <v>0.48472222222222222</v>
      </c>
      <c r="BU612" t="s">
        <v>1177</v>
      </c>
      <c r="BV612" t="s">
        <v>86</v>
      </c>
      <c r="BY612">
        <v>9212</v>
      </c>
      <c r="CA612" t="s">
        <v>806</v>
      </c>
      <c r="CC612" t="s">
        <v>673</v>
      </c>
      <c r="CD612">
        <v>3370</v>
      </c>
      <c r="CE612" t="s">
        <v>117</v>
      </c>
      <c r="CF612" s="3">
        <v>45877</v>
      </c>
      <c r="CI612">
        <v>2</v>
      </c>
      <c r="CJ612">
        <v>1</v>
      </c>
      <c r="CK612">
        <v>23</v>
      </c>
      <c r="CL612" t="s">
        <v>90</v>
      </c>
    </row>
    <row r="613" spans="1:90" x14ac:dyDescent="0.3">
      <c r="A613" t="s">
        <v>72</v>
      </c>
      <c r="B613" t="s">
        <v>73</v>
      </c>
      <c r="C613" t="s">
        <v>74</v>
      </c>
      <c r="E613" t="str">
        <f>"080067058431"</f>
        <v>080067058431</v>
      </c>
      <c r="F613" s="3">
        <v>45875</v>
      </c>
      <c r="G613">
        <v>202605</v>
      </c>
      <c r="H613" t="s">
        <v>75</v>
      </c>
      <c r="I613" t="s">
        <v>76</v>
      </c>
      <c r="J613" t="s">
        <v>77</v>
      </c>
      <c r="K613" t="s">
        <v>78</v>
      </c>
      <c r="L613" t="s">
        <v>162</v>
      </c>
      <c r="M613" t="s">
        <v>163</v>
      </c>
      <c r="N613" t="s">
        <v>811</v>
      </c>
      <c r="O613" t="s">
        <v>82</v>
      </c>
      <c r="P613" t="str">
        <f>"4170053112                    "</f>
        <v xml:space="preserve">4170053112           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92.28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8</v>
      </c>
      <c r="BJ613">
        <v>3.6</v>
      </c>
      <c r="BK613">
        <v>8</v>
      </c>
      <c r="BL613">
        <v>286.56</v>
      </c>
      <c r="BM613">
        <v>42.98</v>
      </c>
      <c r="BN613">
        <v>329.54</v>
      </c>
      <c r="BO613">
        <v>329.54</v>
      </c>
      <c r="BQ613" t="s">
        <v>812</v>
      </c>
      <c r="BR613" t="s">
        <v>84</v>
      </c>
      <c r="BS613" s="3">
        <v>45877</v>
      </c>
      <c r="BT613" s="4">
        <v>0.41666666666666669</v>
      </c>
      <c r="BU613" t="s">
        <v>1377</v>
      </c>
      <c r="BV613" t="s">
        <v>90</v>
      </c>
      <c r="BY613">
        <v>17920</v>
      </c>
      <c r="CA613" t="s">
        <v>814</v>
      </c>
      <c r="CC613" t="s">
        <v>163</v>
      </c>
      <c r="CD613">
        <v>3201</v>
      </c>
      <c r="CE613" t="s">
        <v>117</v>
      </c>
      <c r="CF613" s="3">
        <v>45880</v>
      </c>
      <c r="CI613">
        <v>1</v>
      </c>
      <c r="CJ613">
        <v>2</v>
      </c>
      <c r="CK613">
        <v>21</v>
      </c>
      <c r="CL613" t="s">
        <v>90</v>
      </c>
    </row>
    <row r="614" spans="1:90" x14ac:dyDescent="0.3">
      <c r="A614" t="s">
        <v>72</v>
      </c>
      <c r="B614" t="s">
        <v>73</v>
      </c>
      <c r="C614" t="s">
        <v>74</v>
      </c>
      <c r="E614" t="str">
        <f>"080067058480"</f>
        <v>080067058480</v>
      </c>
      <c r="F614" s="3">
        <v>45875</v>
      </c>
      <c r="G614">
        <v>202605</v>
      </c>
      <c r="H614" t="s">
        <v>75</v>
      </c>
      <c r="I614" t="s">
        <v>76</v>
      </c>
      <c r="J614" t="s">
        <v>77</v>
      </c>
      <c r="K614" t="s">
        <v>78</v>
      </c>
      <c r="L614" t="s">
        <v>162</v>
      </c>
      <c r="M614" t="s">
        <v>163</v>
      </c>
      <c r="N614" t="s">
        <v>164</v>
      </c>
      <c r="O614" t="s">
        <v>82</v>
      </c>
      <c r="P614" t="str">
        <f>"4170053183                    "</f>
        <v xml:space="preserve">4170053183           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92.28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1</v>
      </c>
      <c r="BI614">
        <v>8</v>
      </c>
      <c r="BJ614">
        <v>4.8</v>
      </c>
      <c r="BK614">
        <v>8</v>
      </c>
      <c r="BL614">
        <v>286.56</v>
      </c>
      <c r="BM614">
        <v>42.98</v>
      </c>
      <c r="BN614">
        <v>329.54</v>
      </c>
      <c r="BO614">
        <v>329.54</v>
      </c>
      <c r="BQ614" t="s">
        <v>165</v>
      </c>
      <c r="BR614" t="s">
        <v>84</v>
      </c>
      <c r="BS614" s="3">
        <v>45877</v>
      </c>
      <c r="BT614" s="4">
        <v>0.41666666666666669</v>
      </c>
      <c r="BU614" t="s">
        <v>1378</v>
      </c>
      <c r="BV614" t="s">
        <v>86</v>
      </c>
      <c r="BY614">
        <v>23751</v>
      </c>
      <c r="CC614" t="s">
        <v>163</v>
      </c>
      <c r="CD614">
        <v>3212</v>
      </c>
      <c r="CE614" t="s">
        <v>147</v>
      </c>
      <c r="CF614" s="3">
        <v>45877</v>
      </c>
      <c r="CI614">
        <v>2</v>
      </c>
      <c r="CJ614">
        <v>2</v>
      </c>
      <c r="CK614">
        <v>21</v>
      </c>
      <c r="CL614" t="s">
        <v>90</v>
      </c>
    </row>
    <row r="615" spans="1:90" x14ac:dyDescent="0.3">
      <c r="A615" t="s">
        <v>72</v>
      </c>
      <c r="B615" t="s">
        <v>73</v>
      </c>
      <c r="C615" t="s">
        <v>74</v>
      </c>
      <c r="E615" t="str">
        <f>"080067058497"</f>
        <v>080067058497</v>
      </c>
      <c r="F615" s="3">
        <v>45875</v>
      </c>
      <c r="G615">
        <v>202605</v>
      </c>
      <c r="H615" t="s">
        <v>75</v>
      </c>
      <c r="I615" t="s">
        <v>76</v>
      </c>
      <c r="J615" t="s">
        <v>77</v>
      </c>
      <c r="K615" t="s">
        <v>78</v>
      </c>
      <c r="L615" t="s">
        <v>75</v>
      </c>
      <c r="M615" t="s">
        <v>76</v>
      </c>
      <c r="N615" t="s">
        <v>537</v>
      </c>
      <c r="O615" t="s">
        <v>82</v>
      </c>
      <c r="P615" t="str">
        <f>"4170053036                    "</f>
        <v xml:space="preserve">4170053036            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18.03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1</v>
      </c>
      <c r="BJ615">
        <v>0.2</v>
      </c>
      <c r="BK615">
        <v>1</v>
      </c>
      <c r="BL615">
        <v>55.99</v>
      </c>
      <c r="BM615">
        <v>8.4</v>
      </c>
      <c r="BN615">
        <v>64.39</v>
      </c>
      <c r="BO615">
        <v>64.39</v>
      </c>
      <c r="BQ615" t="s">
        <v>538</v>
      </c>
      <c r="BR615" t="s">
        <v>84</v>
      </c>
      <c r="BS615" s="3">
        <v>45876</v>
      </c>
      <c r="BT615" s="4">
        <v>0.39861111111111114</v>
      </c>
      <c r="BU615" t="s">
        <v>738</v>
      </c>
      <c r="BV615" t="s">
        <v>86</v>
      </c>
      <c r="BY615">
        <v>1200</v>
      </c>
      <c r="CA615" t="s">
        <v>739</v>
      </c>
      <c r="CC615" t="s">
        <v>76</v>
      </c>
      <c r="CD615">
        <v>1619</v>
      </c>
      <c r="CE615" t="s">
        <v>109</v>
      </c>
      <c r="CF615" s="3">
        <v>45876</v>
      </c>
      <c r="CI615">
        <v>1</v>
      </c>
      <c r="CJ615">
        <v>1</v>
      </c>
      <c r="CK615">
        <v>22</v>
      </c>
      <c r="CL615" t="s">
        <v>90</v>
      </c>
    </row>
    <row r="616" spans="1:90" x14ac:dyDescent="0.3">
      <c r="A616" t="s">
        <v>72</v>
      </c>
      <c r="B616" t="s">
        <v>73</v>
      </c>
      <c r="C616" t="s">
        <v>74</v>
      </c>
      <c r="E616" t="str">
        <f>"080067058615"</f>
        <v>080067058615</v>
      </c>
      <c r="F616" s="3">
        <v>45875</v>
      </c>
      <c r="G616">
        <v>202605</v>
      </c>
      <c r="H616" t="s">
        <v>75</v>
      </c>
      <c r="I616" t="s">
        <v>76</v>
      </c>
      <c r="J616" t="s">
        <v>77</v>
      </c>
      <c r="K616" t="s">
        <v>78</v>
      </c>
      <c r="L616" t="s">
        <v>198</v>
      </c>
      <c r="M616" t="s">
        <v>199</v>
      </c>
      <c r="N616" t="s">
        <v>598</v>
      </c>
      <c r="O616" t="s">
        <v>82</v>
      </c>
      <c r="P616" t="str">
        <f>"4170052808                    "</f>
        <v xml:space="preserve">4170052808           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98.05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1</v>
      </c>
      <c r="BI616">
        <v>8</v>
      </c>
      <c r="BJ616">
        <v>8.1</v>
      </c>
      <c r="BK616">
        <v>8.5</v>
      </c>
      <c r="BL616">
        <v>304.47000000000003</v>
      </c>
      <c r="BM616">
        <v>45.67</v>
      </c>
      <c r="BN616">
        <v>350.14</v>
      </c>
      <c r="BO616">
        <v>350.14</v>
      </c>
      <c r="BQ616" t="s">
        <v>599</v>
      </c>
      <c r="BR616" t="s">
        <v>84</v>
      </c>
      <c r="BS616" s="3">
        <v>45876</v>
      </c>
      <c r="BT616" s="4">
        <v>0.36736111111111114</v>
      </c>
      <c r="BU616" t="s">
        <v>600</v>
      </c>
      <c r="BV616" t="s">
        <v>86</v>
      </c>
      <c r="BY616">
        <v>40432</v>
      </c>
      <c r="CA616" t="s">
        <v>601</v>
      </c>
      <c r="CC616" t="s">
        <v>199</v>
      </c>
      <c r="CD616">
        <v>6001</v>
      </c>
      <c r="CE616" t="s">
        <v>117</v>
      </c>
      <c r="CF616" s="3">
        <v>45876</v>
      </c>
      <c r="CI616">
        <v>1</v>
      </c>
      <c r="CJ616">
        <v>1</v>
      </c>
      <c r="CK616">
        <v>21</v>
      </c>
      <c r="CL616" t="s">
        <v>90</v>
      </c>
    </row>
    <row r="617" spans="1:90" x14ac:dyDescent="0.3">
      <c r="A617" t="s">
        <v>72</v>
      </c>
      <c r="B617" t="s">
        <v>73</v>
      </c>
      <c r="C617" t="s">
        <v>74</v>
      </c>
      <c r="E617" t="str">
        <f>"080067058650"</f>
        <v>080067058650</v>
      </c>
      <c r="F617" s="3">
        <v>45875</v>
      </c>
      <c r="G617">
        <v>202605</v>
      </c>
      <c r="H617" t="s">
        <v>75</v>
      </c>
      <c r="I617" t="s">
        <v>76</v>
      </c>
      <c r="J617" t="s">
        <v>77</v>
      </c>
      <c r="K617" t="s">
        <v>78</v>
      </c>
      <c r="L617" t="s">
        <v>75</v>
      </c>
      <c r="M617" t="s">
        <v>76</v>
      </c>
      <c r="N617" t="s">
        <v>1379</v>
      </c>
      <c r="O617" t="s">
        <v>82</v>
      </c>
      <c r="P617" t="str">
        <f>"4170053260                    "</f>
        <v xml:space="preserve">4170053260           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18.03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1</v>
      </c>
      <c r="BJ617">
        <v>0.2</v>
      </c>
      <c r="BK617">
        <v>1</v>
      </c>
      <c r="BL617">
        <v>55.99</v>
      </c>
      <c r="BM617">
        <v>8.4</v>
      </c>
      <c r="BN617">
        <v>64.39</v>
      </c>
      <c r="BO617">
        <v>64.39</v>
      </c>
      <c r="BQ617" t="s">
        <v>1380</v>
      </c>
      <c r="BR617" t="s">
        <v>84</v>
      </c>
      <c r="BS617" s="3">
        <v>45876</v>
      </c>
      <c r="BT617" s="4">
        <v>0.29791666666666666</v>
      </c>
      <c r="BU617" t="s">
        <v>1381</v>
      </c>
      <c r="BV617" t="s">
        <v>86</v>
      </c>
      <c r="BY617">
        <v>1200</v>
      </c>
      <c r="CA617" t="s">
        <v>155</v>
      </c>
      <c r="CC617" t="s">
        <v>76</v>
      </c>
      <c r="CD617">
        <v>1600</v>
      </c>
      <c r="CE617" t="s">
        <v>109</v>
      </c>
      <c r="CF617" s="3">
        <v>45876</v>
      </c>
      <c r="CI617">
        <v>1</v>
      </c>
      <c r="CJ617">
        <v>1</v>
      </c>
      <c r="CK617">
        <v>22</v>
      </c>
      <c r="CL617" t="s">
        <v>90</v>
      </c>
    </row>
    <row r="618" spans="1:90" x14ac:dyDescent="0.3">
      <c r="A618" t="s">
        <v>72</v>
      </c>
      <c r="B618" t="s">
        <v>73</v>
      </c>
      <c r="C618" t="s">
        <v>74</v>
      </c>
      <c r="E618" t="str">
        <f>"080067058701"</f>
        <v>080067058701</v>
      </c>
      <c r="F618" s="3">
        <v>45875</v>
      </c>
      <c r="G618">
        <v>202605</v>
      </c>
      <c r="H618" t="s">
        <v>75</v>
      </c>
      <c r="I618" t="s">
        <v>76</v>
      </c>
      <c r="J618" t="s">
        <v>77</v>
      </c>
      <c r="K618" t="s">
        <v>78</v>
      </c>
      <c r="L618" t="s">
        <v>223</v>
      </c>
      <c r="M618" t="s">
        <v>224</v>
      </c>
      <c r="N618" t="s">
        <v>939</v>
      </c>
      <c r="O618" t="s">
        <v>82</v>
      </c>
      <c r="P618" t="str">
        <f>"4170053080                    "</f>
        <v xml:space="preserve">4170053080           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23.09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1</v>
      </c>
      <c r="BJ618">
        <v>1.9</v>
      </c>
      <c r="BK618">
        <v>2</v>
      </c>
      <c r="BL618">
        <v>71.69</v>
      </c>
      <c r="BM618">
        <v>10.75</v>
      </c>
      <c r="BN618">
        <v>82.44</v>
      </c>
      <c r="BO618">
        <v>82.44</v>
      </c>
      <c r="BQ618" t="s">
        <v>940</v>
      </c>
      <c r="BR618" t="s">
        <v>84</v>
      </c>
      <c r="BS618" s="3">
        <v>45876</v>
      </c>
      <c r="BT618" s="4">
        <v>0.61111111111111116</v>
      </c>
      <c r="BU618" t="s">
        <v>295</v>
      </c>
      <c r="BV618" t="s">
        <v>90</v>
      </c>
      <c r="BY618">
        <v>9408</v>
      </c>
      <c r="CA618" t="s">
        <v>228</v>
      </c>
      <c r="CC618" t="s">
        <v>224</v>
      </c>
      <c r="CD618">
        <v>5201</v>
      </c>
      <c r="CE618" t="s">
        <v>117</v>
      </c>
      <c r="CF618" s="3">
        <v>45877</v>
      </c>
      <c r="CI618">
        <v>1</v>
      </c>
      <c r="CJ618">
        <v>1</v>
      </c>
      <c r="CK618">
        <v>21</v>
      </c>
      <c r="CL618" t="s">
        <v>90</v>
      </c>
    </row>
    <row r="619" spans="1:90" x14ac:dyDescent="0.3">
      <c r="A619" t="s">
        <v>72</v>
      </c>
      <c r="B619" t="s">
        <v>73</v>
      </c>
      <c r="C619" t="s">
        <v>74</v>
      </c>
      <c r="E619" t="str">
        <f>"080067058700"</f>
        <v>080067058700</v>
      </c>
      <c r="F619" s="3">
        <v>45875</v>
      </c>
      <c r="G619">
        <v>202605</v>
      </c>
      <c r="H619" t="s">
        <v>75</v>
      </c>
      <c r="I619" t="s">
        <v>76</v>
      </c>
      <c r="J619" t="s">
        <v>77</v>
      </c>
      <c r="K619" t="s">
        <v>78</v>
      </c>
      <c r="L619" t="s">
        <v>241</v>
      </c>
      <c r="M619" t="s">
        <v>242</v>
      </c>
      <c r="N619" t="s">
        <v>1382</v>
      </c>
      <c r="O619" t="s">
        <v>82</v>
      </c>
      <c r="P619" t="str">
        <f>"4170053159                    "</f>
        <v xml:space="preserve">4170053159           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18.03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1</v>
      </c>
      <c r="BI619">
        <v>1</v>
      </c>
      <c r="BJ619">
        <v>0.2</v>
      </c>
      <c r="BK619">
        <v>1</v>
      </c>
      <c r="BL619">
        <v>55.99</v>
      </c>
      <c r="BM619">
        <v>8.4</v>
      </c>
      <c r="BN619">
        <v>64.39</v>
      </c>
      <c r="BO619">
        <v>64.39</v>
      </c>
      <c r="BQ619" t="s">
        <v>1383</v>
      </c>
      <c r="BR619" t="s">
        <v>84</v>
      </c>
      <c r="BS619" s="3">
        <v>45876</v>
      </c>
      <c r="BT619" s="4">
        <v>0.3576388888888889</v>
      </c>
      <c r="BU619" t="s">
        <v>1384</v>
      </c>
      <c r="BV619" t="s">
        <v>86</v>
      </c>
      <c r="BY619">
        <v>1200</v>
      </c>
      <c r="CA619" t="s">
        <v>720</v>
      </c>
      <c r="CC619" t="s">
        <v>242</v>
      </c>
      <c r="CD619">
        <v>1459</v>
      </c>
      <c r="CE619" t="s">
        <v>109</v>
      </c>
      <c r="CF619" s="3">
        <v>45876</v>
      </c>
      <c r="CI619">
        <v>1</v>
      </c>
      <c r="CJ619">
        <v>1</v>
      </c>
      <c r="CK619">
        <v>22</v>
      </c>
      <c r="CL619" t="s">
        <v>90</v>
      </c>
    </row>
    <row r="620" spans="1:90" x14ac:dyDescent="0.3">
      <c r="A620" t="s">
        <v>72</v>
      </c>
      <c r="B620" t="s">
        <v>73</v>
      </c>
      <c r="C620" t="s">
        <v>74</v>
      </c>
      <c r="E620" t="str">
        <f>"080067058817"</f>
        <v>080067058817</v>
      </c>
      <c r="F620" s="3">
        <v>45875</v>
      </c>
      <c r="G620">
        <v>202605</v>
      </c>
      <c r="H620" t="s">
        <v>75</v>
      </c>
      <c r="I620" t="s">
        <v>76</v>
      </c>
      <c r="J620" t="s">
        <v>77</v>
      </c>
      <c r="K620" t="s">
        <v>78</v>
      </c>
      <c r="L620" t="s">
        <v>198</v>
      </c>
      <c r="M620" t="s">
        <v>199</v>
      </c>
      <c r="N620" t="s">
        <v>680</v>
      </c>
      <c r="O620" t="s">
        <v>82</v>
      </c>
      <c r="P620" t="str">
        <f>"4170053061                    "</f>
        <v xml:space="preserve">4170053061           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23.09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1</v>
      </c>
      <c r="BJ620">
        <v>0.2</v>
      </c>
      <c r="BK620">
        <v>1</v>
      </c>
      <c r="BL620">
        <v>71.69</v>
      </c>
      <c r="BM620">
        <v>10.75</v>
      </c>
      <c r="BN620">
        <v>82.44</v>
      </c>
      <c r="BO620">
        <v>82.44</v>
      </c>
      <c r="BQ620" t="s">
        <v>681</v>
      </c>
      <c r="BR620" t="s">
        <v>84</v>
      </c>
      <c r="BS620" s="3">
        <v>45876</v>
      </c>
      <c r="BT620" s="4">
        <v>0.64444444444444449</v>
      </c>
      <c r="BU620" t="s">
        <v>1385</v>
      </c>
      <c r="BV620" t="s">
        <v>90</v>
      </c>
      <c r="BW620" t="s">
        <v>134</v>
      </c>
      <c r="BX620" t="s">
        <v>747</v>
      </c>
      <c r="BY620">
        <v>1200</v>
      </c>
      <c r="CA620" t="s">
        <v>413</v>
      </c>
      <c r="CC620" t="s">
        <v>199</v>
      </c>
      <c r="CD620">
        <v>6001</v>
      </c>
      <c r="CE620" t="s">
        <v>109</v>
      </c>
      <c r="CF620" s="3">
        <v>45876</v>
      </c>
      <c r="CI620">
        <v>1</v>
      </c>
      <c r="CJ620">
        <v>1</v>
      </c>
      <c r="CK620">
        <v>21</v>
      </c>
      <c r="CL620" t="s">
        <v>90</v>
      </c>
    </row>
    <row r="621" spans="1:90" x14ac:dyDescent="0.3">
      <c r="A621" t="s">
        <v>72</v>
      </c>
      <c r="B621" t="s">
        <v>73</v>
      </c>
      <c r="C621" t="s">
        <v>74</v>
      </c>
      <c r="E621" t="str">
        <f>"080067058831"</f>
        <v>080067058831</v>
      </c>
      <c r="F621" s="3">
        <v>45875</v>
      </c>
      <c r="G621">
        <v>202605</v>
      </c>
      <c r="H621" t="s">
        <v>75</v>
      </c>
      <c r="I621" t="s">
        <v>76</v>
      </c>
      <c r="J621" t="s">
        <v>77</v>
      </c>
      <c r="K621" t="s">
        <v>78</v>
      </c>
      <c r="L621" t="s">
        <v>162</v>
      </c>
      <c r="M621" t="s">
        <v>163</v>
      </c>
      <c r="N621" t="s">
        <v>164</v>
      </c>
      <c r="O621" t="s">
        <v>82</v>
      </c>
      <c r="P621" t="str">
        <f>"4170053240                    "</f>
        <v xml:space="preserve">4170053240           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115.35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10</v>
      </c>
      <c r="BJ621">
        <v>8.9</v>
      </c>
      <c r="BK621">
        <v>10</v>
      </c>
      <c r="BL621">
        <v>358.19</v>
      </c>
      <c r="BM621">
        <v>53.73</v>
      </c>
      <c r="BN621">
        <v>411.92</v>
      </c>
      <c r="BO621">
        <v>411.92</v>
      </c>
      <c r="BQ621" t="s">
        <v>165</v>
      </c>
      <c r="BR621" t="s">
        <v>84</v>
      </c>
      <c r="BS621" s="3">
        <v>45877</v>
      </c>
      <c r="BT621" s="4">
        <v>0.41666666666666669</v>
      </c>
      <c r="BU621" t="s">
        <v>1378</v>
      </c>
      <c r="BV621" t="s">
        <v>86</v>
      </c>
      <c r="BY621">
        <v>44640</v>
      </c>
      <c r="CC621" t="s">
        <v>163</v>
      </c>
      <c r="CD621">
        <v>3212</v>
      </c>
      <c r="CE621" t="s">
        <v>147</v>
      </c>
      <c r="CF621" s="3">
        <v>45877</v>
      </c>
      <c r="CI621">
        <v>2</v>
      </c>
      <c r="CJ621">
        <v>2</v>
      </c>
      <c r="CK621">
        <v>21</v>
      </c>
      <c r="CL621" t="s">
        <v>90</v>
      </c>
    </row>
    <row r="622" spans="1:90" x14ac:dyDescent="0.3">
      <c r="A622" t="s">
        <v>72</v>
      </c>
      <c r="B622" t="s">
        <v>73</v>
      </c>
      <c r="C622" t="s">
        <v>74</v>
      </c>
      <c r="E622" t="str">
        <f>"080067058931"</f>
        <v>080067058931</v>
      </c>
      <c r="F622" s="3">
        <v>45875</v>
      </c>
      <c r="G622">
        <v>202605</v>
      </c>
      <c r="H622" t="s">
        <v>75</v>
      </c>
      <c r="I622" t="s">
        <v>76</v>
      </c>
      <c r="J622" t="s">
        <v>77</v>
      </c>
      <c r="K622" t="s">
        <v>78</v>
      </c>
      <c r="L622" t="s">
        <v>325</v>
      </c>
      <c r="M622" t="s">
        <v>326</v>
      </c>
      <c r="N622" t="s">
        <v>616</v>
      </c>
      <c r="O622" t="s">
        <v>82</v>
      </c>
      <c r="P622" t="str">
        <f>"4170053284                    "</f>
        <v xml:space="preserve">4170053284           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18.03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1</v>
      </c>
      <c r="BI622">
        <v>1</v>
      </c>
      <c r="BJ622">
        <v>0.2</v>
      </c>
      <c r="BK622">
        <v>1</v>
      </c>
      <c r="BL622">
        <v>55.99</v>
      </c>
      <c r="BM622">
        <v>8.4</v>
      </c>
      <c r="BN622">
        <v>64.39</v>
      </c>
      <c r="BO622">
        <v>64.39</v>
      </c>
      <c r="BQ622" t="s">
        <v>617</v>
      </c>
      <c r="BR622" t="s">
        <v>84</v>
      </c>
      <c r="BS622" s="3">
        <v>45876</v>
      </c>
      <c r="BT622" s="4">
        <v>0.39583333333333331</v>
      </c>
      <c r="BU622" t="s">
        <v>1386</v>
      </c>
      <c r="BV622" t="s">
        <v>86</v>
      </c>
      <c r="BY622">
        <v>1200</v>
      </c>
      <c r="CA622" t="s">
        <v>619</v>
      </c>
      <c r="CC622" t="s">
        <v>326</v>
      </c>
      <c r="CD622">
        <v>2169</v>
      </c>
      <c r="CE622" t="s">
        <v>109</v>
      </c>
      <c r="CF622" s="3">
        <v>45877</v>
      </c>
      <c r="CI622">
        <v>1</v>
      </c>
      <c r="CJ622">
        <v>1</v>
      </c>
      <c r="CK622">
        <v>22</v>
      </c>
      <c r="CL622" t="s">
        <v>90</v>
      </c>
    </row>
    <row r="623" spans="1:90" x14ac:dyDescent="0.3">
      <c r="A623" t="s">
        <v>72</v>
      </c>
      <c r="B623" t="s">
        <v>73</v>
      </c>
      <c r="C623" t="s">
        <v>74</v>
      </c>
      <c r="E623" t="str">
        <f>"080067058952"</f>
        <v>080067058952</v>
      </c>
      <c r="F623" s="3">
        <v>45875</v>
      </c>
      <c r="G623">
        <v>202605</v>
      </c>
      <c r="H623" t="s">
        <v>75</v>
      </c>
      <c r="I623" t="s">
        <v>76</v>
      </c>
      <c r="J623" t="s">
        <v>77</v>
      </c>
      <c r="K623" t="s">
        <v>78</v>
      </c>
      <c r="L623" t="s">
        <v>123</v>
      </c>
      <c r="M623" t="s">
        <v>124</v>
      </c>
      <c r="N623" t="s">
        <v>1387</v>
      </c>
      <c r="O623" t="s">
        <v>82</v>
      </c>
      <c r="P623" t="str">
        <f>"4170053288                    "</f>
        <v xml:space="preserve">4170053288                    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34.619999999999997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1</v>
      </c>
      <c r="BI623">
        <v>3</v>
      </c>
      <c r="BJ623">
        <v>1.4</v>
      </c>
      <c r="BK623">
        <v>3</v>
      </c>
      <c r="BL623">
        <v>107.5</v>
      </c>
      <c r="BM623">
        <v>16.13</v>
      </c>
      <c r="BN623">
        <v>123.63</v>
      </c>
      <c r="BO623">
        <v>123.63</v>
      </c>
      <c r="BQ623" t="s">
        <v>1388</v>
      </c>
      <c r="BR623" t="s">
        <v>84</v>
      </c>
      <c r="BS623" s="3">
        <v>45877</v>
      </c>
      <c r="BT623" s="4">
        <v>0.43541666666666667</v>
      </c>
      <c r="BU623" t="s">
        <v>1389</v>
      </c>
      <c r="BV623" t="s">
        <v>90</v>
      </c>
      <c r="BW623" t="s">
        <v>773</v>
      </c>
      <c r="BX623" t="s">
        <v>1234</v>
      </c>
      <c r="BY623">
        <v>7000</v>
      </c>
      <c r="CC623" t="s">
        <v>124</v>
      </c>
      <c r="CD623">
        <v>7490</v>
      </c>
      <c r="CE623" t="s">
        <v>147</v>
      </c>
      <c r="CF623" s="3">
        <v>45880</v>
      </c>
      <c r="CI623">
        <v>1</v>
      </c>
      <c r="CJ623">
        <v>2</v>
      </c>
      <c r="CK623">
        <v>21</v>
      </c>
      <c r="CL623" t="s">
        <v>90</v>
      </c>
    </row>
    <row r="624" spans="1:90" x14ac:dyDescent="0.3">
      <c r="A624" t="s">
        <v>72</v>
      </c>
      <c r="B624" t="s">
        <v>73</v>
      </c>
      <c r="C624" t="s">
        <v>74</v>
      </c>
      <c r="E624" t="str">
        <f>"080067058988"</f>
        <v>080067058988</v>
      </c>
      <c r="F624" s="3">
        <v>45875</v>
      </c>
      <c r="G624">
        <v>202605</v>
      </c>
      <c r="H624" t="s">
        <v>75</v>
      </c>
      <c r="I624" t="s">
        <v>76</v>
      </c>
      <c r="J624" t="s">
        <v>77</v>
      </c>
      <c r="K624" t="s">
        <v>78</v>
      </c>
      <c r="L624" t="s">
        <v>123</v>
      </c>
      <c r="M624" t="s">
        <v>124</v>
      </c>
      <c r="N624" t="s">
        <v>1173</v>
      </c>
      <c r="O624" t="s">
        <v>82</v>
      </c>
      <c r="P624" t="str">
        <f>"4170053276                    "</f>
        <v xml:space="preserve">4170053276           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23.09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1</v>
      </c>
      <c r="BI624">
        <v>1</v>
      </c>
      <c r="BJ624">
        <v>0.2</v>
      </c>
      <c r="BK624">
        <v>1</v>
      </c>
      <c r="BL624">
        <v>71.69</v>
      </c>
      <c r="BM624">
        <v>10.75</v>
      </c>
      <c r="BN624">
        <v>82.44</v>
      </c>
      <c r="BO624">
        <v>82.44</v>
      </c>
      <c r="BQ624" t="s">
        <v>1174</v>
      </c>
      <c r="BR624" t="s">
        <v>84</v>
      </c>
      <c r="BS624" s="3">
        <v>45877</v>
      </c>
      <c r="BT624" s="4">
        <v>0.42152777777777778</v>
      </c>
      <c r="BU624" t="s">
        <v>1390</v>
      </c>
      <c r="BV624" t="s">
        <v>90</v>
      </c>
      <c r="BW624" t="s">
        <v>773</v>
      </c>
      <c r="BX624" t="s">
        <v>381</v>
      </c>
      <c r="BY624">
        <v>1200</v>
      </c>
      <c r="CC624" t="s">
        <v>124</v>
      </c>
      <c r="CD624">
        <v>7405</v>
      </c>
      <c r="CE624" t="s">
        <v>109</v>
      </c>
      <c r="CF624" s="3">
        <v>45880</v>
      </c>
      <c r="CI624">
        <v>1</v>
      </c>
      <c r="CJ624">
        <v>2</v>
      </c>
      <c r="CK624">
        <v>21</v>
      </c>
      <c r="CL624" t="s">
        <v>90</v>
      </c>
    </row>
    <row r="625" spans="1:90" x14ac:dyDescent="0.3">
      <c r="A625" t="s">
        <v>72</v>
      </c>
      <c r="B625" t="s">
        <v>73</v>
      </c>
      <c r="C625" t="s">
        <v>74</v>
      </c>
      <c r="E625" t="str">
        <f>"080067059004"</f>
        <v>080067059004</v>
      </c>
      <c r="F625" s="3">
        <v>45875</v>
      </c>
      <c r="G625">
        <v>202605</v>
      </c>
      <c r="H625" t="s">
        <v>75</v>
      </c>
      <c r="I625" t="s">
        <v>76</v>
      </c>
      <c r="J625" t="s">
        <v>77</v>
      </c>
      <c r="K625" t="s">
        <v>78</v>
      </c>
      <c r="L625" t="s">
        <v>198</v>
      </c>
      <c r="M625" t="s">
        <v>199</v>
      </c>
      <c r="N625" t="s">
        <v>430</v>
      </c>
      <c r="O625" t="s">
        <v>82</v>
      </c>
      <c r="P625" t="str">
        <f>"4170053113                    "</f>
        <v xml:space="preserve">4170053113         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34.619999999999997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1</v>
      </c>
      <c r="BI625">
        <v>3</v>
      </c>
      <c r="BJ625">
        <v>1.4</v>
      </c>
      <c r="BK625">
        <v>3</v>
      </c>
      <c r="BL625">
        <v>107.5</v>
      </c>
      <c r="BM625">
        <v>16.13</v>
      </c>
      <c r="BN625">
        <v>123.63</v>
      </c>
      <c r="BO625">
        <v>123.63</v>
      </c>
      <c r="BQ625" t="s">
        <v>431</v>
      </c>
      <c r="BR625" t="s">
        <v>84</v>
      </c>
      <c r="BS625" s="3">
        <v>45876</v>
      </c>
      <c r="BT625" s="4">
        <v>0.52083333333333337</v>
      </c>
      <c r="BU625" t="s">
        <v>1391</v>
      </c>
      <c r="BV625" t="s">
        <v>90</v>
      </c>
      <c r="BW625" t="s">
        <v>364</v>
      </c>
      <c r="BX625" t="s">
        <v>965</v>
      </c>
      <c r="BY625">
        <v>7000</v>
      </c>
      <c r="BZ625" t="s">
        <v>330</v>
      </c>
      <c r="CC625" t="s">
        <v>199</v>
      </c>
      <c r="CD625">
        <v>6001</v>
      </c>
      <c r="CE625" t="s">
        <v>89</v>
      </c>
      <c r="CF625" s="3">
        <v>45876</v>
      </c>
      <c r="CI625">
        <v>1</v>
      </c>
      <c r="CJ625">
        <v>1</v>
      </c>
      <c r="CK625">
        <v>21</v>
      </c>
      <c r="CL625" t="s">
        <v>90</v>
      </c>
    </row>
    <row r="626" spans="1:90" x14ac:dyDescent="0.3">
      <c r="A626" t="s">
        <v>72</v>
      </c>
      <c r="B626" t="s">
        <v>73</v>
      </c>
      <c r="C626" t="s">
        <v>74</v>
      </c>
      <c r="E626" t="str">
        <f>"080067059022"</f>
        <v>080067059022</v>
      </c>
      <c r="F626" s="3">
        <v>45875</v>
      </c>
      <c r="G626">
        <v>202605</v>
      </c>
      <c r="H626" t="s">
        <v>75</v>
      </c>
      <c r="I626" t="s">
        <v>76</v>
      </c>
      <c r="J626" t="s">
        <v>77</v>
      </c>
      <c r="K626" t="s">
        <v>78</v>
      </c>
      <c r="L626" t="s">
        <v>198</v>
      </c>
      <c r="M626" t="s">
        <v>199</v>
      </c>
      <c r="N626" t="s">
        <v>920</v>
      </c>
      <c r="O626" t="s">
        <v>82</v>
      </c>
      <c r="P626" t="str">
        <f>"4170053057                    "</f>
        <v xml:space="preserve">4170053057                    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23.09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1</v>
      </c>
      <c r="BI626">
        <v>1</v>
      </c>
      <c r="BJ626">
        <v>0.2</v>
      </c>
      <c r="BK626">
        <v>1</v>
      </c>
      <c r="BL626">
        <v>71.69</v>
      </c>
      <c r="BM626">
        <v>10.75</v>
      </c>
      <c r="BN626">
        <v>82.44</v>
      </c>
      <c r="BO626">
        <v>82.44</v>
      </c>
      <c r="BQ626" t="s">
        <v>921</v>
      </c>
      <c r="BR626" t="s">
        <v>84</v>
      </c>
      <c r="BS626" s="3">
        <v>45876</v>
      </c>
      <c r="BT626" s="4">
        <v>0.63402777777777775</v>
      </c>
      <c r="BU626" t="s">
        <v>1392</v>
      </c>
      <c r="BV626" t="s">
        <v>90</v>
      </c>
      <c r="BW626" t="s">
        <v>134</v>
      </c>
      <c r="BX626" t="s">
        <v>747</v>
      </c>
      <c r="BY626">
        <v>1200</v>
      </c>
      <c r="CA626" t="s">
        <v>413</v>
      </c>
      <c r="CC626" t="s">
        <v>199</v>
      </c>
      <c r="CD626">
        <v>6056</v>
      </c>
      <c r="CE626" t="s">
        <v>109</v>
      </c>
      <c r="CF626" s="3">
        <v>45876</v>
      </c>
      <c r="CI626">
        <v>1</v>
      </c>
      <c r="CJ626">
        <v>1</v>
      </c>
      <c r="CK626">
        <v>21</v>
      </c>
      <c r="CL626" t="s">
        <v>90</v>
      </c>
    </row>
    <row r="627" spans="1:90" x14ac:dyDescent="0.3">
      <c r="A627" t="s">
        <v>72</v>
      </c>
      <c r="B627" t="s">
        <v>73</v>
      </c>
      <c r="C627" t="s">
        <v>74</v>
      </c>
      <c r="E627" t="str">
        <f>"080067059042"</f>
        <v>080067059042</v>
      </c>
      <c r="F627" s="3">
        <v>45875</v>
      </c>
      <c r="G627">
        <v>202605</v>
      </c>
      <c r="H627" t="s">
        <v>75</v>
      </c>
      <c r="I627" t="s">
        <v>76</v>
      </c>
      <c r="J627" t="s">
        <v>77</v>
      </c>
      <c r="K627" t="s">
        <v>78</v>
      </c>
      <c r="L627" t="s">
        <v>162</v>
      </c>
      <c r="M627" t="s">
        <v>163</v>
      </c>
      <c r="N627" t="s">
        <v>246</v>
      </c>
      <c r="O627" t="s">
        <v>82</v>
      </c>
      <c r="P627" t="str">
        <f>"4170053049                    "</f>
        <v xml:space="preserve">4170053049                    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34.619999999999997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1</v>
      </c>
      <c r="BI627">
        <v>3</v>
      </c>
      <c r="BJ627">
        <v>1.4</v>
      </c>
      <c r="BK627">
        <v>3</v>
      </c>
      <c r="BL627">
        <v>107.5</v>
      </c>
      <c r="BM627">
        <v>16.13</v>
      </c>
      <c r="BN627">
        <v>123.63</v>
      </c>
      <c r="BO627">
        <v>123.63</v>
      </c>
      <c r="BQ627" t="s">
        <v>247</v>
      </c>
      <c r="BR627" t="s">
        <v>84</v>
      </c>
      <c r="BS627" s="3">
        <v>45877</v>
      </c>
      <c r="BT627" s="4">
        <v>0.41666666666666669</v>
      </c>
      <c r="BU627" t="s">
        <v>485</v>
      </c>
      <c r="BV627" t="s">
        <v>90</v>
      </c>
      <c r="BY627">
        <v>7000</v>
      </c>
      <c r="CC627" t="s">
        <v>163</v>
      </c>
      <c r="CD627">
        <v>3201</v>
      </c>
      <c r="CE627" t="s">
        <v>147</v>
      </c>
      <c r="CF627" s="3">
        <v>45880</v>
      </c>
      <c r="CI627">
        <v>1</v>
      </c>
      <c r="CJ627">
        <v>2</v>
      </c>
      <c r="CK627">
        <v>21</v>
      </c>
      <c r="CL627" t="s">
        <v>90</v>
      </c>
    </row>
    <row r="628" spans="1:90" x14ac:dyDescent="0.3">
      <c r="A628" t="s">
        <v>72</v>
      </c>
      <c r="B628" t="s">
        <v>73</v>
      </c>
      <c r="C628" t="s">
        <v>74</v>
      </c>
      <c r="E628" t="str">
        <f>"080067059052"</f>
        <v>080067059052</v>
      </c>
      <c r="F628" s="3">
        <v>45875</v>
      </c>
      <c r="G628">
        <v>202605</v>
      </c>
      <c r="H628" t="s">
        <v>75</v>
      </c>
      <c r="I628" t="s">
        <v>76</v>
      </c>
      <c r="J628" t="s">
        <v>77</v>
      </c>
      <c r="K628" t="s">
        <v>78</v>
      </c>
      <c r="L628" t="s">
        <v>118</v>
      </c>
      <c r="M628" t="s">
        <v>118</v>
      </c>
      <c r="N628" t="s">
        <v>833</v>
      </c>
      <c r="O628" t="s">
        <v>82</v>
      </c>
      <c r="P628" t="str">
        <f>"4170053035                    "</f>
        <v xml:space="preserve">4170053035                    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44.73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1</v>
      </c>
      <c r="BI628">
        <v>1</v>
      </c>
      <c r="BJ628">
        <v>0.2</v>
      </c>
      <c r="BK628">
        <v>1</v>
      </c>
      <c r="BL628">
        <v>138.88999999999999</v>
      </c>
      <c r="BM628">
        <v>20.83</v>
      </c>
      <c r="BN628">
        <v>159.72</v>
      </c>
      <c r="BO628">
        <v>159.72</v>
      </c>
      <c r="BQ628" t="s">
        <v>834</v>
      </c>
      <c r="BR628" t="s">
        <v>84</v>
      </c>
      <c r="BS628" s="3">
        <v>45877</v>
      </c>
      <c r="BT628" s="4">
        <v>0.63402777777777775</v>
      </c>
      <c r="BU628" t="s">
        <v>1393</v>
      </c>
      <c r="BV628" t="s">
        <v>90</v>
      </c>
      <c r="BW628" t="s">
        <v>1167</v>
      </c>
      <c r="BX628" t="s">
        <v>1324</v>
      </c>
      <c r="BY628">
        <v>1200</v>
      </c>
      <c r="CA628" t="s">
        <v>122</v>
      </c>
      <c r="CC628" t="s">
        <v>118</v>
      </c>
      <c r="CD628">
        <v>7646</v>
      </c>
      <c r="CE628" t="s">
        <v>109</v>
      </c>
      <c r="CF628" s="3">
        <v>45880</v>
      </c>
      <c r="CI628">
        <v>1</v>
      </c>
      <c r="CJ628">
        <v>2</v>
      </c>
      <c r="CK628">
        <v>23</v>
      </c>
      <c r="CL628" t="s">
        <v>90</v>
      </c>
    </row>
    <row r="629" spans="1:90" x14ac:dyDescent="0.3">
      <c r="A629" t="s">
        <v>72</v>
      </c>
      <c r="B629" t="s">
        <v>73</v>
      </c>
      <c r="C629" t="s">
        <v>74</v>
      </c>
      <c r="E629" t="str">
        <f>"080067059082"</f>
        <v>080067059082</v>
      </c>
      <c r="F629" s="3">
        <v>45875</v>
      </c>
      <c r="G629">
        <v>202605</v>
      </c>
      <c r="H629" t="s">
        <v>75</v>
      </c>
      <c r="I629" t="s">
        <v>76</v>
      </c>
      <c r="J629" t="s">
        <v>77</v>
      </c>
      <c r="K629" t="s">
        <v>78</v>
      </c>
      <c r="L629" t="s">
        <v>241</v>
      </c>
      <c r="M629" t="s">
        <v>242</v>
      </c>
      <c r="N629" t="s">
        <v>717</v>
      </c>
      <c r="O629" t="s">
        <v>113</v>
      </c>
      <c r="P629" t="str">
        <f>"4170053275                    "</f>
        <v xml:space="preserve">4170053275                    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18.04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1</v>
      </c>
      <c r="BI629">
        <v>4</v>
      </c>
      <c r="BJ629">
        <v>1.7</v>
      </c>
      <c r="BK629">
        <v>4</v>
      </c>
      <c r="BL629">
        <v>56.01</v>
      </c>
      <c r="BM629">
        <v>8.4</v>
      </c>
      <c r="BN629">
        <v>64.41</v>
      </c>
      <c r="BO629">
        <v>64.41</v>
      </c>
      <c r="BQ629" t="s">
        <v>718</v>
      </c>
      <c r="BR629" t="s">
        <v>84</v>
      </c>
      <c r="BS629" s="3">
        <v>45876</v>
      </c>
      <c r="BT629" s="4">
        <v>0.5083333333333333</v>
      </c>
      <c r="BU629" t="s">
        <v>719</v>
      </c>
      <c r="BV629" t="s">
        <v>86</v>
      </c>
      <c r="BY629">
        <v>8512</v>
      </c>
      <c r="CA629" t="s">
        <v>720</v>
      </c>
      <c r="CC629" t="s">
        <v>242</v>
      </c>
      <c r="CD629">
        <v>1459</v>
      </c>
      <c r="CE629" t="s">
        <v>147</v>
      </c>
      <c r="CF629" s="3">
        <v>45876</v>
      </c>
      <c r="CI629">
        <v>1</v>
      </c>
      <c r="CJ629">
        <v>1</v>
      </c>
      <c r="CK629">
        <v>32</v>
      </c>
      <c r="CL629" t="s">
        <v>90</v>
      </c>
    </row>
    <row r="630" spans="1:90" x14ac:dyDescent="0.3">
      <c r="A630" t="s">
        <v>72</v>
      </c>
      <c r="B630" t="s">
        <v>73</v>
      </c>
      <c r="C630" t="s">
        <v>74</v>
      </c>
      <c r="E630" t="str">
        <f>"080067059185"</f>
        <v>080067059185</v>
      </c>
      <c r="F630" s="3">
        <v>45875</v>
      </c>
      <c r="G630">
        <v>202605</v>
      </c>
      <c r="H630" t="s">
        <v>75</v>
      </c>
      <c r="I630" t="s">
        <v>76</v>
      </c>
      <c r="J630" t="s">
        <v>77</v>
      </c>
      <c r="K630" t="s">
        <v>78</v>
      </c>
      <c r="L630" t="s">
        <v>123</v>
      </c>
      <c r="M630" t="s">
        <v>124</v>
      </c>
      <c r="N630" t="s">
        <v>406</v>
      </c>
      <c r="O630" t="s">
        <v>82</v>
      </c>
      <c r="P630" t="str">
        <f>"4170053058                    "</f>
        <v xml:space="preserve">4170053058                    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23.09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1</v>
      </c>
      <c r="BI630">
        <v>1</v>
      </c>
      <c r="BJ630">
        <v>0.2</v>
      </c>
      <c r="BK630">
        <v>1</v>
      </c>
      <c r="BL630">
        <v>71.69</v>
      </c>
      <c r="BM630">
        <v>10.75</v>
      </c>
      <c r="BN630">
        <v>82.44</v>
      </c>
      <c r="BO630">
        <v>82.44</v>
      </c>
      <c r="BQ630" t="s">
        <v>407</v>
      </c>
      <c r="BR630" t="s">
        <v>84</v>
      </c>
      <c r="BS630" s="3">
        <v>45877</v>
      </c>
      <c r="BT630" s="4">
        <v>0.4375</v>
      </c>
      <c r="BU630" t="s">
        <v>408</v>
      </c>
      <c r="BV630" t="s">
        <v>90</v>
      </c>
      <c r="BW630" t="s">
        <v>773</v>
      </c>
      <c r="BX630" t="s">
        <v>381</v>
      </c>
      <c r="BY630">
        <v>1200</v>
      </c>
      <c r="CA630" t="s">
        <v>192</v>
      </c>
      <c r="CC630" t="s">
        <v>124</v>
      </c>
      <c r="CD630">
        <v>7441</v>
      </c>
      <c r="CE630" t="s">
        <v>178</v>
      </c>
      <c r="CF630" s="3">
        <v>45880</v>
      </c>
      <c r="CI630">
        <v>1</v>
      </c>
      <c r="CJ630">
        <v>2</v>
      </c>
      <c r="CK630">
        <v>21</v>
      </c>
      <c r="CL630" t="s">
        <v>90</v>
      </c>
    </row>
    <row r="631" spans="1:90" x14ac:dyDescent="0.3">
      <c r="A631" t="s">
        <v>72</v>
      </c>
      <c r="B631" t="s">
        <v>73</v>
      </c>
      <c r="C631" t="s">
        <v>74</v>
      </c>
      <c r="E631" t="str">
        <f>"080067059202"</f>
        <v>080067059202</v>
      </c>
      <c r="F631" s="3">
        <v>45875</v>
      </c>
      <c r="G631">
        <v>202605</v>
      </c>
      <c r="H631" t="s">
        <v>75</v>
      </c>
      <c r="I631" t="s">
        <v>76</v>
      </c>
      <c r="J631" t="s">
        <v>77</v>
      </c>
      <c r="K631" t="s">
        <v>78</v>
      </c>
      <c r="L631" t="s">
        <v>162</v>
      </c>
      <c r="M631" t="s">
        <v>163</v>
      </c>
      <c r="N631" t="s">
        <v>811</v>
      </c>
      <c r="O631" t="s">
        <v>82</v>
      </c>
      <c r="P631" t="str">
        <f>"4170053150                    "</f>
        <v xml:space="preserve">4170053150                    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23.09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1</v>
      </c>
      <c r="BI631">
        <v>1</v>
      </c>
      <c r="BJ631">
        <v>0.2</v>
      </c>
      <c r="BK631">
        <v>1</v>
      </c>
      <c r="BL631">
        <v>71.69</v>
      </c>
      <c r="BM631">
        <v>10.75</v>
      </c>
      <c r="BN631">
        <v>82.44</v>
      </c>
      <c r="BO631">
        <v>82.44</v>
      </c>
      <c r="BQ631" t="s">
        <v>812</v>
      </c>
      <c r="BR631" t="s">
        <v>84</v>
      </c>
      <c r="BS631" s="3">
        <v>45877</v>
      </c>
      <c r="BT631" s="4">
        <v>0.41666666666666669</v>
      </c>
      <c r="BU631" t="s">
        <v>1377</v>
      </c>
      <c r="BV631" t="s">
        <v>90</v>
      </c>
      <c r="BY631">
        <v>1200</v>
      </c>
      <c r="CA631" t="s">
        <v>814</v>
      </c>
      <c r="CC631" t="s">
        <v>163</v>
      </c>
      <c r="CD631">
        <v>3201</v>
      </c>
      <c r="CE631" t="s">
        <v>178</v>
      </c>
      <c r="CF631" s="3">
        <v>45880</v>
      </c>
      <c r="CI631">
        <v>1</v>
      </c>
      <c r="CJ631">
        <v>2</v>
      </c>
      <c r="CK631">
        <v>21</v>
      </c>
      <c r="CL631" t="s">
        <v>90</v>
      </c>
    </row>
    <row r="632" spans="1:90" x14ac:dyDescent="0.3">
      <c r="A632" t="s">
        <v>72</v>
      </c>
      <c r="B632" t="s">
        <v>73</v>
      </c>
      <c r="C632" t="s">
        <v>74</v>
      </c>
      <c r="E632" t="str">
        <f>"080067059233"</f>
        <v>080067059233</v>
      </c>
      <c r="F632" s="3">
        <v>45875</v>
      </c>
      <c r="G632">
        <v>202605</v>
      </c>
      <c r="H632" t="s">
        <v>75</v>
      </c>
      <c r="I632" t="s">
        <v>76</v>
      </c>
      <c r="J632" t="s">
        <v>77</v>
      </c>
      <c r="K632" t="s">
        <v>78</v>
      </c>
      <c r="L632" t="s">
        <v>123</v>
      </c>
      <c r="M632" t="s">
        <v>124</v>
      </c>
      <c r="N632" t="s">
        <v>534</v>
      </c>
      <c r="O632" t="s">
        <v>82</v>
      </c>
      <c r="P632" t="str">
        <f>"4170053191                    "</f>
        <v xml:space="preserve">4170053191                    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23.09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1</v>
      </c>
      <c r="BI632">
        <v>2</v>
      </c>
      <c r="BJ632">
        <v>1.7</v>
      </c>
      <c r="BK632">
        <v>2</v>
      </c>
      <c r="BL632">
        <v>71.69</v>
      </c>
      <c r="BM632">
        <v>10.75</v>
      </c>
      <c r="BN632">
        <v>82.44</v>
      </c>
      <c r="BO632">
        <v>82.44</v>
      </c>
      <c r="BQ632" t="s">
        <v>535</v>
      </c>
      <c r="BR632" t="s">
        <v>84</v>
      </c>
      <c r="BS632" s="3">
        <v>45877</v>
      </c>
      <c r="BT632" s="4">
        <v>0.4</v>
      </c>
      <c r="BU632" t="s">
        <v>1394</v>
      </c>
      <c r="BV632" t="s">
        <v>90</v>
      </c>
      <c r="BW632" t="s">
        <v>773</v>
      </c>
      <c r="BX632" t="s">
        <v>843</v>
      </c>
      <c r="BY632">
        <v>8550</v>
      </c>
      <c r="CA632" t="s">
        <v>1238</v>
      </c>
      <c r="CC632" t="s">
        <v>124</v>
      </c>
      <c r="CD632">
        <v>7480</v>
      </c>
      <c r="CE632" t="s">
        <v>178</v>
      </c>
      <c r="CF632" s="3">
        <v>45880</v>
      </c>
      <c r="CI632">
        <v>1</v>
      </c>
      <c r="CJ632">
        <v>2</v>
      </c>
      <c r="CK632">
        <v>21</v>
      </c>
      <c r="CL632" t="s">
        <v>90</v>
      </c>
    </row>
    <row r="633" spans="1:90" x14ac:dyDescent="0.3">
      <c r="A633" t="s">
        <v>72</v>
      </c>
      <c r="B633" t="s">
        <v>73</v>
      </c>
      <c r="C633" t="s">
        <v>74</v>
      </c>
      <c r="E633" t="str">
        <f>"080067059235"</f>
        <v>080067059235</v>
      </c>
      <c r="F633" s="3">
        <v>45875</v>
      </c>
      <c r="G633">
        <v>202605</v>
      </c>
      <c r="H633" t="s">
        <v>75</v>
      </c>
      <c r="I633" t="s">
        <v>76</v>
      </c>
      <c r="J633" t="s">
        <v>77</v>
      </c>
      <c r="K633" t="s">
        <v>78</v>
      </c>
      <c r="L633" t="s">
        <v>325</v>
      </c>
      <c r="M633" t="s">
        <v>326</v>
      </c>
      <c r="N633" t="s">
        <v>1395</v>
      </c>
      <c r="O633" t="s">
        <v>82</v>
      </c>
      <c r="P633" t="str">
        <f>"4170053247                    "</f>
        <v xml:space="preserve">4170053247                    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18.03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1</v>
      </c>
      <c r="BI633">
        <v>1</v>
      </c>
      <c r="BJ633">
        <v>0.2</v>
      </c>
      <c r="BK633">
        <v>1</v>
      </c>
      <c r="BL633">
        <v>55.99</v>
      </c>
      <c r="BM633">
        <v>8.4</v>
      </c>
      <c r="BN633">
        <v>64.39</v>
      </c>
      <c r="BO633">
        <v>64.39</v>
      </c>
      <c r="BQ633" t="s">
        <v>1396</v>
      </c>
      <c r="BR633" t="s">
        <v>84</v>
      </c>
      <c r="BS633" s="3">
        <v>45876</v>
      </c>
      <c r="BT633" s="4">
        <v>0.36041666666666666</v>
      </c>
      <c r="BU633" t="s">
        <v>1397</v>
      </c>
      <c r="BV633" t="s">
        <v>86</v>
      </c>
      <c r="BY633">
        <v>1200</v>
      </c>
      <c r="CA633" t="s">
        <v>1351</v>
      </c>
      <c r="CC633" t="s">
        <v>326</v>
      </c>
      <c r="CD633">
        <v>2000</v>
      </c>
      <c r="CE633" t="s">
        <v>178</v>
      </c>
      <c r="CF633" s="3">
        <v>45877</v>
      </c>
      <c r="CI633">
        <v>1</v>
      </c>
      <c r="CJ633">
        <v>1</v>
      </c>
      <c r="CK633">
        <v>22</v>
      </c>
      <c r="CL633" t="s">
        <v>90</v>
      </c>
    </row>
    <row r="634" spans="1:90" x14ac:dyDescent="0.3">
      <c r="A634" t="s">
        <v>72</v>
      </c>
      <c r="B634" t="s">
        <v>73</v>
      </c>
      <c r="C634" t="s">
        <v>74</v>
      </c>
      <c r="E634" t="str">
        <f>"080067059268"</f>
        <v>080067059268</v>
      </c>
      <c r="F634" s="3">
        <v>45875</v>
      </c>
      <c r="G634">
        <v>202605</v>
      </c>
      <c r="H634" t="s">
        <v>75</v>
      </c>
      <c r="I634" t="s">
        <v>76</v>
      </c>
      <c r="J634" t="s">
        <v>77</v>
      </c>
      <c r="K634" t="s">
        <v>78</v>
      </c>
      <c r="L634" t="s">
        <v>520</v>
      </c>
      <c r="M634" t="s">
        <v>521</v>
      </c>
      <c r="N634" t="s">
        <v>522</v>
      </c>
      <c r="O634" t="s">
        <v>82</v>
      </c>
      <c r="P634" t="str">
        <f>"4170053286                    "</f>
        <v xml:space="preserve">4170053286                    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44.73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1</v>
      </c>
      <c r="BI634">
        <v>1</v>
      </c>
      <c r="BJ634">
        <v>0.2</v>
      </c>
      <c r="BK634">
        <v>1</v>
      </c>
      <c r="BL634">
        <v>138.88999999999999</v>
      </c>
      <c r="BM634">
        <v>20.83</v>
      </c>
      <c r="BN634">
        <v>159.72</v>
      </c>
      <c r="BO634">
        <v>159.72</v>
      </c>
      <c r="BQ634" t="s">
        <v>523</v>
      </c>
      <c r="BR634" t="s">
        <v>84</v>
      </c>
      <c r="BS634" s="3">
        <v>45876</v>
      </c>
      <c r="BT634" s="4">
        <v>0.4375</v>
      </c>
      <c r="BU634" t="s">
        <v>1398</v>
      </c>
      <c r="BV634" t="s">
        <v>86</v>
      </c>
      <c r="BY634">
        <v>1200</v>
      </c>
      <c r="CA634" t="s">
        <v>525</v>
      </c>
      <c r="CC634" t="s">
        <v>521</v>
      </c>
      <c r="CD634">
        <v>1871</v>
      </c>
      <c r="CE634" t="s">
        <v>109</v>
      </c>
      <c r="CF634" s="3">
        <v>45876</v>
      </c>
      <c r="CI634">
        <v>1</v>
      </c>
      <c r="CJ634">
        <v>1</v>
      </c>
      <c r="CK634">
        <v>23</v>
      </c>
      <c r="CL634" t="s">
        <v>90</v>
      </c>
    </row>
    <row r="635" spans="1:90" x14ac:dyDescent="0.3">
      <c r="A635" t="s">
        <v>72</v>
      </c>
      <c r="B635" t="s">
        <v>73</v>
      </c>
      <c r="C635" t="s">
        <v>74</v>
      </c>
      <c r="E635" t="str">
        <f>"080067059333"</f>
        <v>080067059333</v>
      </c>
      <c r="F635" s="3">
        <v>45875</v>
      </c>
      <c r="G635">
        <v>202605</v>
      </c>
      <c r="H635" t="s">
        <v>75</v>
      </c>
      <c r="I635" t="s">
        <v>76</v>
      </c>
      <c r="J635" t="s">
        <v>77</v>
      </c>
      <c r="K635" t="s">
        <v>78</v>
      </c>
      <c r="L635" t="s">
        <v>123</v>
      </c>
      <c r="M635" t="s">
        <v>124</v>
      </c>
      <c r="N635" t="s">
        <v>1399</v>
      </c>
      <c r="O635" t="s">
        <v>82</v>
      </c>
      <c r="P635" t="str">
        <f>"4170053114                    "</f>
        <v xml:space="preserve">4170053114                    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23.09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1</v>
      </c>
      <c r="BI635">
        <v>1</v>
      </c>
      <c r="BJ635">
        <v>0.2</v>
      </c>
      <c r="BK635">
        <v>1</v>
      </c>
      <c r="BL635">
        <v>71.69</v>
      </c>
      <c r="BM635">
        <v>10.75</v>
      </c>
      <c r="BN635">
        <v>82.44</v>
      </c>
      <c r="BO635">
        <v>82.44</v>
      </c>
      <c r="BQ635" t="s">
        <v>1400</v>
      </c>
      <c r="BR635" t="s">
        <v>84</v>
      </c>
      <c r="BS635" s="3">
        <v>45880</v>
      </c>
      <c r="BT635" s="4">
        <v>0.53472222222222221</v>
      </c>
      <c r="BU635" t="s">
        <v>1401</v>
      </c>
      <c r="BV635" t="s">
        <v>90</v>
      </c>
      <c r="BW635" t="s">
        <v>380</v>
      </c>
      <c r="BX635" t="s">
        <v>1402</v>
      </c>
      <c r="BY635">
        <v>1200</v>
      </c>
      <c r="CC635" t="s">
        <v>124</v>
      </c>
      <c r="CD635">
        <v>7945</v>
      </c>
      <c r="CE635" t="s">
        <v>109</v>
      </c>
      <c r="CF635" s="3">
        <v>45881</v>
      </c>
      <c r="CI635">
        <v>1</v>
      </c>
      <c r="CJ635">
        <v>3</v>
      </c>
      <c r="CK635">
        <v>21</v>
      </c>
      <c r="CL635" t="s">
        <v>90</v>
      </c>
    </row>
    <row r="636" spans="1:90" x14ac:dyDescent="0.3">
      <c r="A636" t="s">
        <v>72</v>
      </c>
      <c r="B636" t="s">
        <v>73</v>
      </c>
      <c r="C636" t="s">
        <v>74</v>
      </c>
      <c r="E636" t="str">
        <f>"080067059352"</f>
        <v>080067059352</v>
      </c>
      <c r="F636" s="3">
        <v>45875</v>
      </c>
      <c r="G636">
        <v>202605</v>
      </c>
      <c r="H636" t="s">
        <v>75</v>
      </c>
      <c r="I636" t="s">
        <v>76</v>
      </c>
      <c r="J636" t="s">
        <v>77</v>
      </c>
      <c r="K636" t="s">
        <v>78</v>
      </c>
      <c r="L636" t="s">
        <v>75</v>
      </c>
      <c r="M636" t="s">
        <v>76</v>
      </c>
      <c r="N636" t="s">
        <v>152</v>
      </c>
      <c r="O636" t="s">
        <v>113</v>
      </c>
      <c r="P636" t="str">
        <f>"4170053088                    "</f>
        <v xml:space="preserve">4170053088                    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18.04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1</v>
      </c>
      <c r="BI636">
        <v>8</v>
      </c>
      <c r="BJ636">
        <v>3.2</v>
      </c>
      <c r="BK636">
        <v>8</v>
      </c>
      <c r="BL636">
        <v>56.01</v>
      </c>
      <c r="BM636">
        <v>8.4</v>
      </c>
      <c r="BN636">
        <v>64.41</v>
      </c>
      <c r="BO636">
        <v>64.41</v>
      </c>
      <c r="BQ636" t="s">
        <v>153</v>
      </c>
      <c r="BR636" t="s">
        <v>84</v>
      </c>
      <c r="BS636" s="3">
        <v>45876</v>
      </c>
      <c r="BT636" s="4">
        <v>0.31805555555555554</v>
      </c>
      <c r="BU636" t="s">
        <v>995</v>
      </c>
      <c r="BV636" t="s">
        <v>86</v>
      </c>
      <c r="BY636">
        <v>16200</v>
      </c>
      <c r="CA636" t="s">
        <v>155</v>
      </c>
      <c r="CC636" t="s">
        <v>76</v>
      </c>
      <c r="CD636">
        <v>1600</v>
      </c>
      <c r="CE636" t="s">
        <v>117</v>
      </c>
      <c r="CF636" s="3">
        <v>45876</v>
      </c>
      <c r="CI636">
        <v>1</v>
      </c>
      <c r="CJ636">
        <v>1</v>
      </c>
      <c r="CK636">
        <v>32</v>
      </c>
      <c r="CL636" t="s">
        <v>90</v>
      </c>
    </row>
    <row r="637" spans="1:90" x14ac:dyDescent="0.3">
      <c r="A637" t="s">
        <v>72</v>
      </c>
      <c r="B637" t="s">
        <v>73</v>
      </c>
      <c r="C637" t="s">
        <v>74</v>
      </c>
      <c r="E637" t="str">
        <f>"080067059363"</f>
        <v>080067059363</v>
      </c>
      <c r="F637" s="3">
        <v>45875</v>
      </c>
      <c r="G637">
        <v>202605</v>
      </c>
      <c r="H637" t="s">
        <v>75</v>
      </c>
      <c r="I637" t="s">
        <v>76</v>
      </c>
      <c r="J637" t="s">
        <v>77</v>
      </c>
      <c r="K637" t="s">
        <v>78</v>
      </c>
      <c r="L637" t="s">
        <v>555</v>
      </c>
      <c r="M637" t="s">
        <v>556</v>
      </c>
      <c r="N637" t="s">
        <v>844</v>
      </c>
      <c r="O637" t="s">
        <v>82</v>
      </c>
      <c r="P637" t="str">
        <f>"4170053031                    "</f>
        <v xml:space="preserve">4170053031                    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44.73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1</v>
      </c>
      <c r="BI637">
        <v>1</v>
      </c>
      <c r="BJ637">
        <v>0.2</v>
      </c>
      <c r="BK637">
        <v>1</v>
      </c>
      <c r="BL637">
        <v>138.88999999999999</v>
      </c>
      <c r="BM637">
        <v>20.83</v>
      </c>
      <c r="BN637">
        <v>159.72</v>
      </c>
      <c r="BO637">
        <v>159.72</v>
      </c>
      <c r="BQ637" t="s">
        <v>845</v>
      </c>
      <c r="BR637" t="s">
        <v>84</v>
      </c>
      <c r="BS637" s="3">
        <v>45877</v>
      </c>
      <c r="BT637" s="4">
        <v>0.48472222222222222</v>
      </c>
      <c r="BU637" t="s">
        <v>1346</v>
      </c>
      <c r="BV637" t="s">
        <v>86</v>
      </c>
      <c r="BY637">
        <v>1200</v>
      </c>
      <c r="CA637" t="s">
        <v>1347</v>
      </c>
      <c r="CC637" t="s">
        <v>556</v>
      </c>
      <c r="CD637">
        <v>6850</v>
      </c>
      <c r="CE637" t="s">
        <v>109</v>
      </c>
      <c r="CF637" s="3">
        <v>45880</v>
      </c>
      <c r="CI637">
        <v>2</v>
      </c>
      <c r="CJ637">
        <v>2</v>
      </c>
      <c r="CK637">
        <v>23</v>
      </c>
      <c r="CL637" t="s">
        <v>90</v>
      </c>
    </row>
    <row r="638" spans="1:90" x14ac:dyDescent="0.3">
      <c r="A638" t="s">
        <v>72</v>
      </c>
      <c r="B638" t="s">
        <v>73</v>
      </c>
      <c r="C638" t="s">
        <v>74</v>
      </c>
      <c r="E638" t="str">
        <f>"080067059396"</f>
        <v>080067059396</v>
      </c>
      <c r="F638" s="3">
        <v>45875</v>
      </c>
      <c r="G638">
        <v>202605</v>
      </c>
      <c r="H638" t="s">
        <v>75</v>
      </c>
      <c r="I638" t="s">
        <v>76</v>
      </c>
      <c r="J638" t="s">
        <v>77</v>
      </c>
      <c r="K638" t="s">
        <v>78</v>
      </c>
      <c r="L638" t="s">
        <v>110</v>
      </c>
      <c r="M638" t="s">
        <v>111</v>
      </c>
      <c r="N638" t="s">
        <v>309</v>
      </c>
      <c r="O638" t="s">
        <v>82</v>
      </c>
      <c r="P638" t="str">
        <f>"4170053066                    "</f>
        <v xml:space="preserve">4170053066                    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18.03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1</v>
      </c>
      <c r="BI638">
        <v>2</v>
      </c>
      <c r="BJ638">
        <v>1.3</v>
      </c>
      <c r="BK638">
        <v>2</v>
      </c>
      <c r="BL638">
        <v>55.99</v>
      </c>
      <c r="BM638">
        <v>8.4</v>
      </c>
      <c r="BN638">
        <v>64.39</v>
      </c>
      <c r="BO638">
        <v>64.39</v>
      </c>
      <c r="BQ638" t="s">
        <v>310</v>
      </c>
      <c r="BR638" t="s">
        <v>84</v>
      </c>
      <c r="BS638" s="3">
        <v>45876</v>
      </c>
      <c r="BT638" s="4">
        <v>0.4375</v>
      </c>
      <c r="BU638" t="s">
        <v>1403</v>
      </c>
      <c r="BV638" t="s">
        <v>86</v>
      </c>
      <c r="BY638">
        <v>6272</v>
      </c>
      <c r="CA638" t="s">
        <v>1267</v>
      </c>
      <c r="CC638" t="s">
        <v>111</v>
      </c>
      <c r="CD638">
        <v>2163</v>
      </c>
      <c r="CE638" t="s">
        <v>117</v>
      </c>
      <c r="CF638" s="3">
        <v>45877</v>
      </c>
      <c r="CI638">
        <v>1</v>
      </c>
      <c r="CJ638">
        <v>1</v>
      </c>
      <c r="CK638">
        <v>22</v>
      </c>
      <c r="CL638" t="s">
        <v>90</v>
      </c>
    </row>
    <row r="639" spans="1:90" x14ac:dyDescent="0.3">
      <c r="A639" t="s">
        <v>72</v>
      </c>
      <c r="B639" t="s">
        <v>73</v>
      </c>
      <c r="C639" t="s">
        <v>74</v>
      </c>
      <c r="E639" t="str">
        <f>"080067059398"</f>
        <v>080067059398</v>
      </c>
      <c r="F639" s="3">
        <v>45875</v>
      </c>
      <c r="G639">
        <v>202605</v>
      </c>
      <c r="H639" t="s">
        <v>75</v>
      </c>
      <c r="I639" t="s">
        <v>76</v>
      </c>
      <c r="J639" t="s">
        <v>77</v>
      </c>
      <c r="K639" t="s">
        <v>78</v>
      </c>
      <c r="L639" t="s">
        <v>137</v>
      </c>
      <c r="M639" t="s">
        <v>138</v>
      </c>
      <c r="N639" t="s">
        <v>1404</v>
      </c>
      <c r="O639" t="s">
        <v>82</v>
      </c>
      <c r="P639" t="str">
        <f>"4170053133                    "</f>
        <v xml:space="preserve">4170053133                    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23.09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1</v>
      </c>
      <c r="BI639">
        <v>1</v>
      </c>
      <c r="BJ639">
        <v>0.2</v>
      </c>
      <c r="BK639">
        <v>1</v>
      </c>
      <c r="BL639">
        <v>71.69</v>
      </c>
      <c r="BM639">
        <v>10.75</v>
      </c>
      <c r="BN639">
        <v>82.44</v>
      </c>
      <c r="BO639">
        <v>82.44</v>
      </c>
      <c r="BQ639" t="s">
        <v>1405</v>
      </c>
      <c r="BR639" t="s">
        <v>84</v>
      </c>
      <c r="BS639" s="3">
        <v>45876</v>
      </c>
      <c r="BT639" s="4">
        <v>0.45833333333333331</v>
      </c>
      <c r="BU639" t="s">
        <v>1406</v>
      </c>
      <c r="BV639" t="s">
        <v>86</v>
      </c>
      <c r="BY639">
        <v>1200</v>
      </c>
      <c r="BZ639" t="s">
        <v>330</v>
      </c>
      <c r="CA639" t="s">
        <v>953</v>
      </c>
      <c r="CC639" t="s">
        <v>138</v>
      </c>
      <c r="CD639">
        <v>3610</v>
      </c>
      <c r="CE639" t="s">
        <v>597</v>
      </c>
      <c r="CF639" s="3">
        <v>45876</v>
      </c>
      <c r="CI639">
        <v>1</v>
      </c>
      <c r="CJ639">
        <v>1</v>
      </c>
      <c r="CK639">
        <v>21</v>
      </c>
      <c r="CL639" t="s">
        <v>90</v>
      </c>
    </row>
    <row r="640" spans="1:90" x14ac:dyDescent="0.3">
      <c r="A640" t="s">
        <v>72</v>
      </c>
      <c r="B640" t="s">
        <v>73</v>
      </c>
      <c r="C640" t="s">
        <v>74</v>
      </c>
      <c r="E640" t="str">
        <f>"080067059428"</f>
        <v>080067059428</v>
      </c>
      <c r="F640" s="3">
        <v>45875</v>
      </c>
      <c r="G640">
        <v>202605</v>
      </c>
      <c r="H640" t="s">
        <v>75</v>
      </c>
      <c r="I640" t="s">
        <v>76</v>
      </c>
      <c r="J640" t="s">
        <v>77</v>
      </c>
      <c r="K640" t="s">
        <v>78</v>
      </c>
      <c r="L640" t="s">
        <v>179</v>
      </c>
      <c r="M640" t="s">
        <v>180</v>
      </c>
      <c r="N640" t="s">
        <v>1407</v>
      </c>
      <c r="O640" t="s">
        <v>82</v>
      </c>
      <c r="P640" t="str">
        <f>"4170053291                    "</f>
        <v xml:space="preserve">4170053291                    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32.47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1</v>
      </c>
      <c r="BI640">
        <v>1</v>
      </c>
      <c r="BJ640">
        <v>0.2</v>
      </c>
      <c r="BK640">
        <v>1</v>
      </c>
      <c r="BL640">
        <v>100.82</v>
      </c>
      <c r="BM640">
        <v>15.12</v>
      </c>
      <c r="BN640">
        <v>115.94</v>
      </c>
      <c r="BO640">
        <v>115.94</v>
      </c>
      <c r="BQ640" t="s">
        <v>1408</v>
      </c>
      <c r="BR640" t="s">
        <v>84</v>
      </c>
      <c r="BS640" s="3">
        <v>45876</v>
      </c>
      <c r="BT640" s="4">
        <v>0.51666666666666672</v>
      </c>
      <c r="BU640" t="s">
        <v>1409</v>
      </c>
      <c r="BV640" t="s">
        <v>86</v>
      </c>
      <c r="BY640">
        <v>1200</v>
      </c>
      <c r="CA640" t="s">
        <v>1410</v>
      </c>
      <c r="CC640" t="s">
        <v>180</v>
      </c>
      <c r="CD640">
        <v>1739</v>
      </c>
      <c r="CE640" t="s">
        <v>109</v>
      </c>
      <c r="CF640" s="3">
        <v>45877</v>
      </c>
      <c r="CI640">
        <v>1</v>
      </c>
      <c r="CJ640">
        <v>1</v>
      </c>
      <c r="CK640">
        <v>24</v>
      </c>
      <c r="CL640" t="s">
        <v>90</v>
      </c>
    </row>
    <row r="641" spans="1:90" x14ac:dyDescent="0.3">
      <c r="A641" t="s">
        <v>72</v>
      </c>
      <c r="B641" t="s">
        <v>73</v>
      </c>
      <c r="C641" t="s">
        <v>74</v>
      </c>
      <c r="E641" t="str">
        <f>"080067059446"</f>
        <v>080067059446</v>
      </c>
      <c r="F641" s="3">
        <v>45875</v>
      </c>
      <c r="G641">
        <v>202605</v>
      </c>
      <c r="H641" t="s">
        <v>75</v>
      </c>
      <c r="I641" t="s">
        <v>76</v>
      </c>
      <c r="J641" t="s">
        <v>77</v>
      </c>
      <c r="K641" t="s">
        <v>78</v>
      </c>
      <c r="L641" t="s">
        <v>234</v>
      </c>
      <c r="M641" t="s">
        <v>235</v>
      </c>
      <c r="N641" t="s">
        <v>236</v>
      </c>
      <c r="O641" t="s">
        <v>95</v>
      </c>
      <c r="P641" t="str">
        <f>"4170053256                    "</f>
        <v xml:space="preserve">4170053256                    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44.64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1</v>
      </c>
      <c r="BI641">
        <v>6</v>
      </c>
      <c r="BJ641">
        <v>3.7</v>
      </c>
      <c r="BK641">
        <v>6</v>
      </c>
      <c r="BL641">
        <v>144.49</v>
      </c>
      <c r="BM641">
        <v>21.67</v>
      </c>
      <c r="BN641">
        <v>166.16</v>
      </c>
      <c r="BO641">
        <v>166.16</v>
      </c>
      <c r="BQ641" t="s">
        <v>237</v>
      </c>
      <c r="BR641" t="s">
        <v>84</v>
      </c>
      <c r="BS641" s="3">
        <v>45876</v>
      </c>
      <c r="BT641" s="4">
        <v>0.37152777777777779</v>
      </c>
      <c r="BU641" t="s">
        <v>650</v>
      </c>
      <c r="BV641" t="s">
        <v>86</v>
      </c>
      <c r="BY641">
        <v>18432</v>
      </c>
      <c r="CA641" t="s">
        <v>239</v>
      </c>
      <c r="CC641" t="s">
        <v>235</v>
      </c>
      <c r="CD641" s="5" t="s">
        <v>240</v>
      </c>
      <c r="CE641" t="s">
        <v>117</v>
      </c>
      <c r="CF641" s="3">
        <v>45876</v>
      </c>
      <c r="CI641">
        <v>1</v>
      </c>
      <c r="CJ641">
        <v>1</v>
      </c>
      <c r="CK641">
        <v>41</v>
      </c>
      <c r="CL641" t="s">
        <v>90</v>
      </c>
    </row>
    <row r="642" spans="1:90" x14ac:dyDescent="0.3">
      <c r="A642" t="s">
        <v>72</v>
      </c>
      <c r="B642" t="s">
        <v>73</v>
      </c>
      <c r="C642" t="s">
        <v>74</v>
      </c>
      <c r="E642" t="str">
        <f>"080067059459"</f>
        <v>080067059459</v>
      </c>
      <c r="F642" s="3">
        <v>45875</v>
      </c>
      <c r="G642">
        <v>202605</v>
      </c>
      <c r="H642" t="s">
        <v>75</v>
      </c>
      <c r="I642" t="s">
        <v>76</v>
      </c>
      <c r="J642" t="s">
        <v>77</v>
      </c>
      <c r="K642" t="s">
        <v>78</v>
      </c>
      <c r="L642" t="s">
        <v>162</v>
      </c>
      <c r="M642" t="s">
        <v>163</v>
      </c>
      <c r="N642" t="s">
        <v>164</v>
      </c>
      <c r="O642" t="s">
        <v>82</v>
      </c>
      <c r="P642" t="str">
        <f>"4170053401                    "</f>
        <v xml:space="preserve">4170053401                    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23.09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1</v>
      </c>
      <c r="BI642">
        <v>1</v>
      </c>
      <c r="BJ642">
        <v>0.2</v>
      </c>
      <c r="BK642">
        <v>1</v>
      </c>
      <c r="BL642">
        <v>71.69</v>
      </c>
      <c r="BM642">
        <v>10.75</v>
      </c>
      <c r="BN642">
        <v>82.44</v>
      </c>
      <c r="BO642">
        <v>82.44</v>
      </c>
      <c r="BQ642" t="s">
        <v>165</v>
      </c>
      <c r="BR642" t="s">
        <v>84</v>
      </c>
      <c r="BS642" s="3">
        <v>45877</v>
      </c>
      <c r="BT642" s="4">
        <v>0.41666666666666669</v>
      </c>
      <c r="BU642" t="s">
        <v>1378</v>
      </c>
      <c r="BV642" t="s">
        <v>86</v>
      </c>
      <c r="BY642">
        <v>1200</v>
      </c>
      <c r="CC642" t="s">
        <v>163</v>
      </c>
      <c r="CD642">
        <v>3212</v>
      </c>
      <c r="CE642" t="s">
        <v>109</v>
      </c>
      <c r="CF642" s="3">
        <v>45877</v>
      </c>
      <c r="CI642">
        <v>2</v>
      </c>
      <c r="CJ642">
        <v>2</v>
      </c>
      <c r="CK642">
        <v>21</v>
      </c>
      <c r="CL642" t="s">
        <v>90</v>
      </c>
    </row>
    <row r="643" spans="1:90" x14ac:dyDescent="0.3">
      <c r="A643" t="s">
        <v>72</v>
      </c>
      <c r="B643" t="s">
        <v>73</v>
      </c>
      <c r="C643" t="s">
        <v>74</v>
      </c>
      <c r="E643" t="str">
        <f>"080067059473"</f>
        <v>080067059473</v>
      </c>
      <c r="F643" s="3">
        <v>45875</v>
      </c>
      <c r="G643">
        <v>202605</v>
      </c>
      <c r="H643" t="s">
        <v>75</v>
      </c>
      <c r="I643" t="s">
        <v>76</v>
      </c>
      <c r="J643" t="s">
        <v>77</v>
      </c>
      <c r="K643" t="s">
        <v>78</v>
      </c>
      <c r="L643" t="s">
        <v>110</v>
      </c>
      <c r="M643" t="s">
        <v>111</v>
      </c>
      <c r="N643" t="s">
        <v>770</v>
      </c>
      <c r="O643" t="s">
        <v>82</v>
      </c>
      <c r="P643" t="str">
        <f>"4170053147                    "</f>
        <v xml:space="preserve">4170053147                    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18.03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1</v>
      </c>
      <c r="BI643">
        <v>1</v>
      </c>
      <c r="BJ643">
        <v>0.6</v>
      </c>
      <c r="BK643">
        <v>1</v>
      </c>
      <c r="BL643">
        <v>55.99</v>
      </c>
      <c r="BM643">
        <v>8.4</v>
      </c>
      <c r="BN643">
        <v>64.39</v>
      </c>
      <c r="BO643">
        <v>64.39</v>
      </c>
      <c r="BQ643" t="s">
        <v>771</v>
      </c>
      <c r="BR643" t="s">
        <v>84</v>
      </c>
      <c r="BS643" s="3">
        <v>45876</v>
      </c>
      <c r="BT643" s="4">
        <v>0.42638888888888887</v>
      </c>
      <c r="BU643" t="s">
        <v>1053</v>
      </c>
      <c r="BV643" t="s">
        <v>86</v>
      </c>
      <c r="BY643">
        <v>3192</v>
      </c>
      <c r="CA643" t="s">
        <v>1267</v>
      </c>
      <c r="CC643" t="s">
        <v>111</v>
      </c>
      <c r="CD643">
        <v>2163</v>
      </c>
      <c r="CE643" t="s">
        <v>147</v>
      </c>
      <c r="CF643" s="3">
        <v>45877</v>
      </c>
      <c r="CI643">
        <v>1</v>
      </c>
      <c r="CJ643">
        <v>1</v>
      </c>
      <c r="CK643">
        <v>22</v>
      </c>
      <c r="CL643" t="s">
        <v>90</v>
      </c>
    </row>
    <row r="644" spans="1:90" x14ac:dyDescent="0.3">
      <c r="A644" t="s">
        <v>72</v>
      </c>
      <c r="B644" t="s">
        <v>73</v>
      </c>
      <c r="C644" t="s">
        <v>74</v>
      </c>
      <c r="E644" t="str">
        <f>"080067059481"</f>
        <v>080067059481</v>
      </c>
      <c r="F644" s="3">
        <v>45875</v>
      </c>
      <c r="G644">
        <v>202605</v>
      </c>
      <c r="H644" t="s">
        <v>75</v>
      </c>
      <c r="I644" t="s">
        <v>76</v>
      </c>
      <c r="J644" t="s">
        <v>77</v>
      </c>
      <c r="K644" t="s">
        <v>78</v>
      </c>
      <c r="L644" t="s">
        <v>198</v>
      </c>
      <c r="M644" t="s">
        <v>199</v>
      </c>
      <c r="N644" t="s">
        <v>410</v>
      </c>
      <c r="O644" t="s">
        <v>82</v>
      </c>
      <c r="P644" t="str">
        <f>"4170053131                    "</f>
        <v xml:space="preserve">4170053131                    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23.09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1</v>
      </c>
      <c r="BI644">
        <v>1</v>
      </c>
      <c r="BJ644">
        <v>0.2</v>
      </c>
      <c r="BK644">
        <v>1</v>
      </c>
      <c r="BL644">
        <v>71.69</v>
      </c>
      <c r="BM644">
        <v>10.75</v>
      </c>
      <c r="BN644">
        <v>82.44</v>
      </c>
      <c r="BO644">
        <v>82.44</v>
      </c>
      <c r="BQ644" t="s">
        <v>411</v>
      </c>
      <c r="BR644" t="s">
        <v>84</v>
      </c>
      <c r="BS644" s="3">
        <v>45876</v>
      </c>
      <c r="BT644" s="4">
        <v>0.65694444444444444</v>
      </c>
      <c r="BU644" t="s">
        <v>1411</v>
      </c>
      <c r="BV644" t="s">
        <v>90</v>
      </c>
      <c r="BW644" t="s">
        <v>134</v>
      </c>
      <c r="BX644" t="s">
        <v>747</v>
      </c>
      <c r="BY644">
        <v>1200</v>
      </c>
      <c r="CA644" t="s">
        <v>413</v>
      </c>
      <c r="CC644" t="s">
        <v>199</v>
      </c>
      <c r="CD644">
        <v>6001</v>
      </c>
      <c r="CE644" t="s">
        <v>109</v>
      </c>
      <c r="CF644" s="3">
        <v>45876</v>
      </c>
      <c r="CI644">
        <v>1</v>
      </c>
      <c r="CJ644">
        <v>1</v>
      </c>
      <c r="CK644">
        <v>21</v>
      </c>
      <c r="CL644" t="s">
        <v>90</v>
      </c>
    </row>
    <row r="645" spans="1:90" x14ac:dyDescent="0.3">
      <c r="A645" t="s">
        <v>72</v>
      </c>
      <c r="B645" t="s">
        <v>73</v>
      </c>
      <c r="C645" t="s">
        <v>74</v>
      </c>
      <c r="E645" t="str">
        <f>"080067059508"</f>
        <v>080067059508</v>
      </c>
      <c r="F645" s="3">
        <v>45875</v>
      </c>
      <c r="G645">
        <v>202605</v>
      </c>
      <c r="H645" t="s">
        <v>75</v>
      </c>
      <c r="I645" t="s">
        <v>76</v>
      </c>
      <c r="J645" t="s">
        <v>77</v>
      </c>
      <c r="K645" t="s">
        <v>78</v>
      </c>
      <c r="L645" t="s">
        <v>75</v>
      </c>
      <c r="M645" t="s">
        <v>76</v>
      </c>
      <c r="N645" t="s">
        <v>537</v>
      </c>
      <c r="O645" t="s">
        <v>82</v>
      </c>
      <c r="P645" t="str">
        <f>"4170053089                    "</f>
        <v xml:space="preserve">4170053089                    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18.03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1</v>
      </c>
      <c r="BI645">
        <v>2</v>
      </c>
      <c r="BJ645">
        <v>3.5</v>
      </c>
      <c r="BK645">
        <v>4</v>
      </c>
      <c r="BL645">
        <v>55.99</v>
      </c>
      <c r="BM645">
        <v>8.4</v>
      </c>
      <c r="BN645">
        <v>64.39</v>
      </c>
      <c r="BO645">
        <v>64.39</v>
      </c>
      <c r="BQ645" t="s">
        <v>538</v>
      </c>
      <c r="BR645" t="s">
        <v>84</v>
      </c>
      <c r="BS645" s="3">
        <v>45876</v>
      </c>
      <c r="BT645" s="4">
        <v>0.39861111111111114</v>
      </c>
      <c r="BU645" t="s">
        <v>738</v>
      </c>
      <c r="BV645" t="s">
        <v>86</v>
      </c>
      <c r="BY645">
        <v>17556</v>
      </c>
      <c r="CA645" t="s">
        <v>739</v>
      </c>
      <c r="CC645" t="s">
        <v>76</v>
      </c>
      <c r="CD645">
        <v>1619</v>
      </c>
      <c r="CE645" t="s">
        <v>117</v>
      </c>
      <c r="CF645" s="3">
        <v>45876</v>
      </c>
      <c r="CI645">
        <v>1</v>
      </c>
      <c r="CJ645">
        <v>1</v>
      </c>
      <c r="CK645">
        <v>22</v>
      </c>
      <c r="CL645" t="s">
        <v>90</v>
      </c>
    </row>
    <row r="646" spans="1:90" x14ac:dyDescent="0.3">
      <c r="A646" t="s">
        <v>72</v>
      </c>
      <c r="B646" t="s">
        <v>73</v>
      </c>
      <c r="C646" t="s">
        <v>74</v>
      </c>
      <c r="E646" t="str">
        <f>"080067059542"</f>
        <v>080067059542</v>
      </c>
      <c r="F646" s="3">
        <v>45875</v>
      </c>
      <c r="G646">
        <v>202605</v>
      </c>
      <c r="H646" t="s">
        <v>75</v>
      </c>
      <c r="I646" t="s">
        <v>76</v>
      </c>
      <c r="J646" t="s">
        <v>77</v>
      </c>
      <c r="K646" t="s">
        <v>78</v>
      </c>
      <c r="L646" t="s">
        <v>137</v>
      </c>
      <c r="M646" t="s">
        <v>138</v>
      </c>
      <c r="N646" t="s">
        <v>1404</v>
      </c>
      <c r="O646" t="s">
        <v>82</v>
      </c>
      <c r="P646" t="str">
        <f>"4170053134                    "</f>
        <v xml:space="preserve">4170053134                    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23.09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1</v>
      </c>
      <c r="BI646">
        <v>2</v>
      </c>
      <c r="BJ646">
        <v>0.9</v>
      </c>
      <c r="BK646">
        <v>2</v>
      </c>
      <c r="BL646">
        <v>71.69</v>
      </c>
      <c r="BM646">
        <v>10.75</v>
      </c>
      <c r="BN646">
        <v>82.44</v>
      </c>
      <c r="BO646">
        <v>82.44</v>
      </c>
      <c r="BQ646" t="s">
        <v>1405</v>
      </c>
      <c r="BR646" t="s">
        <v>84</v>
      </c>
      <c r="BS646" s="3">
        <v>45876</v>
      </c>
      <c r="BT646" s="4">
        <v>0.45902777777777776</v>
      </c>
      <c r="BU646" t="s">
        <v>1406</v>
      </c>
      <c r="BV646" t="s">
        <v>86</v>
      </c>
      <c r="BY646">
        <v>4560</v>
      </c>
      <c r="BZ646" t="s">
        <v>330</v>
      </c>
      <c r="CA646" t="s">
        <v>953</v>
      </c>
      <c r="CC646" t="s">
        <v>138</v>
      </c>
      <c r="CD646">
        <v>3610</v>
      </c>
      <c r="CE646" t="s">
        <v>89</v>
      </c>
      <c r="CF646" s="3">
        <v>45876</v>
      </c>
      <c r="CI646">
        <v>1</v>
      </c>
      <c r="CJ646">
        <v>1</v>
      </c>
      <c r="CK646">
        <v>21</v>
      </c>
      <c r="CL646" t="s">
        <v>90</v>
      </c>
    </row>
    <row r="647" spans="1:90" x14ac:dyDescent="0.3">
      <c r="A647" t="s">
        <v>72</v>
      </c>
      <c r="B647" t="s">
        <v>73</v>
      </c>
      <c r="C647" t="s">
        <v>74</v>
      </c>
      <c r="E647" t="str">
        <f>"080067060107"</f>
        <v>080067060107</v>
      </c>
      <c r="F647" s="3">
        <v>45875</v>
      </c>
      <c r="G647">
        <v>202605</v>
      </c>
      <c r="H647" t="s">
        <v>75</v>
      </c>
      <c r="I647" t="s">
        <v>76</v>
      </c>
      <c r="J647" t="s">
        <v>77</v>
      </c>
      <c r="K647" t="s">
        <v>78</v>
      </c>
      <c r="L647" t="s">
        <v>137</v>
      </c>
      <c r="M647" t="s">
        <v>138</v>
      </c>
      <c r="N647" t="s">
        <v>1239</v>
      </c>
      <c r="O647" t="s">
        <v>82</v>
      </c>
      <c r="P647" t="str">
        <f>"4170053102                    "</f>
        <v xml:space="preserve">4170053102                    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23.09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1</v>
      </c>
      <c r="BI647">
        <v>1</v>
      </c>
      <c r="BJ647">
        <v>0.2</v>
      </c>
      <c r="BK647">
        <v>1</v>
      </c>
      <c r="BL647">
        <v>71.69</v>
      </c>
      <c r="BM647">
        <v>10.75</v>
      </c>
      <c r="BN647">
        <v>82.44</v>
      </c>
      <c r="BO647">
        <v>82.44</v>
      </c>
      <c r="BQ647" t="s">
        <v>1240</v>
      </c>
      <c r="BR647" t="s">
        <v>84</v>
      </c>
      <c r="BS647" s="3">
        <v>45876</v>
      </c>
      <c r="BT647" s="4">
        <v>0.41319444444444442</v>
      </c>
      <c r="BU647" t="s">
        <v>1412</v>
      </c>
      <c r="BV647" t="s">
        <v>86</v>
      </c>
      <c r="BY647">
        <v>1200</v>
      </c>
      <c r="BZ647" t="s">
        <v>330</v>
      </c>
      <c r="CA647" t="s">
        <v>953</v>
      </c>
      <c r="CC647" t="s">
        <v>138</v>
      </c>
      <c r="CD647">
        <v>3610</v>
      </c>
      <c r="CE647" t="s">
        <v>597</v>
      </c>
      <c r="CF647" s="3">
        <v>45876</v>
      </c>
      <c r="CI647">
        <v>1</v>
      </c>
      <c r="CJ647">
        <v>1</v>
      </c>
      <c r="CK647">
        <v>21</v>
      </c>
      <c r="CL647" t="s">
        <v>90</v>
      </c>
    </row>
    <row r="648" spans="1:90" x14ac:dyDescent="0.3">
      <c r="A648" t="s">
        <v>72</v>
      </c>
      <c r="B648" t="s">
        <v>73</v>
      </c>
      <c r="C648" t="s">
        <v>74</v>
      </c>
      <c r="E648" t="str">
        <f>"080067060127"</f>
        <v>080067060127</v>
      </c>
      <c r="F648" s="3">
        <v>45875</v>
      </c>
      <c r="G648">
        <v>202605</v>
      </c>
      <c r="H648" t="s">
        <v>75</v>
      </c>
      <c r="I648" t="s">
        <v>76</v>
      </c>
      <c r="J648" t="s">
        <v>77</v>
      </c>
      <c r="K648" t="s">
        <v>78</v>
      </c>
      <c r="L648" t="s">
        <v>606</v>
      </c>
      <c r="M648" t="s">
        <v>607</v>
      </c>
      <c r="N648" t="s">
        <v>1413</v>
      </c>
      <c r="O648" t="s">
        <v>82</v>
      </c>
      <c r="P648" t="str">
        <f>"4170053110                    "</f>
        <v xml:space="preserve">4170053110                    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44.73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1</v>
      </c>
      <c r="BI648">
        <v>1</v>
      </c>
      <c r="BJ648">
        <v>0.2</v>
      </c>
      <c r="BK648">
        <v>1</v>
      </c>
      <c r="BL648">
        <v>138.88999999999999</v>
      </c>
      <c r="BM648">
        <v>20.83</v>
      </c>
      <c r="BN648">
        <v>159.72</v>
      </c>
      <c r="BO648">
        <v>159.72</v>
      </c>
      <c r="BQ648" t="s">
        <v>1414</v>
      </c>
      <c r="BR648" t="s">
        <v>84</v>
      </c>
      <c r="BS648" s="3">
        <v>45876</v>
      </c>
      <c r="BT648" s="4">
        <v>0.50347222222222221</v>
      </c>
      <c r="BU648" t="s">
        <v>1415</v>
      </c>
      <c r="BV648" t="s">
        <v>86</v>
      </c>
      <c r="BY648">
        <v>1200</v>
      </c>
      <c r="CA648" t="s">
        <v>611</v>
      </c>
      <c r="CC648" t="s">
        <v>607</v>
      </c>
      <c r="CD648">
        <v>1390</v>
      </c>
      <c r="CE648" t="s">
        <v>109</v>
      </c>
      <c r="CF648" s="3">
        <v>45877</v>
      </c>
      <c r="CI648">
        <v>1</v>
      </c>
      <c r="CJ648">
        <v>1</v>
      </c>
      <c r="CK648">
        <v>23</v>
      </c>
      <c r="CL648" t="s">
        <v>90</v>
      </c>
    </row>
    <row r="649" spans="1:90" x14ac:dyDescent="0.3">
      <c r="A649" t="s">
        <v>72</v>
      </c>
      <c r="B649" t="s">
        <v>73</v>
      </c>
      <c r="C649" t="s">
        <v>74</v>
      </c>
      <c r="E649" t="str">
        <f>"080067060149"</f>
        <v>080067060149</v>
      </c>
      <c r="F649" s="3">
        <v>45875</v>
      </c>
      <c r="G649">
        <v>202605</v>
      </c>
      <c r="H649" t="s">
        <v>75</v>
      </c>
      <c r="I649" t="s">
        <v>76</v>
      </c>
      <c r="J649" t="s">
        <v>77</v>
      </c>
      <c r="K649" t="s">
        <v>78</v>
      </c>
      <c r="L649" t="s">
        <v>123</v>
      </c>
      <c r="M649" t="s">
        <v>124</v>
      </c>
      <c r="N649" t="s">
        <v>1416</v>
      </c>
      <c r="O649" t="s">
        <v>82</v>
      </c>
      <c r="P649" t="str">
        <f>"4170053318                    "</f>
        <v xml:space="preserve">4170053318                    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23.09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1</v>
      </c>
      <c r="BI649">
        <v>1</v>
      </c>
      <c r="BJ649">
        <v>0.2</v>
      </c>
      <c r="BK649">
        <v>1</v>
      </c>
      <c r="BL649">
        <v>71.69</v>
      </c>
      <c r="BM649">
        <v>10.75</v>
      </c>
      <c r="BN649">
        <v>82.44</v>
      </c>
      <c r="BO649">
        <v>82.44</v>
      </c>
      <c r="BQ649" t="s">
        <v>1417</v>
      </c>
      <c r="BR649" t="s">
        <v>84</v>
      </c>
      <c r="BS649" s="3">
        <v>45877</v>
      </c>
      <c r="BT649" s="4">
        <v>0.41736111111111113</v>
      </c>
      <c r="BU649" t="s">
        <v>886</v>
      </c>
      <c r="BV649" t="s">
        <v>90</v>
      </c>
      <c r="BW649" t="s">
        <v>773</v>
      </c>
      <c r="BX649" t="s">
        <v>843</v>
      </c>
      <c r="BY649">
        <v>1200</v>
      </c>
      <c r="CA649" t="s">
        <v>1238</v>
      </c>
      <c r="CC649" t="s">
        <v>124</v>
      </c>
      <c r="CD649">
        <v>7480</v>
      </c>
      <c r="CE649" t="s">
        <v>109</v>
      </c>
      <c r="CF649" s="3">
        <v>45880</v>
      </c>
      <c r="CI649">
        <v>1</v>
      </c>
      <c r="CJ649">
        <v>2</v>
      </c>
      <c r="CK649">
        <v>21</v>
      </c>
      <c r="CL649" t="s">
        <v>90</v>
      </c>
    </row>
    <row r="650" spans="1:90" x14ac:dyDescent="0.3">
      <c r="A650" t="s">
        <v>72</v>
      </c>
      <c r="B650" t="s">
        <v>73</v>
      </c>
      <c r="C650" t="s">
        <v>74</v>
      </c>
      <c r="E650" t="str">
        <f>"080067060176"</f>
        <v>080067060176</v>
      </c>
      <c r="F650" s="3">
        <v>45875</v>
      </c>
      <c r="G650">
        <v>202605</v>
      </c>
      <c r="H650" t="s">
        <v>75</v>
      </c>
      <c r="I650" t="s">
        <v>76</v>
      </c>
      <c r="J650" t="s">
        <v>77</v>
      </c>
      <c r="K650" t="s">
        <v>78</v>
      </c>
      <c r="L650" t="s">
        <v>234</v>
      </c>
      <c r="M650" t="s">
        <v>235</v>
      </c>
      <c r="N650" t="s">
        <v>683</v>
      </c>
      <c r="O650" t="s">
        <v>82</v>
      </c>
      <c r="P650" t="str">
        <f>"4170053106                    "</f>
        <v xml:space="preserve">4170053106                    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23.09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1</v>
      </c>
      <c r="BI650">
        <v>1</v>
      </c>
      <c r="BJ650">
        <v>0.2</v>
      </c>
      <c r="BK650">
        <v>1</v>
      </c>
      <c r="BL650">
        <v>71.69</v>
      </c>
      <c r="BM650">
        <v>10.75</v>
      </c>
      <c r="BN650">
        <v>82.44</v>
      </c>
      <c r="BO650">
        <v>82.44</v>
      </c>
      <c r="BQ650" t="s">
        <v>684</v>
      </c>
      <c r="BR650" t="s">
        <v>84</v>
      </c>
      <c r="BS650" s="3">
        <v>45876</v>
      </c>
      <c r="BT650" s="4">
        <v>0.37777777777777777</v>
      </c>
      <c r="BU650" t="s">
        <v>1418</v>
      </c>
      <c r="BV650" t="s">
        <v>86</v>
      </c>
      <c r="BY650">
        <v>1200</v>
      </c>
      <c r="CA650" t="s">
        <v>239</v>
      </c>
      <c r="CC650" t="s">
        <v>235</v>
      </c>
      <c r="CD650" s="5" t="s">
        <v>240</v>
      </c>
      <c r="CE650" t="s">
        <v>109</v>
      </c>
      <c r="CF650" s="3">
        <v>45876</v>
      </c>
      <c r="CI650">
        <v>1</v>
      </c>
      <c r="CJ650">
        <v>1</v>
      </c>
      <c r="CK650">
        <v>21</v>
      </c>
      <c r="CL650" t="s">
        <v>90</v>
      </c>
    </row>
    <row r="651" spans="1:90" x14ac:dyDescent="0.3">
      <c r="A651" t="s">
        <v>72</v>
      </c>
      <c r="B651" t="s">
        <v>73</v>
      </c>
      <c r="C651" t="s">
        <v>74</v>
      </c>
      <c r="E651" t="str">
        <f>"080067060203"</f>
        <v>080067060203</v>
      </c>
      <c r="F651" s="3">
        <v>45875</v>
      </c>
      <c r="G651">
        <v>202605</v>
      </c>
      <c r="H651" t="s">
        <v>75</v>
      </c>
      <c r="I651" t="s">
        <v>76</v>
      </c>
      <c r="J651" t="s">
        <v>77</v>
      </c>
      <c r="K651" t="s">
        <v>78</v>
      </c>
      <c r="L651" t="s">
        <v>198</v>
      </c>
      <c r="M651" t="s">
        <v>199</v>
      </c>
      <c r="N651" t="s">
        <v>469</v>
      </c>
      <c r="O651" t="s">
        <v>82</v>
      </c>
      <c r="P651" t="str">
        <f>"4170053094                    "</f>
        <v xml:space="preserve">4170053094                    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23.09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1</v>
      </c>
      <c r="BI651">
        <v>1</v>
      </c>
      <c r="BJ651">
        <v>0.2</v>
      </c>
      <c r="BK651">
        <v>1</v>
      </c>
      <c r="BL651">
        <v>71.69</v>
      </c>
      <c r="BM651">
        <v>10.75</v>
      </c>
      <c r="BN651">
        <v>82.44</v>
      </c>
      <c r="BO651">
        <v>82.44</v>
      </c>
      <c r="BQ651" t="s">
        <v>470</v>
      </c>
      <c r="BR651" t="s">
        <v>84</v>
      </c>
      <c r="BS651" s="3">
        <v>45876</v>
      </c>
      <c r="BT651" s="4">
        <v>0.37916666666666665</v>
      </c>
      <c r="BU651" t="s">
        <v>471</v>
      </c>
      <c r="BV651" t="s">
        <v>86</v>
      </c>
      <c r="BY651">
        <v>1200</v>
      </c>
      <c r="BZ651" t="s">
        <v>330</v>
      </c>
      <c r="CA651" t="s">
        <v>345</v>
      </c>
      <c r="CC651" t="s">
        <v>199</v>
      </c>
      <c r="CD651">
        <v>6001</v>
      </c>
      <c r="CE651" t="s">
        <v>597</v>
      </c>
      <c r="CF651" s="3">
        <v>45876</v>
      </c>
      <c r="CI651">
        <v>1</v>
      </c>
      <c r="CJ651">
        <v>1</v>
      </c>
      <c r="CK651">
        <v>21</v>
      </c>
      <c r="CL651" t="s">
        <v>90</v>
      </c>
    </row>
    <row r="652" spans="1:90" x14ac:dyDescent="0.3">
      <c r="A652" t="s">
        <v>72</v>
      </c>
      <c r="B652" t="s">
        <v>73</v>
      </c>
      <c r="C652" t="s">
        <v>74</v>
      </c>
      <c r="E652" t="str">
        <f>"080067060226"</f>
        <v>080067060226</v>
      </c>
      <c r="F652" s="3">
        <v>45875</v>
      </c>
      <c r="G652">
        <v>202605</v>
      </c>
      <c r="H652" t="s">
        <v>75</v>
      </c>
      <c r="I652" t="s">
        <v>76</v>
      </c>
      <c r="J652" t="s">
        <v>77</v>
      </c>
      <c r="K652" t="s">
        <v>78</v>
      </c>
      <c r="L652" t="s">
        <v>162</v>
      </c>
      <c r="M652" t="s">
        <v>163</v>
      </c>
      <c r="N652" t="s">
        <v>246</v>
      </c>
      <c r="O652" t="s">
        <v>82</v>
      </c>
      <c r="P652" t="str">
        <f>"4170053052                    "</f>
        <v xml:space="preserve">4170053052                    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23.09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1</v>
      </c>
      <c r="BI652">
        <v>1</v>
      </c>
      <c r="BJ652">
        <v>0.2</v>
      </c>
      <c r="BK652">
        <v>1</v>
      </c>
      <c r="BL652">
        <v>71.69</v>
      </c>
      <c r="BM652">
        <v>10.75</v>
      </c>
      <c r="BN652">
        <v>82.44</v>
      </c>
      <c r="BO652">
        <v>82.44</v>
      </c>
      <c r="BQ652" t="s">
        <v>247</v>
      </c>
      <c r="BR652" t="s">
        <v>84</v>
      </c>
      <c r="BS652" s="3">
        <v>45877</v>
      </c>
      <c r="BT652" s="4">
        <v>0.41666666666666669</v>
      </c>
      <c r="BU652" t="s">
        <v>1326</v>
      </c>
      <c r="BV652" t="s">
        <v>90</v>
      </c>
      <c r="BY652">
        <v>1200</v>
      </c>
      <c r="CC652" t="s">
        <v>163</v>
      </c>
      <c r="CD652">
        <v>3201</v>
      </c>
      <c r="CE652" t="s">
        <v>109</v>
      </c>
      <c r="CF652" s="3">
        <v>45880</v>
      </c>
      <c r="CI652">
        <v>1</v>
      </c>
      <c r="CJ652">
        <v>2</v>
      </c>
      <c r="CK652">
        <v>21</v>
      </c>
      <c r="CL652" t="s">
        <v>90</v>
      </c>
    </row>
    <row r="653" spans="1:90" x14ac:dyDescent="0.3">
      <c r="A653" t="s">
        <v>72</v>
      </c>
      <c r="B653" t="s">
        <v>73</v>
      </c>
      <c r="C653" t="s">
        <v>74</v>
      </c>
      <c r="E653" t="str">
        <f>"080067060239"</f>
        <v>080067060239</v>
      </c>
      <c r="F653" s="3">
        <v>45875</v>
      </c>
      <c r="G653">
        <v>202605</v>
      </c>
      <c r="H653" t="s">
        <v>75</v>
      </c>
      <c r="I653" t="s">
        <v>76</v>
      </c>
      <c r="J653" t="s">
        <v>77</v>
      </c>
      <c r="K653" t="s">
        <v>78</v>
      </c>
      <c r="L653" t="s">
        <v>75</v>
      </c>
      <c r="M653" t="s">
        <v>76</v>
      </c>
      <c r="N653" t="s">
        <v>152</v>
      </c>
      <c r="O653" t="s">
        <v>82</v>
      </c>
      <c r="P653" t="str">
        <f>"4170053184                    "</f>
        <v xml:space="preserve">4170053184                    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18.03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1</v>
      </c>
      <c r="BI653">
        <v>8</v>
      </c>
      <c r="BJ653">
        <v>3.4</v>
      </c>
      <c r="BK653">
        <v>8</v>
      </c>
      <c r="BL653">
        <v>55.99</v>
      </c>
      <c r="BM653">
        <v>8.4</v>
      </c>
      <c r="BN653">
        <v>64.39</v>
      </c>
      <c r="BO653">
        <v>64.39</v>
      </c>
      <c r="BQ653" t="s">
        <v>153</v>
      </c>
      <c r="BR653" t="s">
        <v>84</v>
      </c>
      <c r="BS653" s="3">
        <v>45876</v>
      </c>
      <c r="BT653" s="4">
        <v>0.31805555555555554</v>
      </c>
      <c r="BU653" t="s">
        <v>995</v>
      </c>
      <c r="BV653" t="s">
        <v>86</v>
      </c>
      <c r="BY653">
        <v>16965</v>
      </c>
      <c r="CA653" t="s">
        <v>155</v>
      </c>
      <c r="CC653" t="s">
        <v>76</v>
      </c>
      <c r="CD653">
        <v>1600</v>
      </c>
      <c r="CE653" t="s">
        <v>147</v>
      </c>
      <c r="CF653" s="3">
        <v>45876</v>
      </c>
      <c r="CI653">
        <v>1</v>
      </c>
      <c r="CJ653">
        <v>1</v>
      </c>
      <c r="CK653">
        <v>22</v>
      </c>
      <c r="CL653" t="s">
        <v>90</v>
      </c>
    </row>
    <row r="654" spans="1:90" x14ac:dyDescent="0.3">
      <c r="A654" t="s">
        <v>72</v>
      </c>
      <c r="B654" t="s">
        <v>73</v>
      </c>
      <c r="C654" t="s">
        <v>74</v>
      </c>
      <c r="E654" t="str">
        <f>"080067060253"</f>
        <v>080067060253</v>
      </c>
      <c r="F654" s="3">
        <v>45875</v>
      </c>
      <c r="G654">
        <v>202605</v>
      </c>
      <c r="H654" t="s">
        <v>75</v>
      </c>
      <c r="I654" t="s">
        <v>76</v>
      </c>
      <c r="J654" t="s">
        <v>77</v>
      </c>
      <c r="K654" t="s">
        <v>78</v>
      </c>
      <c r="L654" t="s">
        <v>118</v>
      </c>
      <c r="M654" t="s">
        <v>118</v>
      </c>
      <c r="N654" t="s">
        <v>119</v>
      </c>
      <c r="O654" t="s">
        <v>82</v>
      </c>
      <c r="P654" t="str">
        <f>"4170053054                    "</f>
        <v xml:space="preserve">4170053054                    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44.73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1</v>
      </c>
      <c r="BI654">
        <v>1</v>
      </c>
      <c r="BJ654">
        <v>0.2</v>
      </c>
      <c r="BK654">
        <v>1</v>
      </c>
      <c r="BL654">
        <v>138.88999999999999</v>
      </c>
      <c r="BM654">
        <v>20.83</v>
      </c>
      <c r="BN654">
        <v>159.72</v>
      </c>
      <c r="BO654">
        <v>159.72</v>
      </c>
      <c r="BQ654" t="s">
        <v>120</v>
      </c>
      <c r="BR654" t="s">
        <v>84</v>
      </c>
      <c r="BS654" s="3">
        <v>45877</v>
      </c>
      <c r="BT654" s="4">
        <v>0.54097222222222219</v>
      </c>
      <c r="BU654" t="s">
        <v>1419</v>
      </c>
      <c r="BV654" t="s">
        <v>90</v>
      </c>
      <c r="BW654" t="s">
        <v>1167</v>
      </c>
      <c r="BX654" t="s">
        <v>1324</v>
      </c>
      <c r="BY654">
        <v>1200</v>
      </c>
      <c r="CA654" t="s">
        <v>1420</v>
      </c>
      <c r="CC654" t="s">
        <v>118</v>
      </c>
      <c r="CD654">
        <v>7646</v>
      </c>
      <c r="CE654" t="s">
        <v>109</v>
      </c>
      <c r="CF654" s="3">
        <v>45880</v>
      </c>
      <c r="CI654">
        <v>1</v>
      </c>
      <c r="CJ654">
        <v>2</v>
      </c>
      <c r="CK654">
        <v>23</v>
      </c>
      <c r="CL654" t="s">
        <v>90</v>
      </c>
    </row>
    <row r="655" spans="1:90" x14ac:dyDescent="0.3">
      <c r="A655" t="s">
        <v>72</v>
      </c>
      <c r="B655" t="s">
        <v>73</v>
      </c>
      <c r="C655" t="s">
        <v>74</v>
      </c>
      <c r="E655" t="str">
        <f>"080067060270"</f>
        <v>080067060270</v>
      </c>
      <c r="F655" s="3">
        <v>45875</v>
      </c>
      <c r="G655">
        <v>202605</v>
      </c>
      <c r="H655" t="s">
        <v>75</v>
      </c>
      <c r="I655" t="s">
        <v>76</v>
      </c>
      <c r="J655" t="s">
        <v>77</v>
      </c>
      <c r="K655" t="s">
        <v>78</v>
      </c>
      <c r="L655" t="s">
        <v>278</v>
      </c>
      <c r="M655" t="s">
        <v>279</v>
      </c>
      <c r="N655" t="s">
        <v>866</v>
      </c>
      <c r="O655" t="s">
        <v>82</v>
      </c>
      <c r="P655" t="str">
        <f>"4170053068                    "</f>
        <v xml:space="preserve">4170053068                    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23.09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1</v>
      </c>
      <c r="BI655">
        <v>1</v>
      </c>
      <c r="BJ655">
        <v>0.2</v>
      </c>
      <c r="BK655">
        <v>1</v>
      </c>
      <c r="BL655">
        <v>71.69</v>
      </c>
      <c r="BM655">
        <v>10.75</v>
      </c>
      <c r="BN655">
        <v>82.44</v>
      </c>
      <c r="BO655">
        <v>82.44</v>
      </c>
      <c r="BQ655" t="s">
        <v>867</v>
      </c>
      <c r="BR655" t="s">
        <v>84</v>
      </c>
      <c r="BS655" s="3">
        <v>45876</v>
      </c>
      <c r="BT655" s="4">
        <v>0.42152777777777778</v>
      </c>
      <c r="BU655" t="s">
        <v>1163</v>
      </c>
      <c r="BV655" t="s">
        <v>86</v>
      </c>
      <c r="BY655">
        <v>1200</v>
      </c>
      <c r="CA655" t="s">
        <v>532</v>
      </c>
      <c r="CC655" t="s">
        <v>279</v>
      </c>
      <c r="CD655" s="5" t="s">
        <v>533</v>
      </c>
      <c r="CE655" t="s">
        <v>109</v>
      </c>
      <c r="CF655" s="3">
        <v>45876</v>
      </c>
      <c r="CI655">
        <v>1</v>
      </c>
      <c r="CJ655">
        <v>1</v>
      </c>
      <c r="CK655">
        <v>21</v>
      </c>
      <c r="CL655" t="s">
        <v>90</v>
      </c>
    </row>
    <row r="656" spans="1:90" x14ac:dyDescent="0.3">
      <c r="A656" t="s">
        <v>72</v>
      </c>
      <c r="B656" t="s">
        <v>73</v>
      </c>
      <c r="C656" t="s">
        <v>74</v>
      </c>
      <c r="E656" t="str">
        <f>"080067060271"</f>
        <v>080067060271</v>
      </c>
      <c r="F656" s="3">
        <v>45875</v>
      </c>
      <c r="G656">
        <v>202605</v>
      </c>
      <c r="H656" t="s">
        <v>75</v>
      </c>
      <c r="I656" t="s">
        <v>76</v>
      </c>
      <c r="J656" t="s">
        <v>77</v>
      </c>
      <c r="K656" t="s">
        <v>78</v>
      </c>
      <c r="L656" t="s">
        <v>162</v>
      </c>
      <c r="M656" t="s">
        <v>163</v>
      </c>
      <c r="N656" t="s">
        <v>246</v>
      </c>
      <c r="O656" t="s">
        <v>82</v>
      </c>
      <c r="P656" t="str">
        <f>"4170053050                    "</f>
        <v xml:space="preserve">4170053050                    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46.15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1</v>
      </c>
      <c r="BI656">
        <v>4</v>
      </c>
      <c r="BJ656">
        <v>1.9</v>
      </c>
      <c r="BK656">
        <v>4</v>
      </c>
      <c r="BL656">
        <v>143.31</v>
      </c>
      <c r="BM656">
        <v>21.5</v>
      </c>
      <c r="BN656">
        <v>164.81</v>
      </c>
      <c r="BO656">
        <v>164.81</v>
      </c>
      <c r="BQ656" t="s">
        <v>247</v>
      </c>
      <c r="BR656" t="s">
        <v>84</v>
      </c>
      <c r="BS656" s="3">
        <v>45877</v>
      </c>
      <c r="BT656" s="4">
        <v>0.41666666666666669</v>
      </c>
      <c r="BU656" t="s">
        <v>485</v>
      </c>
      <c r="BV656" t="s">
        <v>90</v>
      </c>
      <c r="BY656">
        <v>9600</v>
      </c>
      <c r="CC656" t="s">
        <v>163</v>
      </c>
      <c r="CD656">
        <v>3201</v>
      </c>
      <c r="CE656" t="s">
        <v>147</v>
      </c>
      <c r="CF656" s="3">
        <v>45880</v>
      </c>
      <c r="CI656">
        <v>1</v>
      </c>
      <c r="CJ656">
        <v>2</v>
      </c>
      <c r="CK656">
        <v>21</v>
      </c>
      <c r="CL656" t="s">
        <v>90</v>
      </c>
    </row>
    <row r="657" spans="1:90" x14ac:dyDescent="0.3">
      <c r="A657" t="s">
        <v>72</v>
      </c>
      <c r="B657" t="s">
        <v>73</v>
      </c>
      <c r="C657" t="s">
        <v>74</v>
      </c>
      <c r="E657" t="str">
        <f>"080067060299"</f>
        <v>080067060299</v>
      </c>
      <c r="F657" s="3">
        <v>45875</v>
      </c>
      <c r="G657">
        <v>202605</v>
      </c>
      <c r="H657" t="s">
        <v>75</v>
      </c>
      <c r="I657" t="s">
        <v>76</v>
      </c>
      <c r="J657" t="s">
        <v>77</v>
      </c>
      <c r="K657" t="s">
        <v>78</v>
      </c>
      <c r="L657" t="s">
        <v>217</v>
      </c>
      <c r="M657" t="s">
        <v>218</v>
      </c>
      <c r="N657" t="s">
        <v>219</v>
      </c>
      <c r="O657" t="s">
        <v>82</v>
      </c>
      <c r="P657" t="str">
        <f>"4170053095                    "</f>
        <v xml:space="preserve">4170053095                    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23.09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1</v>
      </c>
      <c r="BI657">
        <v>1</v>
      </c>
      <c r="BJ657">
        <v>0.2</v>
      </c>
      <c r="BK657">
        <v>1</v>
      </c>
      <c r="BL657">
        <v>71.69</v>
      </c>
      <c r="BM657">
        <v>10.75</v>
      </c>
      <c r="BN657">
        <v>82.44</v>
      </c>
      <c r="BO657">
        <v>82.44</v>
      </c>
      <c r="BQ657" t="s">
        <v>220</v>
      </c>
      <c r="BR657" t="s">
        <v>84</v>
      </c>
      <c r="BS657" s="3">
        <v>45876</v>
      </c>
      <c r="BT657" s="4">
        <v>0.33819444444444446</v>
      </c>
      <c r="BU657" t="s">
        <v>565</v>
      </c>
      <c r="BV657" t="s">
        <v>86</v>
      </c>
      <c r="BY657">
        <v>1200</v>
      </c>
      <c r="BZ657" t="s">
        <v>330</v>
      </c>
      <c r="CA657" t="s">
        <v>566</v>
      </c>
      <c r="CC657" t="s">
        <v>218</v>
      </c>
      <c r="CD657">
        <v>4000</v>
      </c>
      <c r="CE657" t="s">
        <v>597</v>
      </c>
      <c r="CF657" s="3">
        <v>45876</v>
      </c>
      <c r="CI657">
        <v>1</v>
      </c>
      <c r="CJ657">
        <v>1</v>
      </c>
      <c r="CK657">
        <v>21</v>
      </c>
      <c r="CL657" t="s">
        <v>90</v>
      </c>
    </row>
    <row r="658" spans="1:90" x14ac:dyDescent="0.3">
      <c r="A658" t="s">
        <v>72</v>
      </c>
      <c r="B658" t="s">
        <v>73</v>
      </c>
      <c r="C658" t="s">
        <v>74</v>
      </c>
      <c r="E658" t="str">
        <f>"080067060306"</f>
        <v>080067060306</v>
      </c>
      <c r="F658" s="3">
        <v>45875</v>
      </c>
      <c r="G658">
        <v>202605</v>
      </c>
      <c r="H658" t="s">
        <v>75</v>
      </c>
      <c r="I658" t="s">
        <v>76</v>
      </c>
      <c r="J658" t="s">
        <v>77</v>
      </c>
      <c r="K658" t="s">
        <v>78</v>
      </c>
      <c r="L658" t="s">
        <v>278</v>
      </c>
      <c r="M658" t="s">
        <v>279</v>
      </c>
      <c r="N658" t="s">
        <v>866</v>
      </c>
      <c r="O658" t="s">
        <v>95</v>
      </c>
      <c r="P658" t="str">
        <f>"4170053130                    "</f>
        <v xml:space="preserve">4170053130                    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44.64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1</v>
      </c>
      <c r="BI658">
        <v>5</v>
      </c>
      <c r="BJ658">
        <v>2.2999999999999998</v>
      </c>
      <c r="BK658">
        <v>5</v>
      </c>
      <c r="BL658">
        <v>144.49</v>
      </c>
      <c r="BM658">
        <v>21.67</v>
      </c>
      <c r="BN658">
        <v>166.16</v>
      </c>
      <c r="BO658">
        <v>166.16</v>
      </c>
      <c r="BQ658" t="s">
        <v>867</v>
      </c>
      <c r="BR658" t="s">
        <v>84</v>
      </c>
      <c r="BS658" s="3">
        <v>45876</v>
      </c>
      <c r="BT658" s="4">
        <v>0.4201388888888889</v>
      </c>
      <c r="BU658" t="s">
        <v>1163</v>
      </c>
      <c r="BV658" t="s">
        <v>86</v>
      </c>
      <c r="BY658">
        <v>11264</v>
      </c>
      <c r="CA658" t="s">
        <v>532</v>
      </c>
      <c r="CC658" t="s">
        <v>279</v>
      </c>
      <c r="CD658" s="5" t="s">
        <v>533</v>
      </c>
      <c r="CE658" t="s">
        <v>117</v>
      </c>
      <c r="CF658" s="3">
        <v>45876</v>
      </c>
      <c r="CI658">
        <v>1</v>
      </c>
      <c r="CJ658">
        <v>1</v>
      </c>
      <c r="CK658">
        <v>41</v>
      </c>
      <c r="CL658" t="s">
        <v>90</v>
      </c>
    </row>
    <row r="659" spans="1:90" x14ac:dyDescent="0.3">
      <c r="A659" t="s">
        <v>72</v>
      </c>
      <c r="B659" t="s">
        <v>73</v>
      </c>
      <c r="C659" t="s">
        <v>74</v>
      </c>
      <c r="E659" t="str">
        <f>"080067060347"</f>
        <v>080067060347</v>
      </c>
      <c r="F659" s="3">
        <v>45875</v>
      </c>
      <c r="G659">
        <v>202605</v>
      </c>
      <c r="H659" t="s">
        <v>75</v>
      </c>
      <c r="I659" t="s">
        <v>76</v>
      </c>
      <c r="J659" t="s">
        <v>77</v>
      </c>
      <c r="K659" t="s">
        <v>78</v>
      </c>
      <c r="L659" t="s">
        <v>118</v>
      </c>
      <c r="M659" t="s">
        <v>118</v>
      </c>
      <c r="N659" t="s">
        <v>119</v>
      </c>
      <c r="O659" t="s">
        <v>82</v>
      </c>
      <c r="P659" t="str">
        <f>"4170053055                    "</f>
        <v xml:space="preserve">4170053055                    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44.73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1</v>
      </c>
      <c r="BI659">
        <v>1</v>
      </c>
      <c r="BJ659">
        <v>0.2</v>
      </c>
      <c r="BK659">
        <v>1</v>
      </c>
      <c r="BL659">
        <v>138.88999999999999</v>
      </c>
      <c r="BM659">
        <v>20.83</v>
      </c>
      <c r="BN659">
        <v>159.72</v>
      </c>
      <c r="BO659">
        <v>159.72</v>
      </c>
      <c r="BQ659" t="s">
        <v>120</v>
      </c>
      <c r="BR659" t="s">
        <v>84</v>
      </c>
      <c r="BS659" s="3">
        <v>45877</v>
      </c>
      <c r="BT659" s="4">
        <v>0.54097222222222219</v>
      </c>
      <c r="BU659" t="s">
        <v>1419</v>
      </c>
      <c r="BV659" t="s">
        <v>90</v>
      </c>
      <c r="BW659" t="s">
        <v>773</v>
      </c>
      <c r="BX659" t="s">
        <v>1324</v>
      </c>
      <c r="BY659">
        <v>1200</v>
      </c>
      <c r="CA659" t="s">
        <v>1420</v>
      </c>
      <c r="CC659" t="s">
        <v>118</v>
      </c>
      <c r="CD659">
        <v>7646</v>
      </c>
      <c r="CE659" t="s">
        <v>109</v>
      </c>
      <c r="CF659" s="3">
        <v>45880</v>
      </c>
      <c r="CI659">
        <v>1</v>
      </c>
      <c r="CJ659">
        <v>2</v>
      </c>
      <c r="CK659">
        <v>23</v>
      </c>
      <c r="CL659" t="s">
        <v>90</v>
      </c>
    </row>
    <row r="660" spans="1:90" x14ac:dyDescent="0.3">
      <c r="A660" t="s">
        <v>72</v>
      </c>
      <c r="B660" t="s">
        <v>73</v>
      </c>
      <c r="C660" t="s">
        <v>74</v>
      </c>
      <c r="E660" t="str">
        <f>"080067060364"</f>
        <v>080067060364</v>
      </c>
      <c r="F660" s="3">
        <v>45875</v>
      </c>
      <c r="G660">
        <v>202605</v>
      </c>
      <c r="H660" t="s">
        <v>75</v>
      </c>
      <c r="I660" t="s">
        <v>76</v>
      </c>
      <c r="J660" t="s">
        <v>77</v>
      </c>
      <c r="K660" t="s">
        <v>78</v>
      </c>
      <c r="L660" t="s">
        <v>278</v>
      </c>
      <c r="M660" t="s">
        <v>279</v>
      </c>
      <c r="N660" t="s">
        <v>1421</v>
      </c>
      <c r="O660" t="s">
        <v>82</v>
      </c>
      <c r="P660" t="str">
        <f>"4170053153                    "</f>
        <v xml:space="preserve">4170053153                    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23.09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1</v>
      </c>
      <c r="BI660">
        <v>1</v>
      </c>
      <c r="BJ660">
        <v>0.6</v>
      </c>
      <c r="BK660">
        <v>1</v>
      </c>
      <c r="BL660">
        <v>71.69</v>
      </c>
      <c r="BM660">
        <v>10.75</v>
      </c>
      <c r="BN660">
        <v>82.44</v>
      </c>
      <c r="BO660">
        <v>82.44</v>
      </c>
      <c r="BQ660" t="s">
        <v>1422</v>
      </c>
      <c r="BR660" t="s">
        <v>84</v>
      </c>
      <c r="BS660" s="3">
        <v>45876</v>
      </c>
      <c r="BT660" s="4">
        <v>0.43263888888888891</v>
      </c>
      <c r="BU660" t="s">
        <v>1423</v>
      </c>
      <c r="BV660" t="s">
        <v>86</v>
      </c>
      <c r="BY660">
        <v>3192</v>
      </c>
      <c r="CA660" t="s">
        <v>532</v>
      </c>
      <c r="CC660" t="s">
        <v>279</v>
      </c>
      <c r="CD660" s="5" t="s">
        <v>533</v>
      </c>
      <c r="CE660" t="s">
        <v>147</v>
      </c>
      <c r="CF660" s="3">
        <v>45876</v>
      </c>
      <c r="CI660">
        <v>1</v>
      </c>
      <c r="CJ660">
        <v>1</v>
      </c>
      <c r="CK660">
        <v>21</v>
      </c>
      <c r="CL660" t="s">
        <v>90</v>
      </c>
    </row>
    <row r="661" spans="1:90" x14ac:dyDescent="0.3">
      <c r="A661" t="s">
        <v>72</v>
      </c>
      <c r="B661" t="s">
        <v>73</v>
      </c>
      <c r="C661" t="s">
        <v>74</v>
      </c>
      <c r="E661" t="str">
        <f>"080067060379"</f>
        <v>080067060379</v>
      </c>
      <c r="F661" s="3">
        <v>45875</v>
      </c>
      <c r="G661">
        <v>202605</v>
      </c>
      <c r="H661" t="s">
        <v>75</v>
      </c>
      <c r="I661" t="s">
        <v>76</v>
      </c>
      <c r="J661" t="s">
        <v>77</v>
      </c>
      <c r="K661" t="s">
        <v>78</v>
      </c>
      <c r="L661" t="s">
        <v>1076</v>
      </c>
      <c r="M661" t="s">
        <v>1077</v>
      </c>
      <c r="N661" t="s">
        <v>351</v>
      </c>
      <c r="O661" t="s">
        <v>82</v>
      </c>
      <c r="P661" t="str">
        <f>"4170053196                    "</f>
        <v xml:space="preserve">4170053196                    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44.73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1</v>
      </c>
      <c r="BI661">
        <v>1</v>
      </c>
      <c r="BJ661">
        <v>0.2</v>
      </c>
      <c r="BK661">
        <v>1</v>
      </c>
      <c r="BL661">
        <v>138.88999999999999</v>
      </c>
      <c r="BM661">
        <v>20.83</v>
      </c>
      <c r="BN661">
        <v>159.72</v>
      </c>
      <c r="BO661">
        <v>159.72</v>
      </c>
      <c r="BQ661" t="s">
        <v>352</v>
      </c>
      <c r="BR661" t="s">
        <v>84</v>
      </c>
      <c r="BS661" s="3">
        <v>45876</v>
      </c>
      <c r="BT661" s="4">
        <v>0.69861111111111107</v>
      </c>
      <c r="BU661" t="s">
        <v>1078</v>
      </c>
      <c r="BV661" t="s">
        <v>86</v>
      </c>
      <c r="BY661">
        <v>1200</v>
      </c>
      <c r="CA661" t="s">
        <v>1079</v>
      </c>
      <c r="CC661" t="s">
        <v>1077</v>
      </c>
      <c r="CD661">
        <v>9880</v>
      </c>
      <c r="CE661" t="s">
        <v>109</v>
      </c>
      <c r="CF661" s="3">
        <v>45877</v>
      </c>
      <c r="CI661">
        <v>1</v>
      </c>
      <c r="CJ661">
        <v>1</v>
      </c>
      <c r="CK661">
        <v>23</v>
      </c>
      <c r="CL661" t="s">
        <v>90</v>
      </c>
    </row>
    <row r="662" spans="1:90" x14ac:dyDescent="0.3">
      <c r="A662" t="s">
        <v>72</v>
      </c>
      <c r="B662" t="s">
        <v>73</v>
      </c>
      <c r="C662" t="s">
        <v>74</v>
      </c>
      <c r="E662" t="str">
        <f>"080067060401"</f>
        <v>080067060401</v>
      </c>
      <c r="F662" s="3">
        <v>45875</v>
      </c>
      <c r="G662">
        <v>202605</v>
      </c>
      <c r="H662" t="s">
        <v>75</v>
      </c>
      <c r="I662" t="s">
        <v>76</v>
      </c>
      <c r="J662" t="s">
        <v>77</v>
      </c>
      <c r="K662" t="s">
        <v>78</v>
      </c>
      <c r="L662" t="s">
        <v>123</v>
      </c>
      <c r="M662" t="s">
        <v>124</v>
      </c>
      <c r="N662" t="s">
        <v>677</v>
      </c>
      <c r="O662" t="s">
        <v>82</v>
      </c>
      <c r="P662" t="str">
        <f>"4170053248                    "</f>
        <v xml:space="preserve">4170053248                    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34.619999999999997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1</v>
      </c>
      <c r="BI662">
        <v>3</v>
      </c>
      <c r="BJ662">
        <v>1.7</v>
      </c>
      <c r="BK662">
        <v>3</v>
      </c>
      <c r="BL662">
        <v>107.5</v>
      </c>
      <c r="BM662">
        <v>16.13</v>
      </c>
      <c r="BN662">
        <v>123.63</v>
      </c>
      <c r="BO662">
        <v>123.63</v>
      </c>
      <c r="BQ662" t="s">
        <v>678</v>
      </c>
      <c r="BR662" t="s">
        <v>84</v>
      </c>
      <c r="BS662" s="3">
        <v>45877</v>
      </c>
      <c r="BT662" s="4">
        <v>0.41180555555555554</v>
      </c>
      <c r="BU662" t="s">
        <v>1424</v>
      </c>
      <c r="BV662" t="s">
        <v>90</v>
      </c>
      <c r="BW662" t="s">
        <v>773</v>
      </c>
      <c r="BX662" t="s">
        <v>843</v>
      </c>
      <c r="BY662">
        <v>8512</v>
      </c>
      <c r="CA662" t="s">
        <v>1425</v>
      </c>
      <c r="CC662" t="s">
        <v>124</v>
      </c>
      <c r="CD662">
        <v>7530</v>
      </c>
      <c r="CE662" t="s">
        <v>147</v>
      </c>
      <c r="CF662" s="3">
        <v>45880</v>
      </c>
      <c r="CI662">
        <v>1</v>
      </c>
      <c r="CJ662">
        <v>2</v>
      </c>
      <c r="CK662">
        <v>21</v>
      </c>
      <c r="CL662" t="s">
        <v>90</v>
      </c>
    </row>
    <row r="663" spans="1:90" x14ac:dyDescent="0.3">
      <c r="A663" t="s">
        <v>72</v>
      </c>
      <c r="B663" t="s">
        <v>73</v>
      </c>
      <c r="C663" t="s">
        <v>74</v>
      </c>
      <c r="E663" t="str">
        <f>"080067060430"</f>
        <v>080067060430</v>
      </c>
      <c r="F663" s="3">
        <v>45875</v>
      </c>
      <c r="G663">
        <v>202605</v>
      </c>
      <c r="H663" t="s">
        <v>75</v>
      </c>
      <c r="I663" t="s">
        <v>76</v>
      </c>
      <c r="J663" t="s">
        <v>77</v>
      </c>
      <c r="K663" t="s">
        <v>78</v>
      </c>
      <c r="L663" t="s">
        <v>123</v>
      </c>
      <c r="M663" t="s">
        <v>124</v>
      </c>
      <c r="N663" t="s">
        <v>1321</v>
      </c>
      <c r="O663" t="s">
        <v>82</v>
      </c>
      <c r="P663" t="str">
        <f>"4170053207                    "</f>
        <v xml:space="preserve">4170053207                    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23.09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1</v>
      </c>
      <c r="BI663">
        <v>1</v>
      </c>
      <c r="BJ663">
        <v>0.2</v>
      </c>
      <c r="BK663">
        <v>1</v>
      </c>
      <c r="BL663">
        <v>71.69</v>
      </c>
      <c r="BM663">
        <v>10.75</v>
      </c>
      <c r="BN663">
        <v>82.44</v>
      </c>
      <c r="BO663">
        <v>82.44</v>
      </c>
      <c r="BQ663" t="s">
        <v>1322</v>
      </c>
      <c r="BR663" t="s">
        <v>84</v>
      </c>
      <c r="BS663" s="3">
        <v>45877</v>
      </c>
      <c r="BT663" s="4">
        <v>0.35625000000000001</v>
      </c>
      <c r="BU663" t="s">
        <v>1323</v>
      </c>
      <c r="BV663" t="s">
        <v>90</v>
      </c>
      <c r="BW663" t="s">
        <v>773</v>
      </c>
      <c r="BX663" t="s">
        <v>1324</v>
      </c>
      <c r="BY663">
        <v>1200</v>
      </c>
      <c r="CA663" t="s">
        <v>128</v>
      </c>
      <c r="CC663" t="s">
        <v>124</v>
      </c>
      <c r="CD663">
        <v>7530</v>
      </c>
      <c r="CE663" t="s">
        <v>109</v>
      </c>
      <c r="CF663" s="3">
        <v>45880</v>
      </c>
      <c r="CI663">
        <v>1</v>
      </c>
      <c r="CJ663">
        <v>2</v>
      </c>
      <c r="CK663">
        <v>21</v>
      </c>
      <c r="CL663" t="s">
        <v>90</v>
      </c>
    </row>
    <row r="664" spans="1:90" x14ac:dyDescent="0.3">
      <c r="A664" t="s">
        <v>72</v>
      </c>
      <c r="B664" t="s">
        <v>73</v>
      </c>
      <c r="C664" t="s">
        <v>74</v>
      </c>
      <c r="E664" t="str">
        <f>"080067060449"</f>
        <v>080067060449</v>
      </c>
      <c r="F664" s="3">
        <v>45875</v>
      </c>
      <c r="G664">
        <v>202605</v>
      </c>
      <c r="H664" t="s">
        <v>75</v>
      </c>
      <c r="I664" t="s">
        <v>76</v>
      </c>
      <c r="J664" t="s">
        <v>77</v>
      </c>
      <c r="K664" t="s">
        <v>78</v>
      </c>
      <c r="L664" t="s">
        <v>75</v>
      </c>
      <c r="M664" t="s">
        <v>76</v>
      </c>
      <c r="N664" t="s">
        <v>1426</v>
      </c>
      <c r="O664" t="s">
        <v>82</v>
      </c>
      <c r="P664" t="str">
        <f>"4170053198                    "</f>
        <v xml:space="preserve">4170053198                    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18.03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1</v>
      </c>
      <c r="BI664">
        <v>3</v>
      </c>
      <c r="BJ664">
        <v>1.7</v>
      </c>
      <c r="BK664">
        <v>3</v>
      </c>
      <c r="BL664">
        <v>55.99</v>
      </c>
      <c r="BM664">
        <v>8.4</v>
      </c>
      <c r="BN664">
        <v>64.39</v>
      </c>
      <c r="BO664">
        <v>64.39</v>
      </c>
      <c r="BQ664" t="s">
        <v>1427</v>
      </c>
      <c r="BR664" t="s">
        <v>84</v>
      </c>
      <c r="BS664" s="3">
        <v>45876</v>
      </c>
      <c r="BT664" s="4">
        <v>0.30486111111111114</v>
      </c>
      <c r="BU664" t="s">
        <v>1428</v>
      </c>
      <c r="BV664" t="s">
        <v>86</v>
      </c>
      <c r="BY664">
        <v>8512</v>
      </c>
      <c r="CA664" t="s">
        <v>155</v>
      </c>
      <c r="CC664" t="s">
        <v>76</v>
      </c>
      <c r="CD664">
        <v>1600</v>
      </c>
      <c r="CE664" t="s">
        <v>147</v>
      </c>
      <c r="CF664" s="3">
        <v>45876</v>
      </c>
      <c r="CI664">
        <v>1</v>
      </c>
      <c r="CJ664">
        <v>1</v>
      </c>
      <c r="CK664">
        <v>22</v>
      </c>
      <c r="CL664" t="s">
        <v>90</v>
      </c>
    </row>
    <row r="665" spans="1:90" x14ac:dyDescent="0.3">
      <c r="A665" t="s">
        <v>72</v>
      </c>
      <c r="B665" t="s">
        <v>73</v>
      </c>
      <c r="C665" t="s">
        <v>74</v>
      </c>
      <c r="E665" t="str">
        <f>"080067060487"</f>
        <v>080067060487</v>
      </c>
      <c r="F665" s="3">
        <v>45875</v>
      </c>
      <c r="G665">
        <v>202605</v>
      </c>
      <c r="H665" t="s">
        <v>75</v>
      </c>
      <c r="I665" t="s">
        <v>76</v>
      </c>
      <c r="J665" t="s">
        <v>77</v>
      </c>
      <c r="K665" t="s">
        <v>78</v>
      </c>
      <c r="L665" t="s">
        <v>137</v>
      </c>
      <c r="M665" t="s">
        <v>138</v>
      </c>
      <c r="N665" t="s">
        <v>505</v>
      </c>
      <c r="O665" t="s">
        <v>82</v>
      </c>
      <c r="P665" t="str">
        <f>"4170053245                    "</f>
        <v xml:space="preserve">4170053245                    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23.09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1</v>
      </c>
      <c r="BI665">
        <v>1</v>
      </c>
      <c r="BJ665">
        <v>0.2</v>
      </c>
      <c r="BK665">
        <v>1</v>
      </c>
      <c r="BL665">
        <v>71.69</v>
      </c>
      <c r="BM665">
        <v>10.75</v>
      </c>
      <c r="BN665">
        <v>82.44</v>
      </c>
      <c r="BO665">
        <v>82.44</v>
      </c>
      <c r="BQ665" t="s">
        <v>506</v>
      </c>
      <c r="BR665" t="s">
        <v>84</v>
      </c>
      <c r="BS665" s="3">
        <v>45876</v>
      </c>
      <c r="BT665" s="4">
        <v>0.34930555555555554</v>
      </c>
      <c r="BU665" t="s">
        <v>1429</v>
      </c>
      <c r="BV665" t="s">
        <v>86</v>
      </c>
      <c r="BY665">
        <v>1200</v>
      </c>
      <c r="CA665" t="s">
        <v>264</v>
      </c>
      <c r="CC665" t="s">
        <v>138</v>
      </c>
      <c r="CD665">
        <v>3600</v>
      </c>
      <c r="CE665" t="s">
        <v>109</v>
      </c>
      <c r="CF665" s="3">
        <v>45877</v>
      </c>
      <c r="CI665">
        <v>1</v>
      </c>
      <c r="CJ665">
        <v>1</v>
      </c>
      <c r="CK665">
        <v>21</v>
      </c>
      <c r="CL665" t="s">
        <v>90</v>
      </c>
    </row>
    <row r="666" spans="1:90" x14ac:dyDescent="0.3">
      <c r="A666" t="s">
        <v>72</v>
      </c>
      <c r="B666" t="s">
        <v>73</v>
      </c>
      <c r="C666" t="s">
        <v>74</v>
      </c>
      <c r="E666" t="str">
        <f>"080067061076"</f>
        <v>080067061076</v>
      </c>
      <c r="F666" s="3">
        <v>45875</v>
      </c>
      <c r="G666">
        <v>202605</v>
      </c>
      <c r="H666" t="s">
        <v>75</v>
      </c>
      <c r="I666" t="s">
        <v>76</v>
      </c>
      <c r="J666" t="s">
        <v>77</v>
      </c>
      <c r="K666" t="s">
        <v>78</v>
      </c>
      <c r="L666" t="s">
        <v>123</v>
      </c>
      <c r="M666" t="s">
        <v>124</v>
      </c>
      <c r="N666" t="s">
        <v>663</v>
      </c>
      <c r="O666" t="s">
        <v>82</v>
      </c>
      <c r="P666" t="str">
        <f>"4170053233                    "</f>
        <v xml:space="preserve">4170053233                    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23.09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1</v>
      </c>
      <c r="BI666">
        <v>1</v>
      </c>
      <c r="BJ666">
        <v>0.2</v>
      </c>
      <c r="BK666">
        <v>1</v>
      </c>
      <c r="BL666">
        <v>71.69</v>
      </c>
      <c r="BM666">
        <v>10.75</v>
      </c>
      <c r="BN666">
        <v>82.44</v>
      </c>
      <c r="BO666">
        <v>82.44</v>
      </c>
      <c r="BQ666" t="s">
        <v>664</v>
      </c>
      <c r="BR666" t="s">
        <v>84</v>
      </c>
      <c r="BS666" s="3">
        <v>45877</v>
      </c>
      <c r="BT666" s="4">
        <v>0.5131944444444444</v>
      </c>
      <c r="BU666" t="s">
        <v>665</v>
      </c>
      <c r="BV666" t="s">
        <v>90</v>
      </c>
      <c r="BW666" t="s">
        <v>773</v>
      </c>
      <c r="BX666" t="s">
        <v>381</v>
      </c>
      <c r="BY666">
        <v>1200</v>
      </c>
      <c r="CA666" t="s">
        <v>666</v>
      </c>
      <c r="CC666" t="s">
        <v>124</v>
      </c>
      <c r="CD666">
        <v>7975</v>
      </c>
      <c r="CE666" t="s">
        <v>109</v>
      </c>
      <c r="CF666" s="3">
        <v>45880</v>
      </c>
      <c r="CI666">
        <v>1</v>
      </c>
      <c r="CJ666">
        <v>2</v>
      </c>
      <c r="CK666">
        <v>21</v>
      </c>
      <c r="CL666" t="s">
        <v>90</v>
      </c>
    </row>
    <row r="667" spans="1:90" x14ac:dyDescent="0.3">
      <c r="A667" t="s">
        <v>72</v>
      </c>
      <c r="B667" t="s">
        <v>73</v>
      </c>
      <c r="C667" t="s">
        <v>74</v>
      </c>
      <c r="E667" t="str">
        <f>"080067061149"</f>
        <v>080067061149</v>
      </c>
      <c r="F667" s="3">
        <v>45875</v>
      </c>
      <c r="G667">
        <v>202605</v>
      </c>
      <c r="H667" t="s">
        <v>75</v>
      </c>
      <c r="I667" t="s">
        <v>76</v>
      </c>
      <c r="J667" t="s">
        <v>77</v>
      </c>
      <c r="K667" t="s">
        <v>78</v>
      </c>
      <c r="L667" t="s">
        <v>75</v>
      </c>
      <c r="M667" t="s">
        <v>76</v>
      </c>
      <c r="N667" t="s">
        <v>152</v>
      </c>
      <c r="O667" t="s">
        <v>82</v>
      </c>
      <c r="P667" t="str">
        <f>"4170053099                    "</f>
        <v xml:space="preserve">4170053099                    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18.03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1</v>
      </c>
      <c r="BI667">
        <v>1</v>
      </c>
      <c r="BJ667">
        <v>0.2</v>
      </c>
      <c r="BK667">
        <v>1</v>
      </c>
      <c r="BL667">
        <v>55.99</v>
      </c>
      <c r="BM667">
        <v>8.4</v>
      </c>
      <c r="BN667">
        <v>64.39</v>
      </c>
      <c r="BO667">
        <v>64.39</v>
      </c>
      <c r="BQ667" t="s">
        <v>153</v>
      </c>
      <c r="BR667" t="s">
        <v>84</v>
      </c>
      <c r="BS667" s="3">
        <v>45876</v>
      </c>
      <c r="BT667" s="4">
        <v>0.31805555555555554</v>
      </c>
      <c r="BU667" t="s">
        <v>995</v>
      </c>
      <c r="BV667" t="s">
        <v>86</v>
      </c>
      <c r="BY667">
        <v>1200</v>
      </c>
      <c r="CA667" t="s">
        <v>155</v>
      </c>
      <c r="CC667" t="s">
        <v>76</v>
      </c>
      <c r="CD667">
        <v>1600</v>
      </c>
      <c r="CE667" t="s">
        <v>109</v>
      </c>
      <c r="CF667" s="3">
        <v>45876</v>
      </c>
      <c r="CI667">
        <v>1</v>
      </c>
      <c r="CJ667">
        <v>1</v>
      </c>
      <c r="CK667">
        <v>22</v>
      </c>
      <c r="CL667" t="s">
        <v>90</v>
      </c>
    </row>
    <row r="668" spans="1:90" x14ac:dyDescent="0.3">
      <c r="A668" t="s">
        <v>72</v>
      </c>
      <c r="B668" t="s">
        <v>73</v>
      </c>
      <c r="C668" t="s">
        <v>74</v>
      </c>
      <c r="E668" t="str">
        <f>"080067061146"</f>
        <v>080067061146</v>
      </c>
      <c r="F668" s="3">
        <v>45875</v>
      </c>
      <c r="G668">
        <v>202605</v>
      </c>
      <c r="H668" t="s">
        <v>75</v>
      </c>
      <c r="I668" t="s">
        <v>76</v>
      </c>
      <c r="J668" t="s">
        <v>77</v>
      </c>
      <c r="K668" t="s">
        <v>78</v>
      </c>
      <c r="L668" t="s">
        <v>198</v>
      </c>
      <c r="M668" t="s">
        <v>199</v>
      </c>
      <c r="N668" t="s">
        <v>680</v>
      </c>
      <c r="O668" t="s">
        <v>95</v>
      </c>
      <c r="P668" t="str">
        <f>"4170053074                    "</f>
        <v xml:space="preserve">4170053074                    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50.17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1</v>
      </c>
      <c r="BI668">
        <v>12</v>
      </c>
      <c r="BJ668">
        <v>17.7</v>
      </c>
      <c r="BK668">
        <v>18</v>
      </c>
      <c r="BL668">
        <v>161.66</v>
      </c>
      <c r="BM668">
        <v>24.25</v>
      </c>
      <c r="BN668">
        <v>185.91</v>
      </c>
      <c r="BO668">
        <v>185.91</v>
      </c>
      <c r="BQ668" t="s">
        <v>681</v>
      </c>
      <c r="BR668" t="s">
        <v>84</v>
      </c>
      <c r="BS668" s="3">
        <v>45877</v>
      </c>
      <c r="BT668" s="4">
        <v>0.39930555555555558</v>
      </c>
      <c r="BU668" t="s">
        <v>1430</v>
      </c>
      <c r="BV668" t="s">
        <v>86</v>
      </c>
      <c r="BY668">
        <v>88320</v>
      </c>
      <c r="CA668" t="s">
        <v>413</v>
      </c>
      <c r="CC668" t="s">
        <v>199</v>
      </c>
      <c r="CD668">
        <v>6001</v>
      </c>
      <c r="CE668" t="s">
        <v>147</v>
      </c>
      <c r="CF668" s="3">
        <v>45880</v>
      </c>
      <c r="CI668">
        <v>3</v>
      </c>
      <c r="CJ668">
        <v>2</v>
      </c>
      <c r="CK668">
        <v>41</v>
      </c>
      <c r="CL668" t="s">
        <v>90</v>
      </c>
    </row>
    <row r="669" spans="1:90" x14ac:dyDescent="0.3">
      <c r="A669" t="s">
        <v>72</v>
      </c>
      <c r="B669" t="s">
        <v>73</v>
      </c>
      <c r="C669" t="s">
        <v>74</v>
      </c>
      <c r="E669" t="str">
        <f>"080067061202"</f>
        <v>080067061202</v>
      </c>
      <c r="F669" s="3">
        <v>45875</v>
      </c>
      <c r="G669">
        <v>202605</v>
      </c>
      <c r="H669" t="s">
        <v>75</v>
      </c>
      <c r="I669" t="s">
        <v>76</v>
      </c>
      <c r="J669" t="s">
        <v>77</v>
      </c>
      <c r="K669" t="s">
        <v>78</v>
      </c>
      <c r="L669" t="s">
        <v>229</v>
      </c>
      <c r="M669" t="s">
        <v>230</v>
      </c>
      <c r="N669" t="s">
        <v>231</v>
      </c>
      <c r="O669" t="s">
        <v>95</v>
      </c>
      <c r="P669" t="str">
        <f>"4170053258                    "</f>
        <v xml:space="preserve">4170053258                    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532.46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1</v>
      </c>
      <c r="BI669">
        <v>68</v>
      </c>
      <c r="BJ669">
        <v>160.1</v>
      </c>
      <c r="BK669">
        <v>161</v>
      </c>
      <c r="BL669">
        <v>1659.3</v>
      </c>
      <c r="BM669">
        <v>248.9</v>
      </c>
      <c r="BN669">
        <v>1908.2</v>
      </c>
      <c r="BO669">
        <v>1908.2</v>
      </c>
      <c r="BQ669" t="s">
        <v>232</v>
      </c>
      <c r="BR669" t="s">
        <v>84</v>
      </c>
      <c r="BS669" s="3">
        <v>45876</v>
      </c>
      <c r="BT669" s="4">
        <v>0.38194444444444442</v>
      </c>
      <c r="BU669" t="s">
        <v>233</v>
      </c>
      <c r="BV669" t="s">
        <v>86</v>
      </c>
      <c r="BY669">
        <v>800320</v>
      </c>
      <c r="CC669" t="s">
        <v>230</v>
      </c>
      <c r="CD669">
        <v>2740</v>
      </c>
      <c r="CE669" t="s">
        <v>708</v>
      </c>
      <c r="CF669" s="3">
        <v>45877</v>
      </c>
      <c r="CI669">
        <v>1</v>
      </c>
      <c r="CJ669">
        <v>1</v>
      </c>
      <c r="CK669">
        <v>43</v>
      </c>
      <c r="CL669" t="s">
        <v>90</v>
      </c>
    </row>
    <row r="670" spans="1:90" x14ac:dyDescent="0.3">
      <c r="A670" t="s">
        <v>72</v>
      </c>
      <c r="B670" t="s">
        <v>73</v>
      </c>
      <c r="C670" t="s">
        <v>74</v>
      </c>
      <c r="E670" t="str">
        <f>"080067061217"</f>
        <v>080067061217</v>
      </c>
      <c r="F670" s="3">
        <v>45875</v>
      </c>
      <c r="G670">
        <v>202605</v>
      </c>
      <c r="H670" t="s">
        <v>75</v>
      </c>
      <c r="I670" t="s">
        <v>76</v>
      </c>
      <c r="J670" t="s">
        <v>77</v>
      </c>
      <c r="K670" t="s">
        <v>78</v>
      </c>
      <c r="L670" t="s">
        <v>75</v>
      </c>
      <c r="M670" t="s">
        <v>76</v>
      </c>
      <c r="N670" t="s">
        <v>1100</v>
      </c>
      <c r="O670" t="s">
        <v>82</v>
      </c>
      <c r="P670" t="str">
        <f>"4170053267                    "</f>
        <v xml:space="preserve">4170053267                    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18.03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1</v>
      </c>
      <c r="BI670">
        <v>1</v>
      </c>
      <c r="BJ670">
        <v>0.2</v>
      </c>
      <c r="BK670">
        <v>1</v>
      </c>
      <c r="BL670">
        <v>55.99</v>
      </c>
      <c r="BM670">
        <v>8.4</v>
      </c>
      <c r="BN670">
        <v>64.39</v>
      </c>
      <c r="BO670">
        <v>64.39</v>
      </c>
      <c r="BQ670" t="s">
        <v>1101</v>
      </c>
      <c r="BR670" t="s">
        <v>84</v>
      </c>
      <c r="BS670" s="3">
        <v>45876</v>
      </c>
      <c r="BT670" s="4">
        <v>0.38055555555555554</v>
      </c>
      <c r="BU670" t="s">
        <v>1431</v>
      </c>
      <c r="BV670" t="s">
        <v>86</v>
      </c>
      <c r="BY670">
        <v>1200</v>
      </c>
      <c r="BZ670" t="s">
        <v>330</v>
      </c>
      <c r="CA670" t="s">
        <v>1345</v>
      </c>
      <c r="CC670" t="s">
        <v>76</v>
      </c>
      <c r="CD670">
        <v>1600</v>
      </c>
      <c r="CE670" t="s">
        <v>597</v>
      </c>
      <c r="CF670" s="3">
        <v>45876</v>
      </c>
      <c r="CI670">
        <v>1</v>
      </c>
      <c r="CJ670">
        <v>1</v>
      </c>
      <c r="CK670">
        <v>22</v>
      </c>
      <c r="CL670" t="s">
        <v>90</v>
      </c>
    </row>
    <row r="671" spans="1:90" x14ac:dyDescent="0.3">
      <c r="A671" t="s">
        <v>72</v>
      </c>
      <c r="B671" t="s">
        <v>73</v>
      </c>
      <c r="C671" t="s">
        <v>74</v>
      </c>
      <c r="E671" t="str">
        <f>"080067061295"</f>
        <v>080067061295</v>
      </c>
      <c r="F671" s="3">
        <v>45875</v>
      </c>
      <c r="G671">
        <v>202605</v>
      </c>
      <c r="H671" t="s">
        <v>75</v>
      </c>
      <c r="I671" t="s">
        <v>76</v>
      </c>
      <c r="J671" t="s">
        <v>77</v>
      </c>
      <c r="K671" t="s">
        <v>78</v>
      </c>
      <c r="L671" t="s">
        <v>110</v>
      </c>
      <c r="M671" t="s">
        <v>111</v>
      </c>
      <c r="N671" t="s">
        <v>770</v>
      </c>
      <c r="O671" t="s">
        <v>95</v>
      </c>
      <c r="P671" t="str">
        <f>"4170053146                    "</f>
        <v xml:space="preserve">4170053146                    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34.450000000000003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1</v>
      </c>
      <c r="BI671">
        <v>8</v>
      </c>
      <c r="BJ671">
        <v>8.9</v>
      </c>
      <c r="BK671">
        <v>9</v>
      </c>
      <c r="BL671">
        <v>112.84</v>
      </c>
      <c r="BM671">
        <v>16.93</v>
      </c>
      <c r="BN671">
        <v>129.77000000000001</v>
      </c>
      <c r="BO671">
        <v>129.77000000000001</v>
      </c>
      <c r="BQ671" t="s">
        <v>771</v>
      </c>
      <c r="BR671" t="s">
        <v>84</v>
      </c>
      <c r="BS671" s="3">
        <v>45876</v>
      </c>
      <c r="BT671" s="4">
        <v>0.42638888888888887</v>
      </c>
      <c r="BU671" t="s">
        <v>1053</v>
      </c>
      <c r="BV671" t="s">
        <v>86</v>
      </c>
      <c r="BY671">
        <v>44640</v>
      </c>
      <c r="CA671" t="s">
        <v>1267</v>
      </c>
      <c r="CC671" t="s">
        <v>111</v>
      </c>
      <c r="CD671">
        <v>2163</v>
      </c>
      <c r="CE671" t="s">
        <v>147</v>
      </c>
      <c r="CF671" s="3">
        <v>45877</v>
      </c>
      <c r="CI671">
        <v>1</v>
      </c>
      <c r="CJ671">
        <v>1</v>
      </c>
      <c r="CK671">
        <v>42</v>
      </c>
      <c r="CL671" t="s">
        <v>90</v>
      </c>
    </row>
    <row r="672" spans="1:90" x14ac:dyDescent="0.3">
      <c r="A672" t="s">
        <v>72</v>
      </c>
      <c r="B672" t="s">
        <v>73</v>
      </c>
      <c r="C672" t="s">
        <v>74</v>
      </c>
      <c r="E672" t="str">
        <f>"080067061344"</f>
        <v>080067061344</v>
      </c>
      <c r="F672" s="3">
        <v>45875</v>
      </c>
      <c r="G672">
        <v>202605</v>
      </c>
      <c r="H672" t="s">
        <v>75</v>
      </c>
      <c r="I672" t="s">
        <v>76</v>
      </c>
      <c r="J672" t="s">
        <v>77</v>
      </c>
      <c r="K672" t="s">
        <v>78</v>
      </c>
      <c r="L672" t="s">
        <v>223</v>
      </c>
      <c r="M672" t="s">
        <v>224</v>
      </c>
      <c r="N672" t="s">
        <v>225</v>
      </c>
      <c r="O672" t="s">
        <v>82</v>
      </c>
      <c r="P672" t="str">
        <f>"4170053118                    "</f>
        <v xml:space="preserve">4170053118                    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23.09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1</v>
      </c>
      <c r="BI672">
        <v>2</v>
      </c>
      <c r="BJ672">
        <v>0.9</v>
      </c>
      <c r="BK672">
        <v>2</v>
      </c>
      <c r="BL672">
        <v>71.69</v>
      </c>
      <c r="BM672">
        <v>10.75</v>
      </c>
      <c r="BN672">
        <v>82.44</v>
      </c>
      <c r="BO672">
        <v>82.44</v>
      </c>
      <c r="BQ672" t="s">
        <v>226</v>
      </c>
      <c r="BR672" t="s">
        <v>84</v>
      </c>
      <c r="BS672" s="3">
        <v>45876</v>
      </c>
      <c r="BT672" s="4">
        <v>0.58263888888888893</v>
      </c>
      <c r="BU672" t="s">
        <v>1432</v>
      </c>
      <c r="BV672" t="s">
        <v>90</v>
      </c>
      <c r="BY672">
        <v>4560</v>
      </c>
      <c r="CA672" t="s">
        <v>228</v>
      </c>
      <c r="CC672" t="s">
        <v>224</v>
      </c>
      <c r="CD672">
        <v>5201</v>
      </c>
      <c r="CE672" t="s">
        <v>147</v>
      </c>
      <c r="CF672" s="3">
        <v>45877</v>
      </c>
      <c r="CI672">
        <v>1</v>
      </c>
      <c r="CJ672">
        <v>1</v>
      </c>
      <c r="CK672">
        <v>21</v>
      </c>
      <c r="CL672" t="s">
        <v>90</v>
      </c>
    </row>
    <row r="673" spans="1:90" x14ac:dyDescent="0.3">
      <c r="A673" t="s">
        <v>72</v>
      </c>
      <c r="B673" t="s">
        <v>73</v>
      </c>
      <c r="C673" t="s">
        <v>74</v>
      </c>
      <c r="E673" t="str">
        <f>"080067061376"</f>
        <v>080067061376</v>
      </c>
      <c r="F673" s="3">
        <v>45875</v>
      </c>
      <c r="G673">
        <v>202605</v>
      </c>
      <c r="H673" t="s">
        <v>75</v>
      </c>
      <c r="I673" t="s">
        <v>76</v>
      </c>
      <c r="J673" t="s">
        <v>77</v>
      </c>
      <c r="K673" t="s">
        <v>78</v>
      </c>
      <c r="L673" t="s">
        <v>123</v>
      </c>
      <c r="M673" t="s">
        <v>124</v>
      </c>
      <c r="N673" t="s">
        <v>1096</v>
      </c>
      <c r="O673" t="s">
        <v>82</v>
      </c>
      <c r="P673" t="str">
        <f>"4170053174                    "</f>
        <v xml:space="preserve">4170053174                    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23.09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1</v>
      </c>
      <c r="BI673">
        <v>2</v>
      </c>
      <c r="BJ673">
        <v>1.7</v>
      </c>
      <c r="BK673">
        <v>2</v>
      </c>
      <c r="BL673">
        <v>71.69</v>
      </c>
      <c r="BM673">
        <v>10.75</v>
      </c>
      <c r="BN673">
        <v>82.44</v>
      </c>
      <c r="BO673">
        <v>82.44</v>
      </c>
      <c r="BQ673" t="s">
        <v>1097</v>
      </c>
      <c r="BR673" t="s">
        <v>84</v>
      </c>
      <c r="BS673" s="3">
        <v>45877</v>
      </c>
      <c r="BT673" s="4">
        <v>0.4236111111111111</v>
      </c>
      <c r="BU673" t="s">
        <v>1433</v>
      </c>
      <c r="BV673" t="s">
        <v>90</v>
      </c>
      <c r="BW673" t="s">
        <v>773</v>
      </c>
      <c r="BX673" t="s">
        <v>843</v>
      </c>
      <c r="BY673">
        <v>8550</v>
      </c>
      <c r="CC673" t="s">
        <v>124</v>
      </c>
      <c r="CD673">
        <v>7550</v>
      </c>
      <c r="CE673" t="s">
        <v>147</v>
      </c>
      <c r="CF673" s="3">
        <v>45880</v>
      </c>
      <c r="CI673">
        <v>1</v>
      </c>
      <c r="CJ673">
        <v>2</v>
      </c>
      <c r="CK673">
        <v>21</v>
      </c>
      <c r="CL673" t="s">
        <v>90</v>
      </c>
    </row>
    <row r="674" spans="1:90" x14ac:dyDescent="0.3">
      <c r="A674" t="s">
        <v>72</v>
      </c>
      <c r="B674" t="s">
        <v>73</v>
      </c>
      <c r="C674" t="s">
        <v>74</v>
      </c>
      <c r="E674" t="str">
        <f>"080067061465"</f>
        <v>080067061465</v>
      </c>
      <c r="F674" s="3">
        <v>45875</v>
      </c>
      <c r="G674">
        <v>202605</v>
      </c>
      <c r="H674" t="s">
        <v>75</v>
      </c>
      <c r="I674" t="s">
        <v>76</v>
      </c>
      <c r="J674" t="s">
        <v>77</v>
      </c>
      <c r="K674" t="s">
        <v>78</v>
      </c>
      <c r="L674" t="s">
        <v>325</v>
      </c>
      <c r="M674" t="s">
        <v>326</v>
      </c>
      <c r="N674" t="s">
        <v>1434</v>
      </c>
      <c r="O674" t="s">
        <v>113</v>
      </c>
      <c r="P674" t="str">
        <f>"4170053171                    "</f>
        <v xml:space="preserve">4170053171                    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18.04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1</v>
      </c>
      <c r="BI674">
        <v>3</v>
      </c>
      <c r="BJ674">
        <v>3.8</v>
      </c>
      <c r="BK674">
        <v>4</v>
      </c>
      <c r="BL674">
        <v>56.01</v>
      </c>
      <c r="BM674">
        <v>8.4</v>
      </c>
      <c r="BN674">
        <v>64.41</v>
      </c>
      <c r="BO674">
        <v>64.41</v>
      </c>
      <c r="BQ674" t="s">
        <v>1435</v>
      </c>
      <c r="BR674" t="s">
        <v>84</v>
      </c>
      <c r="BS674" s="3">
        <v>45876</v>
      </c>
      <c r="BT674" s="4">
        <v>0.42152777777777778</v>
      </c>
      <c r="BU674" t="s">
        <v>1436</v>
      </c>
      <c r="BV674" t="s">
        <v>86</v>
      </c>
      <c r="BY674">
        <v>18900</v>
      </c>
      <c r="CC674" t="s">
        <v>326</v>
      </c>
      <c r="CD674">
        <v>2094</v>
      </c>
      <c r="CE674" t="s">
        <v>117</v>
      </c>
      <c r="CF674" s="3">
        <v>45876</v>
      </c>
      <c r="CI674">
        <v>1</v>
      </c>
      <c r="CJ674">
        <v>1</v>
      </c>
      <c r="CK674">
        <v>32</v>
      </c>
      <c r="CL674" t="s">
        <v>90</v>
      </c>
    </row>
    <row r="675" spans="1:90" x14ac:dyDescent="0.3">
      <c r="A675" t="s">
        <v>72</v>
      </c>
      <c r="B675" t="s">
        <v>73</v>
      </c>
      <c r="C675" t="s">
        <v>74</v>
      </c>
      <c r="E675" t="str">
        <f>"080067061799"</f>
        <v>080067061799</v>
      </c>
      <c r="F675" s="3">
        <v>45875</v>
      </c>
      <c r="G675">
        <v>202605</v>
      </c>
      <c r="H675" t="s">
        <v>75</v>
      </c>
      <c r="I675" t="s">
        <v>76</v>
      </c>
      <c r="J675" t="s">
        <v>77</v>
      </c>
      <c r="K675" t="s">
        <v>78</v>
      </c>
      <c r="L675" t="s">
        <v>1076</v>
      </c>
      <c r="M675" t="s">
        <v>1077</v>
      </c>
      <c r="N675" t="s">
        <v>351</v>
      </c>
      <c r="O675" t="s">
        <v>82</v>
      </c>
      <c r="P675" t="str">
        <f>"4170053176                    "</f>
        <v xml:space="preserve">4170053176                    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105.32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1</v>
      </c>
      <c r="BI675">
        <v>5</v>
      </c>
      <c r="BJ675">
        <v>4.0999999999999996</v>
      </c>
      <c r="BK675">
        <v>5</v>
      </c>
      <c r="BL675">
        <v>327.04000000000002</v>
      </c>
      <c r="BM675">
        <v>49.06</v>
      </c>
      <c r="BN675">
        <v>376.1</v>
      </c>
      <c r="BO675">
        <v>376.1</v>
      </c>
      <c r="BQ675" t="s">
        <v>352</v>
      </c>
      <c r="BR675" t="s">
        <v>84</v>
      </c>
      <c r="BS675" s="3">
        <v>45876</v>
      </c>
      <c r="BT675" s="4">
        <v>0.69861111111111107</v>
      </c>
      <c r="BU675" t="s">
        <v>1078</v>
      </c>
      <c r="BV675" t="s">
        <v>86</v>
      </c>
      <c r="BY675">
        <v>20358</v>
      </c>
      <c r="CA675" t="s">
        <v>1079</v>
      </c>
      <c r="CC675" t="s">
        <v>1077</v>
      </c>
      <c r="CD675">
        <v>9880</v>
      </c>
      <c r="CE675" t="s">
        <v>147</v>
      </c>
      <c r="CF675" s="3">
        <v>45877</v>
      </c>
      <c r="CI675">
        <v>1</v>
      </c>
      <c r="CJ675">
        <v>1</v>
      </c>
      <c r="CK675">
        <v>23</v>
      </c>
      <c r="CL675" t="s">
        <v>90</v>
      </c>
    </row>
    <row r="676" spans="1:90" x14ac:dyDescent="0.3">
      <c r="A676" t="s">
        <v>72</v>
      </c>
      <c r="B676" t="s">
        <v>73</v>
      </c>
      <c r="C676" t="s">
        <v>74</v>
      </c>
      <c r="E676" t="str">
        <f>"080067061845"</f>
        <v>080067061845</v>
      </c>
      <c r="F676" s="3">
        <v>45875</v>
      </c>
      <c r="G676">
        <v>202605</v>
      </c>
      <c r="H676" t="s">
        <v>75</v>
      </c>
      <c r="I676" t="s">
        <v>76</v>
      </c>
      <c r="J676" t="s">
        <v>77</v>
      </c>
      <c r="K676" t="s">
        <v>78</v>
      </c>
      <c r="L676" t="s">
        <v>1437</v>
      </c>
      <c r="M676" t="s">
        <v>1438</v>
      </c>
      <c r="N676" t="s">
        <v>1439</v>
      </c>
      <c r="O676" t="s">
        <v>82</v>
      </c>
      <c r="P676" t="str">
        <f>"4170053411                    "</f>
        <v xml:space="preserve">4170053411                    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125.51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1</v>
      </c>
      <c r="BI676">
        <v>6</v>
      </c>
      <c r="BJ676">
        <v>4.0999999999999996</v>
      </c>
      <c r="BK676">
        <v>6</v>
      </c>
      <c r="BL676">
        <v>389.75</v>
      </c>
      <c r="BM676">
        <v>58.46</v>
      </c>
      <c r="BN676">
        <v>448.21</v>
      </c>
      <c r="BO676">
        <v>448.21</v>
      </c>
      <c r="BQ676" t="s">
        <v>1440</v>
      </c>
      <c r="BR676" t="s">
        <v>84</v>
      </c>
      <c r="BS676" s="3">
        <v>45876</v>
      </c>
      <c r="BT676" s="4">
        <v>0.47916666666666669</v>
      </c>
      <c r="BU676" t="s">
        <v>1441</v>
      </c>
      <c r="BV676" t="s">
        <v>86</v>
      </c>
      <c r="BY676">
        <v>20358</v>
      </c>
      <c r="CA676" t="s">
        <v>1442</v>
      </c>
      <c r="CC676" t="s">
        <v>1438</v>
      </c>
      <c r="CD676">
        <v>5257</v>
      </c>
      <c r="CE676" t="s">
        <v>147</v>
      </c>
      <c r="CF676" s="3">
        <v>45876</v>
      </c>
      <c r="CI676">
        <v>1</v>
      </c>
      <c r="CJ676">
        <v>1</v>
      </c>
      <c r="CK676">
        <v>23</v>
      </c>
      <c r="CL676" t="s">
        <v>90</v>
      </c>
    </row>
    <row r="677" spans="1:90" x14ac:dyDescent="0.3">
      <c r="A677" t="s">
        <v>72</v>
      </c>
      <c r="B677" t="s">
        <v>73</v>
      </c>
      <c r="C677" t="s">
        <v>74</v>
      </c>
      <c r="E677" t="str">
        <f>"080067061861"</f>
        <v>080067061861</v>
      </c>
      <c r="F677" s="3">
        <v>45875</v>
      </c>
      <c r="G677">
        <v>202605</v>
      </c>
      <c r="H677" t="s">
        <v>75</v>
      </c>
      <c r="I677" t="s">
        <v>76</v>
      </c>
      <c r="J677" t="s">
        <v>77</v>
      </c>
      <c r="K677" t="s">
        <v>78</v>
      </c>
      <c r="L677" t="s">
        <v>198</v>
      </c>
      <c r="M677" t="s">
        <v>199</v>
      </c>
      <c r="N677" t="s">
        <v>635</v>
      </c>
      <c r="O677" t="s">
        <v>82</v>
      </c>
      <c r="P677" t="str">
        <f>"4170053264                    "</f>
        <v xml:space="preserve">4170053264                    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23.09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1</v>
      </c>
      <c r="BI677">
        <v>1</v>
      </c>
      <c r="BJ677">
        <v>0.2</v>
      </c>
      <c r="BK677">
        <v>1</v>
      </c>
      <c r="BL677">
        <v>71.69</v>
      </c>
      <c r="BM677">
        <v>10.75</v>
      </c>
      <c r="BN677">
        <v>82.44</v>
      </c>
      <c r="BO677">
        <v>82.44</v>
      </c>
      <c r="BQ677" t="s">
        <v>636</v>
      </c>
      <c r="BR677" t="s">
        <v>84</v>
      </c>
      <c r="BS677" s="3">
        <v>45876</v>
      </c>
      <c r="BT677" s="4">
        <v>0.40347222222222223</v>
      </c>
      <c r="BU677" t="s">
        <v>1443</v>
      </c>
      <c r="BV677" t="s">
        <v>86</v>
      </c>
      <c r="BY677">
        <v>1200</v>
      </c>
      <c r="BZ677" t="s">
        <v>330</v>
      </c>
      <c r="CA677" t="s">
        <v>203</v>
      </c>
      <c r="CC677" t="s">
        <v>199</v>
      </c>
      <c r="CD677">
        <v>6001</v>
      </c>
      <c r="CE677" t="s">
        <v>597</v>
      </c>
      <c r="CF677" s="3">
        <v>45876</v>
      </c>
      <c r="CI677">
        <v>1</v>
      </c>
      <c r="CJ677">
        <v>1</v>
      </c>
      <c r="CK677">
        <v>21</v>
      </c>
      <c r="CL677" t="s">
        <v>90</v>
      </c>
    </row>
    <row r="678" spans="1:90" x14ac:dyDescent="0.3">
      <c r="A678" t="s">
        <v>72</v>
      </c>
      <c r="B678" t="s">
        <v>73</v>
      </c>
      <c r="C678" t="s">
        <v>74</v>
      </c>
      <c r="E678" t="str">
        <f>"080067061887"</f>
        <v>080067061887</v>
      </c>
      <c r="F678" s="3">
        <v>45875</v>
      </c>
      <c r="G678">
        <v>202605</v>
      </c>
      <c r="H678" t="s">
        <v>75</v>
      </c>
      <c r="I678" t="s">
        <v>76</v>
      </c>
      <c r="J678" t="s">
        <v>77</v>
      </c>
      <c r="K678" t="s">
        <v>78</v>
      </c>
      <c r="L678" t="s">
        <v>325</v>
      </c>
      <c r="M678" t="s">
        <v>326</v>
      </c>
      <c r="N678" t="s">
        <v>980</v>
      </c>
      <c r="O678" t="s">
        <v>82</v>
      </c>
      <c r="P678" t="str">
        <f>"4170053353                    "</f>
        <v xml:space="preserve">4170053353                    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18.03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1</v>
      </c>
      <c r="BI678">
        <v>1</v>
      </c>
      <c r="BJ678">
        <v>0.2</v>
      </c>
      <c r="BK678">
        <v>1</v>
      </c>
      <c r="BL678">
        <v>55.99</v>
      </c>
      <c r="BM678">
        <v>8.4</v>
      </c>
      <c r="BN678">
        <v>64.39</v>
      </c>
      <c r="BO678">
        <v>64.39</v>
      </c>
      <c r="BQ678" t="s">
        <v>981</v>
      </c>
      <c r="BR678" t="s">
        <v>84</v>
      </c>
      <c r="BS678" s="3">
        <v>45876</v>
      </c>
      <c r="BT678" s="4">
        <v>0.41319444444444442</v>
      </c>
      <c r="BU678" t="s">
        <v>982</v>
      </c>
      <c r="BV678" t="s">
        <v>86</v>
      </c>
      <c r="BY678">
        <v>1200</v>
      </c>
      <c r="CA678" t="s">
        <v>461</v>
      </c>
      <c r="CC678" t="s">
        <v>326</v>
      </c>
      <c r="CD678">
        <v>2094</v>
      </c>
      <c r="CE678" t="s">
        <v>109</v>
      </c>
      <c r="CF678" s="3">
        <v>45876</v>
      </c>
      <c r="CI678">
        <v>1</v>
      </c>
      <c r="CJ678">
        <v>1</v>
      </c>
      <c r="CK678">
        <v>22</v>
      </c>
      <c r="CL678" t="s">
        <v>90</v>
      </c>
    </row>
    <row r="679" spans="1:90" x14ac:dyDescent="0.3">
      <c r="A679" t="s">
        <v>72</v>
      </c>
      <c r="B679" t="s">
        <v>73</v>
      </c>
      <c r="C679" t="s">
        <v>74</v>
      </c>
      <c r="E679" t="str">
        <f>"080067061893"</f>
        <v>080067061893</v>
      </c>
      <c r="F679" s="3">
        <v>45875</v>
      </c>
      <c r="G679">
        <v>202605</v>
      </c>
      <c r="H679" t="s">
        <v>75</v>
      </c>
      <c r="I679" t="s">
        <v>76</v>
      </c>
      <c r="J679" t="s">
        <v>77</v>
      </c>
      <c r="K679" t="s">
        <v>78</v>
      </c>
      <c r="L679" t="s">
        <v>75</v>
      </c>
      <c r="M679" t="s">
        <v>76</v>
      </c>
      <c r="N679" t="s">
        <v>1020</v>
      </c>
      <c r="O679" t="s">
        <v>82</v>
      </c>
      <c r="P679" t="str">
        <f>"4170053128                    "</f>
        <v xml:space="preserve">4170053128                    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18.03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1</v>
      </c>
      <c r="BI679">
        <v>3</v>
      </c>
      <c r="BJ679">
        <v>1.7</v>
      </c>
      <c r="BK679">
        <v>3</v>
      </c>
      <c r="BL679">
        <v>55.99</v>
      </c>
      <c r="BM679">
        <v>8.4</v>
      </c>
      <c r="BN679">
        <v>64.39</v>
      </c>
      <c r="BO679">
        <v>64.39</v>
      </c>
      <c r="BQ679" t="s">
        <v>1021</v>
      </c>
      <c r="BR679" t="s">
        <v>84</v>
      </c>
      <c r="BS679" s="3">
        <v>45880</v>
      </c>
      <c r="BT679" s="4">
        <v>0.34166666666666667</v>
      </c>
      <c r="BU679" t="s">
        <v>1444</v>
      </c>
      <c r="BV679" t="s">
        <v>90</v>
      </c>
      <c r="BW679" t="s">
        <v>1167</v>
      </c>
      <c r="BX679" t="s">
        <v>1234</v>
      </c>
      <c r="BY679">
        <v>8550</v>
      </c>
      <c r="CA679" t="s">
        <v>146</v>
      </c>
      <c r="CC679" t="s">
        <v>76</v>
      </c>
      <c r="CD679">
        <v>1645</v>
      </c>
      <c r="CE679" t="s">
        <v>147</v>
      </c>
      <c r="CF679" s="3">
        <v>45881</v>
      </c>
      <c r="CI679">
        <v>1</v>
      </c>
      <c r="CJ679">
        <v>3</v>
      </c>
      <c r="CK679">
        <v>22</v>
      </c>
      <c r="CL679" t="s">
        <v>90</v>
      </c>
    </row>
    <row r="680" spans="1:90" x14ac:dyDescent="0.3">
      <c r="A680" t="s">
        <v>72</v>
      </c>
      <c r="B680" t="s">
        <v>73</v>
      </c>
      <c r="C680" t="s">
        <v>74</v>
      </c>
      <c r="E680" t="str">
        <f>"080067061911"</f>
        <v>080067061911</v>
      </c>
      <c r="F680" s="3">
        <v>45875</v>
      </c>
      <c r="G680">
        <v>202605</v>
      </c>
      <c r="H680" t="s">
        <v>75</v>
      </c>
      <c r="I680" t="s">
        <v>76</v>
      </c>
      <c r="J680" t="s">
        <v>77</v>
      </c>
      <c r="K680" t="s">
        <v>78</v>
      </c>
      <c r="L680" t="s">
        <v>325</v>
      </c>
      <c r="M680" t="s">
        <v>326</v>
      </c>
      <c r="N680" t="s">
        <v>980</v>
      </c>
      <c r="O680" t="s">
        <v>82</v>
      </c>
      <c r="P680" t="str">
        <f>"4170053246                    "</f>
        <v xml:space="preserve">4170053246                    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18.03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1</v>
      </c>
      <c r="BI680">
        <v>1</v>
      </c>
      <c r="BJ680">
        <v>0.2</v>
      </c>
      <c r="BK680">
        <v>1</v>
      </c>
      <c r="BL680">
        <v>55.99</v>
      </c>
      <c r="BM680">
        <v>8.4</v>
      </c>
      <c r="BN680">
        <v>64.39</v>
      </c>
      <c r="BO680">
        <v>64.39</v>
      </c>
      <c r="BQ680" t="s">
        <v>981</v>
      </c>
      <c r="BR680" t="s">
        <v>84</v>
      </c>
      <c r="BS680" s="3">
        <v>45876</v>
      </c>
      <c r="BT680" s="4">
        <v>0.41319444444444442</v>
      </c>
      <c r="BU680" t="s">
        <v>982</v>
      </c>
      <c r="BV680" t="s">
        <v>86</v>
      </c>
      <c r="BY680">
        <v>1200</v>
      </c>
      <c r="CA680" t="s">
        <v>461</v>
      </c>
      <c r="CC680" t="s">
        <v>326</v>
      </c>
      <c r="CD680">
        <v>2094</v>
      </c>
      <c r="CE680" t="s">
        <v>109</v>
      </c>
      <c r="CF680" s="3">
        <v>45876</v>
      </c>
      <c r="CI680">
        <v>1</v>
      </c>
      <c r="CJ680">
        <v>1</v>
      </c>
      <c r="CK680">
        <v>22</v>
      </c>
      <c r="CL680" t="s">
        <v>90</v>
      </c>
    </row>
    <row r="681" spans="1:90" x14ac:dyDescent="0.3">
      <c r="A681" t="s">
        <v>72</v>
      </c>
      <c r="B681" t="s">
        <v>73</v>
      </c>
      <c r="C681" t="s">
        <v>74</v>
      </c>
      <c r="E681" t="str">
        <f>"080067061920"</f>
        <v>080067061920</v>
      </c>
      <c r="F681" s="3">
        <v>45875</v>
      </c>
      <c r="G681">
        <v>202605</v>
      </c>
      <c r="H681" t="s">
        <v>75</v>
      </c>
      <c r="I681" t="s">
        <v>76</v>
      </c>
      <c r="J681" t="s">
        <v>77</v>
      </c>
      <c r="K681" t="s">
        <v>78</v>
      </c>
      <c r="L681" t="s">
        <v>325</v>
      </c>
      <c r="M681" t="s">
        <v>326</v>
      </c>
      <c r="N681" t="s">
        <v>852</v>
      </c>
      <c r="O681" t="s">
        <v>82</v>
      </c>
      <c r="P681" t="str">
        <f>"4170053349                    "</f>
        <v xml:space="preserve">4170053349                    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18.03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1</v>
      </c>
      <c r="BI681">
        <v>2</v>
      </c>
      <c r="BJ681">
        <v>2.1</v>
      </c>
      <c r="BK681">
        <v>3</v>
      </c>
      <c r="BL681">
        <v>55.99</v>
      </c>
      <c r="BM681">
        <v>8.4</v>
      </c>
      <c r="BN681">
        <v>64.39</v>
      </c>
      <c r="BO681">
        <v>64.39</v>
      </c>
      <c r="BQ681" t="s">
        <v>853</v>
      </c>
      <c r="BR681" t="s">
        <v>84</v>
      </c>
      <c r="BS681" s="3">
        <v>45876</v>
      </c>
      <c r="BT681" s="4">
        <v>0.39583333333333331</v>
      </c>
      <c r="BU681" t="s">
        <v>1445</v>
      </c>
      <c r="BV681" t="s">
        <v>86</v>
      </c>
      <c r="BY681">
        <v>10640</v>
      </c>
      <c r="CA681" t="s">
        <v>1351</v>
      </c>
      <c r="CC681" t="s">
        <v>326</v>
      </c>
      <c r="CD681">
        <v>2091</v>
      </c>
      <c r="CE681" t="s">
        <v>147</v>
      </c>
      <c r="CF681" s="3">
        <v>45877</v>
      </c>
      <c r="CI681">
        <v>1</v>
      </c>
      <c r="CJ681">
        <v>1</v>
      </c>
      <c r="CK681">
        <v>22</v>
      </c>
      <c r="CL681" t="s">
        <v>90</v>
      </c>
    </row>
    <row r="682" spans="1:90" x14ac:dyDescent="0.3">
      <c r="A682" t="s">
        <v>72</v>
      </c>
      <c r="B682" t="s">
        <v>73</v>
      </c>
      <c r="C682" t="s">
        <v>74</v>
      </c>
      <c r="E682" t="str">
        <f>"080067061938"</f>
        <v>080067061938</v>
      </c>
      <c r="F682" s="3">
        <v>45875</v>
      </c>
      <c r="G682">
        <v>202605</v>
      </c>
      <c r="H682" t="s">
        <v>75</v>
      </c>
      <c r="I682" t="s">
        <v>76</v>
      </c>
      <c r="J682" t="s">
        <v>77</v>
      </c>
      <c r="K682" t="s">
        <v>78</v>
      </c>
      <c r="L682" t="s">
        <v>118</v>
      </c>
      <c r="M682" t="s">
        <v>118</v>
      </c>
      <c r="N682" t="s">
        <v>119</v>
      </c>
      <c r="O682" t="s">
        <v>82</v>
      </c>
      <c r="P682" t="str">
        <f>"4170053255                    "</f>
        <v xml:space="preserve">4170053255                    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44.73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1</v>
      </c>
      <c r="BI682">
        <v>1</v>
      </c>
      <c r="BJ682">
        <v>0.2</v>
      </c>
      <c r="BK682">
        <v>1</v>
      </c>
      <c r="BL682">
        <v>138.88999999999999</v>
      </c>
      <c r="BM682">
        <v>20.83</v>
      </c>
      <c r="BN682">
        <v>159.72</v>
      </c>
      <c r="BO682">
        <v>159.72</v>
      </c>
      <c r="BQ682" t="s">
        <v>120</v>
      </c>
      <c r="BR682" t="s">
        <v>84</v>
      </c>
      <c r="BS682" s="3">
        <v>45877</v>
      </c>
      <c r="BT682" s="4">
        <v>0.54097222222222219</v>
      </c>
      <c r="BU682" t="s">
        <v>1419</v>
      </c>
      <c r="BV682" t="s">
        <v>90</v>
      </c>
      <c r="BW682" t="s">
        <v>1167</v>
      </c>
      <c r="BX682" t="s">
        <v>1324</v>
      </c>
      <c r="BY682">
        <v>1200</v>
      </c>
      <c r="CA682" t="s">
        <v>1420</v>
      </c>
      <c r="CC682" t="s">
        <v>118</v>
      </c>
      <c r="CD682">
        <v>7646</v>
      </c>
      <c r="CE682" t="s">
        <v>109</v>
      </c>
      <c r="CF682" s="3">
        <v>45880</v>
      </c>
      <c r="CI682">
        <v>1</v>
      </c>
      <c r="CJ682">
        <v>2</v>
      </c>
      <c r="CK682">
        <v>23</v>
      </c>
      <c r="CL682" t="s">
        <v>90</v>
      </c>
    </row>
    <row r="683" spans="1:90" x14ac:dyDescent="0.3">
      <c r="A683" t="s">
        <v>72</v>
      </c>
      <c r="B683" t="s">
        <v>73</v>
      </c>
      <c r="C683" t="s">
        <v>74</v>
      </c>
      <c r="E683" t="str">
        <f>"080067061963"</f>
        <v>080067061963</v>
      </c>
      <c r="F683" s="3">
        <v>45875</v>
      </c>
      <c r="G683">
        <v>202605</v>
      </c>
      <c r="H683" t="s">
        <v>75</v>
      </c>
      <c r="I683" t="s">
        <v>76</v>
      </c>
      <c r="J683" t="s">
        <v>77</v>
      </c>
      <c r="K683" t="s">
        <v>78</v>
      </c>
      <c r="L683" t="s">
        <v>137</v>
      </c>
      <c r="M683" t="s">
        <v>138</v>
      </c>
      <c r="N683" t="s">
        <v>261</v>
      </c>
      <c r="O683" t="s">
        <v>82</v>
      </c>
      <c r="P683" t="str">
        <f>"4170053272                    "</f>
        <v xml:space="preserve">4170053272                    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23.09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1</v>
      </c>
      <c r="BI683">
        <v>1</v>
      </c>
      <c r="BJ683">
        <v>0.2</v>
      </c>
      <c r="BK683">
        <v>1</v>
      </c>
      <c r="BL683">
        <v>71.69</v>
      </c>
      <c r="BM683">
        <v>10.75</v>
      </c>
      <c r="BN683">
        <v>82.44</v>
      </c>
      <c r="BO683">
        <v>82.44</v>
      </c>
      <c r="BQ683" t="s">
        <v>262</v>
      </c>
      <c r="BR683" t="s">
        <v>84</v>
      </c>
      <c r="BS683" s="3">
        <v>45876</v>
      </c>
      <c r="BT683" s="4">
        <v>0.36527777777777776</v>
      </c>
      <c r="BU683" t="s">
        <v>263</v>
      </c>
      <c r="BV683" t="s">
        <v>86</v>
      </c>
      <c r="BY683">
        <v>1200</v>
      </c>
      <c r="CA683" t="s">
        <v>264</v>
      </c>
      <c r="CC683" t="s">
        <v>138</v>
      </c>
      <c r="CD683">
        <v>3608</v>
      </c>
      <c r="CE683" t="s">
        <v>109</v>
      </c>
      <c r="CF683" s="3">
        <v>45877</v>
      </c>
      <c r="CI683">
        <v>1</v>
      </c>
      <c r="CJ683">
        <v>1</v>
      </c>
      <c r="CK683">
        <v>21</v>
      </c>
      <c r="CL683" t="s">
        <v>90</v>
      </c>
    </row>
    <row r="684" spans="1:90" x14ac:dyDescent="0.3">
      <c r="A684" t="s">
        <v>72</v>
      </c>
      <c r="B684" t="s">
        <v>73</v>
      </c>
      <c r="C684" t="s">
        <v>74</v>
      </c>
      <c r="E684" t="str">
        <f>"080067061999"</f>
        <v>080067061999</v>
      </c>
      <c r="F684" s="3">
        <v>45875</v>
      </c>
      <c r="G684">
        <v>202605</v>
      </c>
      <c r="H684" t="s">
        <v>75</v>
      </c>
      <c r="I684" t="s">
        <v>76</v>
      </c>
      <c r="J684" t="s">
        <v>77</v>
      </c>
      <c r="K684" t="s">
        <v>78</v>
      </c>
      <c r="L684" t="s">
        <v>325</v>
      </c>
      <c r="M684" t="s">
        <v>326</v>
      </c>
      <c r="N684" t="s">
        <v>1446</v>
      </c>
      <c r="O684" t="s">
        <v>82</v>
      </c>
      <c r="P684" t="str">
        <f>"4170053132                    "</f>
        <v xml:space="preserve">4170053132                    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18.03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1</v>
      </c>
      <c r="BI684">
        <v>1</v>
      </c>
      <c r="BJ684">
        <v>0.2</v>
      </c>
      <c r="BK684">
        <v>1</v>
      </c>
      <c r="BL684">
        <v>55.99</v>
      </c>
      <c r="BM684">
        <v>8.4</v>
      </c>
      <c r="BN684">
        <v>64.39</v>
      </c>
      <c r="BO684">
        <v>64.39</v>
      </c>
      <c r="BQ684" t="s">
        <v>1447</v>
      </c>
      <c r="BR684" t="s">
        <v>84</v>
      </c>
      <c r="BS684" s="3">
        <v>45876</v>
      </c>
      <c r="BT684" s="4">
        <v>0.36805555555555558</v>
      </c>
      <c r="BU684" t="s">
        <v>1448</v>
      </c>
      <c r="BV684" t="s">
        <v>86</v>
      </c>
      <c r="BY684">
        <v>1200</v>
      </c>
      <c r="CA684" t="s">
        <v>461</v>
      </c>
      <c r="CC684" t="s">
        <v>326</v>
      </c>
      <c r="CD684">
        <v>2094</v>
      </c>
      <c r="CE684" t="s">
        <v>109</v>
      </c>
      <c r="CF684" s="3">
        <v>45876</v>
      </c>
      <c r="CI684">
        <v>1</v>
      </c>
      <c r="CJ684">
        <v>1</v>
      </c>
      <c r="CK684">
        <v>22</v>
      </c>
      <c r="CL684" t="s">
        <v>90</v>
      </c>
    </row>
    <row r="685" spans="1:90" x14ac:dyDescent="0.3">
      <c r="A685" t="s">
        <v>72</v>
      </c>
      <c r="B685" t="s">
        <v>73</v>
      </c>
      <c r="C685" t="s">
        <v>74</v>
      </c>
      <c r="E685" t="str">
        <f>"080067062043"</f>
        <v>080067062043</v>
      </c>
      <c r="F685" s="3">
        <v>45875</v>
      </c>
      <c r="G685">
        <v>202605</v>
      </c>
      <c r="H685" t="s">
        <v>75</v>
      </c>
      <c r="I685" t="s">
        <v>76</v>
      </c>
      <c r="J685" t="s">
        <v>77</v>
      </c>
      <c r="K685" t="s">
        <v>78</v>
      </c>
      <c r="L685" t="s">
        <v>162</v>
      </c>
      <c r="M685" t="s">
        <v>163</v>
      </c>
      <c r="N685" t="s">
        <v>246</v>
      </c>
      <c r="O685" t="s">
        <v>82</v>
      </c>
      <c r="P685" t="str">
        <f>"4170053315                    "</f>
        <v xml:space="preserve">4170053315                    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23.09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1</v>
      </c>
      <c r="BI685">
        <v>1</v>
      </c>
      <c r="BJ685">
        <v>0.2</v>
      </c>
      <c r="BK685">
        <v>1</v>
      </c>
      <c r="BL685">
        <v>71.69</v>
      </c>
      <c r="BM685">
        <v>10.75</v>
      </c>
      <c r="BN685">
        <v>82.44</v>
      </c>
      <c r="BO685">
        <v>82.44</v>
      </c>
      <c r="BQ685" t="s">
        <v>247</v>
      </c>
      <c r="BR685" t="s">
        <v>84</v>
      </c>
      <c r="BS685" s="3">
        <v>45877</v>
      </c>
      <c r="BT685" s="4">
        <v>0.41666666666666669</v>
      </c>
      <c r="BU685" t="s">
        <v>1326</v>
      </c>
      <c r="BV685" t="s">
        <v>90</v>
      </c>
      <c r="BY685">
        <v>1200</v>
      </c>
      <c r="CC685" t="s">
        <v>163</v>
      </c>
      <c r="CD685">
        <v>3201</v>
      </c>
      <c r="CE685" t="s">
        <v>109</v>
      </c>
      <c r="CF685" s="3">
        <v>45880</v>
      </c>
      <c r="CI685">
        <v>1</v>
      </c>
      <c r="CJ685">
        <v>2</v>
      </c>
      <c r="CK685">
        <v>21</v>
      </c>
      <c r="CL685" t="s">
        <v>90</v>
      </c>
    </row>
    <row r="686" spans="1:90" x14ac:dyDescent="0.3">
      <c r="A686" t="s">
        <v>72</v>
      </c>
      <c r="B686" t="s">
        <v>73</v>
      </c>
      <c r="C686" t="s">
        <v>74</v>
      </c>
      <c r="E686" t="str">
        <f>"080067062087"</f>
        <v>080067062087</v>
      </c>
      <c r="F686" s="3">
        <v>45875</v>
      </c>
      <c r="G686">
        <v>202605</v>
      </c>
      <c r="H686" t="s">
        <v>75</v>
      </c>
      <c r="I686" t="s">
        <v>76</v>
      </c>
      <c r="J686" t="s">
        <v>77</v>
      </c>
      <c r="K686" t="s">
        <v>78</v>
      </c>
      <c r="L686" t="s">
        <v>255</v>
      </c>
      <c r="M686" t="s">
        <v>256</v>
      </c>
      <c r="N686" t="s">
        <v>1449</v>
      </c>
      <c r="O686" t="s">
        <v>82</v>
      </c>
      <c r="P686" t="str">
        <f>"4170053254                    "</f>
        <v xml:space="preserve">4170053254                    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18.03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1</v>
      </c>
      <c r="BI686">
        <v>1</v>
      </c>
      <c r="BJ686">
        <v>0.2</v>
      </c>
      <c r="BK686">
        <v>1</v>
      </c>
      <c r="BL686">
        <v>55.99</v>
      </c>
      <c r="BM686">
        <v>8.4</v>
      </c>
      <c r="BN686">
        <v>64.39</v>
      </c>
      <c r="BO686">
        <v>64.39</v>
      </c>
      <c r="BQ686" t="s">
        <v>1450</v>
      </c>
      <c r="BR686" t="s">
        <v>84</v>
      </c>
      <c r="BS686" s="3">
        <v>45876</v>
      </c>
      <c r="BT686" s="4">
        <v>0.42499999999999999</v>
      </c>
      <c r="BU686" t="s">
        <v>1451</v>
      </c>
      <c r="BV686" t="s">
        <v>86</v>
      </c>
      <c r="BY686">
        <v>1200</v>
      </c>
      <c r="BZ686" t="s">
        <v>330</v>
      </c>
      <c r="CA686" t="s">
        <v>1452</v>
      </c>
      <c r="CC686" t="s">
        <v>256</v>
      </c>
      <c r="CD686">
        <v>1501</v>
      </c>
      <c r="CE686" t="s">
        <v>597</v>
      </c>
      <c r="CF686" s="3">
        <v>45877</v>
      </c>
      <c r="CI686">
        <v>1</v>
      </c>
      <c r="CJ686">
        <v>1</v>
      </c>
      <c r="CK686">
        <v>22</v>
      </c>
      <c r="CL686" t="s">
        <v>90</v>
      </c>
    </row>
    <row r="687" spans="1:90" x14ac:dyDescent="0.3">
      <c r="A687" t="s">
        <v>72</v>
      </c>
      <c r="B687" t="s">
        <v>73</v>
      </c>
      <c r="C687" t="s">
        <v>74</v>
      </c>
      <c r="E687" t="str">
        <f>"080067062130"</f>
        <v>080067062130</v>
      </c>
      <c r="F687" s="3">
        <v>45875</v>
      </c>
      <c r="G687">
        <v>202605</v>
      </c>
      <c r="H687" t="s">
        <v>75</v>
      </c>
      <c r="I687" t="s">
        <v>76</v>
      </c>
      <c r="J687" t="s">
        <v>77</v>
      </c>
      <c r="K687" t="s">
        <v>78</v>
      </c>
      <c r="L687" t="s">
        <v>162</v>
      </c>
      <c r="M687" t="s">
        <v>163</v>
      </c>
      <c r="N687" t="s">
        <v>246</v>
      </c>
      <c r="O687" t="s">
        <v>82</v>
      </c>
      <c r="P687" t="str">
        <f>"4170053167                    "</f>
        <v xml:space="preserve">4170053167                    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23.09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1</v>
      </c>
      <c r="BI687">
        <v>1</v>
      </c>
      <c r="BJ687">
        <v>0.2</v>
      </c>
      <c r="BK687">
        <v>1</v>
      </c>
      <c r="BL687">
        <v>71.69</v>
      </c>
      <c r="BM687">
        <v>10.75</v>
      </c>
      <c r="BN687">
        <v>82.44</v>
      </c>
      <c r="BO687">
        <v>82.44</v>
      </c>
      <c r="BQ687" t="s">
        <v>247</v>
      </c>
      <c r="BR687" t="s">
        <v>84</v>
      </c>
      <c r="BS687" s="3">
        <v>45877</v>
      </c>
      <c r="BT687" s="4">
        <v>0.41666666666666669</v>
      </c>
      <c r="BU687" t="s">
        <v>1326</v>
      </c>
      <c r="BV687" t="s">
        <v>90</v>
      </c>
      <c r="BY687">
        <v>1200</v>
      </c>
      <c r="CC687" t="s">
        <v>163</v>
      </c>
      <c r="CD687">
        <v>3201</v>
      </c>
      <c r="CE687" t="s">
        <v>109</v>
      </c>
      <c r="CF687" s="3">
        <v>45880</v>
      </c>
      <c r="CI687">
        <v>1</v>
      </c>
      <c r="CJ687">
        <v>2</v>
      </c>
      <c r="CK687">
        <v>21</v>
      </c>
      <c r="CL687" t="s">
        <v>90</v>
      </c>
    </row>
    <row r="688" spans="1:90" x14ac:dyDescent="0.3">
      <c r="A688" t="s">
        <v>72</v>
      </c>
      <c r="B688" t="s">
        <v>73</v>
      </c>
      <c r="C688" t="s">
        <v>74</v>
      </c>
      <c r="E688" t="str">
        <f>"080067062188"</f>
        <v>080067062188</v>
      </c>
      <c r="F688" s="3">
        <v>45875</v>
      </c>
      <c r="G688">
        <v>202605</v>
      </c>
      <c r="H688" t="s">
        <v>75</v>
      </c>
      <c r="I688" t="s">
        <v>76</v>
      </c>
      <c r="J688" t="s">
        <v>77</v>
      </c>
      <c r="K688" t="s">
        <v>78</v>
      </c>
      <c r="L688" t="s">
        <v>435</v>
      </c>
      <c r="M688" t="s">
        <v>436</v>
      </c>
      <c r="N688" t="s">
        <v>1453</v>
      </c>
      <c r="O688" t="s">
        <v>82</v>
      </c>
      <c r="P688" t="str">
        <f>"4170053202                    "</f>
        <v xml:space="preserve">4170053202                    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44.73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1</v>
      </c>
      <c r="BI688">
        <v>1</v>
      </c>
      <c r="BJ688">
        <v>0.2</v>
      </c>
      <c r="BK688">
        <v>1</v>
      </c>
      <c r="BL688">
        <v>138.88999999999999</v>
      </c>
      <c r="BM688">
        <v>20.83</v>
      </c>
      <c r="BN688">
        <v>159.72</v>
      </c>
      <c r="BO688">
        <v>159.72</v>
      </c>
      <c r="BQ688" t="s">
        <v>1454</v>
      </c>
      <c r="BR688" t="s">
        <v>84</v>
      </c>
      <c r="BS688" s="3">
        <v>45876</v>
      </c>
      <c r="BT688" s="4">
        <v>0.39930555555555558</v>
      </c>
      <c r="BU688" t="s">
        <v>1455</v>
      </c>
      <c r="BV688" t="s">
        <v>86</v>
      </c>
      <c r="BY688">
        <v>1200</v>
      </c>
      <c r="CA688" t="s">
        <v>1456</v>
      </c>
      <c r="CC688" t="s">
        <v>436</v>
      </c>
      <c r="CD688">
        <v>4399</v>
      </c>
      <c r="CE688" t="s">
        <v>109</v>
      </c>
      <c r="CF688" s="3">
        <v>45876</v>
      </c>
      <c r="CI688">
        <v>1</v>
      </c>
      <c r="CJ688">
        <v>1</v>
      </c>
      <c r="CK688">
        <v>23</v>
      </c>
      <c r="CL688" t="s">
        <v>90</v>
      </c>
    </row>
    <row r="689" spans="1:90" x14ac:dyDescent="0.3">
      <c r="A689" t="s">
        <v>72</v>
      </c>
      <c r="B689" t="s">
        <v>73</v>
      </c>
      <c r="C689" t="s">
        <v>74</v>
      </c>
      <c r="E689" t="str">
        <f>"080067062193"</f>
        <v>080067062193</v>
      </c>
      <c r="F689" s="3">
        <v>45875</v>
      </c>
      <c r="G689">
        <v>202605</v>
      </c>
      <c r="H689" t="s">
        <v>75</v>
      </c>
      <c r="I689" t="s">
        <v>76</v>
      </c>
      <c r="J689" t="s">
        <v>77</v>
      </c>
      <c r="K689" t="s">
        <v>78</v>
      </c>
      <c r="L689" t="s">
        <v>123</v>
      </c>
      <c r="M689" t="s">
        <v>124</v>
      </c>
      <c r="N689" t="s">
        <v>189</v>
      </c>
      <c r="O689" t="s">
        <v>82</v>
      </c>
      <c r="P689" t="str">
        <f>"4170053090                    "</f>
        <v xml:space="preserve">4170053090                    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23.09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1</v>
      </c>
      <c r="BI689">
        <v>1</v>
      </c>
      <c r="BJ689">
        <v>0.2</v>
      </c>
      <c r="BK689">
        <v>1</v>
      </c>
      <c r="BL689">
        <v>71.69</v>
      </c>
      <c r="BM689">
        <v>10.75</v>
      </c>
      <c r="BN689">
        <v>82.44</v>
      </c>
      <c r="BO689">
        <v>82.44</v>
      </c>
      <c r="BQ689" t="s">
        <v>190</v>
      </c>
      <c r="BR689" t="s">
        <v>84</v>
      </c>
      <c r="BS689" s="3">
        <v>45877</v>
      </c>
      <c r="BT689" s="4">
        <v>0.42430555555555555</v>
      </c>
      <c r="BU689" t="s">
        <v>1457</v>
      </c>
      <c r="BV689" t="s">
        <v>90</v>
      </c>
      <c r="BW689" t="s">
        <v>773</v>
      </c>
      <c r="BX689" t="s">
        <v>381</v>
      </c>
      <c r="BY689">
        <v>1200</v>
      </c>
      <c r="CA689" t="s">
        <v>192</v>
      </c>
      <c r="CC689" t="s">
        <v>124</v>
      </c>
      <c r="CD689">
        <v>8001</v>
      </c>
      <c r="CE689" t="s">
        <v>109</v>
      </c>
      <c r="CF689" s="3">
        <v>45880</v>
      </c>
      <c r="CI689">
        <v>1</v>
      </c>
      <c r="CJ689">
        <v>2</v>
      </c>
      <c r="CK689">
        <v>21</v>
      </c>
      <c r="CL689" t="s">
        <v>90</v>
      </c>
    </row>
    <row r="690" spans="1:90" x14ac:dyDescent="0.3">
      <c r="A690" t="s">
        <v>72</v>
      </c>
      <c r="B690" t="s">
        <v>73</v>
      </c>
      <c r="C690" t="s">
        <v>74</v>
      </c>
      <c r="E690" t="str">
        <f>"080067062206"</f>
        <v>080067062206</v>
      </c>
      <c r="F690" s="3">
        <v>45875</v>
      </c>
      <c r="G690">
        <v>202605</v>
      </c>
      <c r="H690" t="s">
        <v>75</v>
      </c>
      <c r="I690" t="s">
        <v>76</v>
      </c>
      <c r="J690" t="s">
        <v>77</v>
      </c>
      <c r="K690" t="s">
        <v>78</v>
      </c>
      <c r="L690" t="s">
        <v>162</v>
      </c>
      <c r="M690" t="s">
        <v>163</v>
      </c>
      <c r="N690" t="s">
        <v>246</v>
      </c>
      <c r="O690" t="s">
        <v>82</v>
      </c>
      <c r="P690" t="str">
        <f>"4170053048                    "</f>
        <v xml:space="preserve">4170053048                    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23.09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1</v>
      </c>
      <c r="BI690">
        <v>1</v>
      </c>
      <c r="BJ690">
        <v>0.2</v>
      </c>
      <c r="BK690">
        <v>1</v>
      </c>
      <c r="BL690">
        <v>71.69</v>
      </c>
      <c r="BM690">
        <v>10.75</v>
      </c>
      <c r="BN690">
        <v>82.44</v>
      </c>
      <c r="BO690">
        <v>82.44</v>
      </c>
      <c r="BQ690" t="s">
        <v>247</v>
      </c>
      <c r="BR690" t="s">
        <v>84</v>
      </c>
      <c r="BS690" s="3">
        <v>45877</v>
      </c>
      <c r="BT690" s="4">
        <v>0.41666666666666669</v>
      </c>
      <c r="BU690" t="s">
        <v>1458</v>
      </c>
      <c r="BV690" t="s">
        <v>90</v>
      </c>
      <c r="BY690">
        <v>1200</v>
      </c>
      <c r="CC690" t="s">
        <v>163</v>
      </c>
      <c r="CD690">
        <v>3201</v>
      </c>
      <c r="CE690" t="s">
        <v>109</v>
      </c>
      <c r="CF690" s="3">
        <v>45880</v>
      </c>
      <c r="CI690">
        <v>1</v>
      </c>
      <c r="CJ690">
        <v>2</v>
      </c>
      <c r="CK690">
        <v>21</v>
      </c>
      <c r="CL690" t="s">
        <v>90</v>
      </c>
    </row>
    <row r="691" spans="1:90" x14ac:dyDescent="0.3">
      <c r="A691" t="s">
        <v>72</v>
      </c>
      <c r="B691" t="s">
        <v>73</v>
      </c>
      <c r="C691" t="s">
        <v>74</v>
      </c>
      <c r="E691" t="str">
        <f>"080067062214"</f>
        <v>080067062214</v>
      </c>
      <c r="F691" s="3">
        <v>45875</v>
      </c>
      <c r="G691">
        <v>202605</v>
      </c>
      <c r="H691" t="s">
        <v>75</v>
      </c>
      <c r="I691" t="s">
        <v>76</v>
      </c>
      <c r="J691" t="s">
        <v>77</v>
      </c>
      <c r="K691" t="s">
        <v>78</v>
      </c>
      <c r="L691" t="s">
        <v>75</v>
      </c>
      <c r="M691" t="s">
        <v>76</v>
      </c>
      <c r="N691" t="s">
        <v>152</v>
      </c>
      <c r="O691" t="s">
        <v>82</v>
      </c>
      <c r="P691" t="str">
        <f>"4170053219                    "</f>
        <v xml:space="preserve">4170053219                    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18.03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1</v>
      </c>
      <c r="BI691">
        <v>1</v>
      </c>
      <c r="BJ691">
        <v>0.2</v>
      </c>
      <c r="BK691">
        <v>1</v>
      </c>
      <c r="BL691">
        <v>55.99</v>
      </c>
      <c r="BM691">
        <v>8.4</v>
      </c>
      <c r="BN691">
        <v>64.39</v>
      </c>
      <c r="BO691">
        <v>64.39</v>
      </c>
      <c r="BQ691" t="s">
        <v>153</v>
      </c>
      <c r="BR691" t="s">
        <v>84</v>
      </c>
      <c r="BS691" s="3">
        <v>45876</v>
      </c>
      <c r="BT691" s="4">
        <v>0.31736111111111109</v>
      </c>
      <c r="BU691" t="s">
        <v>995</v>
      </c>
      <c r="BV691" t="s">
        <v>86</v>
      </c>
      <c r="BY691">
        <v>1200</v>
      </c>
      <c r="CA691" t="s">
        <v>155</v>
      </c>
      <c r="CC691" t="s">
        <v>76</v>
      </c>
      <c r="CD691">
        <v>1600</v>
      </c>
      <c r="CE691" t="s">
        <v>109</v>
      </c>
      <c r="CF691" s="3">
        <v>45876</v>
      </c>
      <c r="CI691">
        <v>1</v>
      </c>
      <c r="CJ691">
        <v>1</v>
      </c>
      <c r="CK691">
        <v>22</v>
      </c>
      <c r="CL691" t="s">
        <v>90</v>
      </c>
    </row>
    <row r="692" spans="1:90" x14ac:dyDescent="0.3">
      <c r="A692" t="s">
        <v>72</v>
      </c>
      <c r="B692" t="s">
        <v>73</v>
      </c>
      <c r="C692" t="s">
        <v>74</v>
      </c>
      <c r="E692" t="str">
        <f>"080067062234"</f>
        <v>080067062234</v>
      </c>
      <c r="F692" s="3">
        <v>45875</v>
      </c>
      <c r="G692">
        <v>202605</v>
      </c>
      <c r="H692" t="s">
        <v>75</v>
      </c>
      <c r="I692" t="s">
        <v>76</v>
      </c>
      <c r="J692" t="s">
        <v>77</v>
      </c>
      <c r="K692" t="s">
        <v>78</v>
      </c>
      <c r="L692" t="s">
        <v>217</v>
      </c>
      <c r="M692" t="s">
        <v>218</v>
      </c>
      <c r="N692" t="s">
        <v>249</v>
      </c>
      <c r="O692" t="s">
        <v>82</v>
      </c>
      <c r="P692" t="str">
        <f>"4170053238                    "</f>
        <v xml:space="preserve">4170053238                    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23.09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1</v>
      </c>
      <c r="BI692">
        <v>1</v>
      </c>
      <c r="BJ692">
        <v>0.2</v>
      </c>
      <c r="BK692">
        <v>1</v>
      </c>
      <c r="BL692">
        <v>71.69</v>
      </c>
      <c r="BM692">
        <v>10.75</v>
      </c>
      <c r="BN692">
        <v>82.44</v>
      </c>
      <c r="BO692">
        <v>82.44</v>
      </c>
      <c r="BQ692" t="s">
        <v>250</v>
      </c>
      <c r="BR692" t="s">
        <v>84</v>
      </c>
      <c r="BS692" s="3">
        <v>45876</v>
      </c>
      <c r="BT692" s="4">
        <v>0.39166666666666666</v>
      </c>
      <c r="BU692" t="s">
        <v>1203</v>
      </c>
      <c r="BV692" t="s">
        <v>86</v>
      </c>
      <c r="BY692">
        <v>1200</v>
      </c>
      <c r="CA692" t="s">
        <v>136</v>
      </c>
      <c r="CC692" t="s">
        <v>218</v>
      </c>
      <c r="CD692">
        <v>4052</v>
      </c>
      <c r="CE692" t="s">
        <v>109</v>
      </c>
      <c r="CF692" s="3">
        <v>45876</v>
      </c>
      <c r="CI692">
        <v>1</v>
      </c>
      <c r="CJ692">
        <v>1</v>
      </c>
      <c r="CK692">
        <v>21</v>
      </c>
      <c r="CL692" t="s">
        <v>90</v>
      </c>
    </row>
    <row r="693" spans="1:90" x14ac:dyDescent="0.3">
      <c r="A693" t="s">
        <v>72</v>
      </c>
      <c r="B693" t="s">
        <v>73</v>
      </c>
      <c r="C693" t="s">
        <v>74</v>
      </c>
      <c r="E693" t="str">
        <f>"080067062240"</f>
        <v>080067062240</v>
      </c>
      <c r="F693" s="3">
        <v>45875</v>
      </c>
      <c r="G693">
        <v>202605</v>
      </c>
      <c r="H693" t="s">
        <v>75</v>
      </c>
      <c r="I693" t="s">
        <v>76</v>
      </c>
      <c r="J693" t="s">
        <v>77</v>
      </c>
      <c r="K693" t="s">
        <v>78</v>
      </c>
      <c r="L693" t="s">
        <v>325</v>
      </c>
      <c r="M693" t="s">
        <v>326</v>
      </c>
      <c r="N693" t="s">
        <v>1459</v>
      </c>
      <c r="O693" t="s">
        <v>82</v>
      </c>
      <c r="P693" t="str">
        <f>"4170053236                    "</f>
        <v xml:space="preserve">4170053236                    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18.03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1</v>
      </c>
      <c r="BI693">
        <v>1</v>
      </c>
      <c r="BJ693">
        <v>0.2</v>
      </c>
      <c r="BK693">
        <v>1</v>
      </c>
      <c r="BL693">
        <v>55.99</v>
      </c>
      <c r="BM693">
        <v>8.4</v>
      </c>
      <c r="BN693">
        <v>64.39</v>
      </c>
      <c r="BO693">
        <v>64.39</v>
      </c>
      <c r="BQ693" t="s">
        <v>1460</v>
      </c>
      <c r="BR693" t="s">
        <v>84</v>
      </c>
      <c r="BS693" s="3">
        <v>45876</v>
      </c>
      <c r="BT693" s="4">
        <v>0.39374999999999999</v>
      </c>
      <c r="BU693" t="s">
        <v>1461</v>
      </c>
      <c r="BV693" t="s">
        <v>86</v>
      </c>
      <c r="BY693">
        <v>1200</v>
      </c>
      <c r="CA693" t="s">
        <v>1351</v>
      </c>
      <c r="CC693" t="s">
        <v>326</v>
      </c>
      <c r="CD693">
        <v>2013</v>
      </c>
      <c r="CE693" t="s">
        <v>109</v>
      </c>
      <c r="CF693" s="3">
        <v>45877</v>
      </c>
      <c r="CI693">
        <v>1</v>
      </c>
      <c r="CJ693">
        <v>1</v>
      </c>
      <c r="CK693">
        <v>22</v>
      </c>
      <c r="CL693" t="s">
        <v>90</v>
      </c>
    </row>
    <row r="694" spans="1:90" x14ac:dyDescent="0.3">
      <c r="A694" t="s">
        <v>72</v>
      </c>
      <c r="B694" t="s">
        <v>73</v>
      </c>
      <c r="C694" t="s">
        <v>74</v>
      </c>
      <c r="E694" t="str">
        <f>"080067062258"</f>
        <v>080067062258</v>
      </c>
      <c r="F694" s="3">
        <v>45875</v>
      </c>
      <c r="G694">
        <v>202605</v>
      </c>
      <c r="H694" t="s">
        <v>75</v>
      </c>
      <c r="I694" t="s">
        <v>76</v>
      </c>
      <c r="J694" t="s">
        <v>77</v>
      </c>
      <c r="K694" t="s">
        <v>78</v>
      </c>
      <c r="L694" t="s">
        <v>229</v>
      </c>
      <c r="M694" t="s">
        <v>230</v>
      </c>
      <c r="N694" t="s">
        <v>231</v>
      </c>
      <c r="O694" t="s">
        <v>82</v>
      </c>
      <c r="P694" t="str">
        <f>"4170053354                    "</f>
        <v xml:space="preserve">4170053354                    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44.73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1</v>
      </c>
      <c r="BI694">
        <v>1</v>
      </c>
      <c r="BJ694">
        <v>0.2</v>
      </c>
      <c r="BK694">
        <v>1</v>
      </c>
      <c r="BL694">
        <v>138.88999999999999</v>
      </c>
      <c r="BM694">
        <v>20.83</v>
      </c>
      <c r="BN694">
        <v>159.72</v>
      </c>
      <c r="BO694">
        <v>159.72</v>
      </c>
      <c r="BQ694" t="s">
        <v>232</v>
      </c>
      <c r="BR694" t="s">
        <v>84</v>
      </c>
      <c r="BS694" s="3">
        <v>45876</v>
      </c>
      <c r="BT694" s="4">
        <v>0.29166666666666669</v>
      </c>
      <c r="BU694" t="s">
        <v>233</v>
      </c>
      <c r="BV694" t="s">
        <v>86</v>
      </c>
      <c r="BY694">
        <v>1200</v>
      </c>
      <c r="CC694" t="s">
        <v>230</v>
      </c>
      <c r="CD694">
        <v>2740</v>
      </c>
      <c r="CE694" t="s">
        <v>109</v>
      </c>
      <c r="CF694" s="3">
        <v>45877</v>
      </c>
      <c r="CI694">
        <v>1</v>
      </c>
      <c r="CJ694">
        <v>1</v>
      </c>
      <c r="CK694">
        <v>23</v>
      </c>
      <c r="CL694" t="s">
        <v>90</v>
      </c>
    </row>
    <row r="695" spans="1:90" x14ac:dyDescent="0.3">
      <c r="A695" t="s">
        <v>72</v>
      </c>
      <c r="B695" t="s">
        <v>73</v>
      </c>
      <c r="C695" t="s">
        <v>74</v>
      </c>
      <c r="E695" t="str">
        <f>"080067062267"</f>
        <v>080067062267</v>
      </c>
      <c r="F695" s="3">
        <v>45875</v>
      </c>
      <c r="G695">
        <v>202605</v>
      </c>
      <c r="H695" t="s">
        <v>75</v>
      </c>
      <c r="I695" t="s">
        <v>76</v>
      </c>
      <c r="J695" t="s">
        <v>77</v>
      </c>
      <c r="K695" t="s">
        <v>78</v>
      </c>
      <c r="L695" t="s">
        <v>79</v>
      </c>
      <c r="M695" t="s">
        <v>80</v>
      </c>
      <c r="N695" t="s">
        <v>1462</v>
      </c>
      <c r="O695" t="s">
        <v>82</v>
      </c>
      <c r="P695" t="str">
        <f>"4170053200                    "</f>
        <v xml:space="preserve">4170053200                    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18.03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1</v>
      </c>
      <c r="BI695">
        <v>1</v>
      </c>
      <c r="BJ695">
        <v>0.2</v>
      </c>
      <c r="BK695">
        <v>1</v>
      </c>
      <c r="BL695">
        <v>55.99</v>
      </c>
      <c r="BM695">
        <v>8.4</v>
      </c>
      <c r="BN695">
        <v>64.39</v>
      </c>
      <c r="BO695">
        <v>64.39</v>
      </c>
      <c r="BQ695" t="s">
        <v>1463</v>
      </c>
      <c r="BR695" t="s">
        <v>84</v>
      </c>
      <c r="BS695" s="3">
        <v>45876</v>
      </c>
      <c r="BT695" s="4">
        <v>0.375</v>
      </c>
      <c r="BU695" t="s">
        <v>1464</v>
      </c>
      <c r="BV695" t="s">
        <v>86</v>
      </c>
      <c r="BY695">
        <v>1200</v>
      </c>
      <c r="CA695" t="s">
        <v>461</v>
      </c>
      <c r="CC695" t="s">
        <v>80</v>
      </c>
      <c r="CD695">
        <v>1401</v>
      </c>
      <c r="CE695" t="s">
        <v>109</v>
      </c>
      <c r="CF695" s="3">
        <v>45876</v>
      </c>
      <c r="CI695">
        <v>1</v>
      </c>
      <c r="CJ695">
        <v>1</v>
      </c>
      <c r="CK695">
        <v>22</v>
      </c>
      <c r="CL695" t="s">
        <v>90</v>
      </c>
    </row>
    <row r="696" spans="1:90" x14ac:dyDescent="0.3">
      <c r="A696" t="s">
        <v>72</v>
      </c>
      <c r="B696" t="s">
        <v>73</v>
      </c>
      <c r="C696" t="s">
        <v>74</v>
      </c>
      <c r="E696" t="str">
        <f>"080067062327"</f>
        <v>080067062327</v>
      </c>
      <c r="F696" s="3">
        <v>45875</v>
      </c>
      <c r="G696">
        <v>202605</v>
      </c>
      <c r="H696" t="s">
        <v>75</v>
      </c>
      <c r="I696" t="s">
        <v>76</v>
      </c>
      <c r="J696" t="s">
        <v>77</v>
      </c>
      <c r="K696" t="s">
        <v>78</v>
      </c>
      <c r="L696" t="s">
        <v>314</v>
      </c>
      <c r="M696" t="s">
        <v>314</v>
      </c>
      <c r="N696" t="s">
        <v>1465</v>
      </c>
      <c r="O696" t="s">
        <v>82</v>
      </c>
      <c r="P696" t="str">
        <f>"4170053109                    "</f>
        <v xml:space="preserve">4170053109                    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32.47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1</v>
      </c>
      <c r="BI696">
        <v>1</v>
      </c>
      <c r="BJ696">
        <v>0.2</v>
      </c>
      <c r="BK696">
        <v>1</v>
      </c>
      <c r="BL696">
        <v>100.82</v>
      </c>
      <c r="BM696">
        <v>15.12</v>
      </c>
      <c r="BN696">
        <v>115.94</v>
      </c>
      <c r="BO696">
        <v>115.94</v>
      </c>
      <c r="BQ696" t="s">
        <v>1466</v>
      </c>
      <c r="BR696" t="s">
        <v>84</v>
      </c>
      <c r="BS696" s="3">
        <v>45876</v>
      </c>
      <c r="BT696" s="4">
        <v>0.5625</v>
      </c>
      <c r="BU696" t="s">
        <v>1467</v>
      </c>
      <c r="BV696" t="s">
        <v>90</v>
      </c>
      <c r="BW696" t="s">
        <v>380</v>
      </c>
      <c r="BX696" t="s">
        <v>897</v>
      </c>
      <c r="BY696">
        <v>1200</v>
      </c>
      <c r="CA696" t="s">
        <v>1125</v>
      </c>
      <c r="CC696" t="s">
        <v>314</v>
      </c>
      <c r="CD696">
        <v>1491</v>
      </c>
      <c r="CE696" t="s">
        <v>109</v>
      </c>
      <c r="CF696" s="3">
        <v>45877</v>
      </c>
      <c r="CI696">
        <v>1</v>
      </c>
      <c r="CJ696">
        <v>1</v>
      </c>
      <c r="CK696">
        <v>24</v>
      </c>
      <c r="CL696" t="s">
        <v>90</v>
      </c>
    </row>
    <row r="697" spans="1:90" x14ac:dyDescent="0.3">
      <c r="A697" t="s">
        <v>72</v>
      </c>
      <c r="B697" t="s">
        <v>73</v>
      </c>
      <c r="C697" t="s">
        <v>74</v>
      </c>
      <c r="E697" t="str">
        <f>"080067062345"</f>
        <v>080067062345</v>
      </c>
      <c r="F697" s="3">
        <v>45875</v>
      </c>
      <c r="G697">
        <v>202605</v>
      </c>
      <c r="H697" t="s">
        <v>75</v>
      </c>
      <c r="I697" t="s">
        <v>76</v>
      </c>
      <c r="J697" t="s">
        <v>77</v>
      </c>
      <c r="K697" t="s">
        <v>78</v>
      </c>
      <c r="L697" t="s">
        <v>179</v>
      </c>
      <c r="M697" t="s">
        <v>180</v>
      </c>
      <c r="N697" t="s">
        <v>275</v>
      </c>
      <c r="O697" t="s">
        <v>82</v>
      </c>
      <c r="P697" t="str">
        <f>"4170053160                    "</f>
        <v xml:space="preserve">4170053160                    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32.47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1</v>
      </c>
      <c r="BI697">
        <v>1</v>
      </c>
      <c r="BJ697">
        <v>0.2</v>
      </c>
      <c r="BK697">
        <v>1</v>
      </c>
      <c r="BL697">
        <v>100.82</v>
      </c>
      <c r="BM697">
        <v>15.12</v>
      </c>
      <c r="BN697">
        <v>115.94</v>
      </c>
      <c r="BO697">
        <v>115.94</v>
      </c>
      <c r="BQ697" t="s">
        <v>276</v>
      </c>
      <c r="BR697" t="s">
        <v>84</v>
      </c>
      <c r="BS697" s="3">
        <v>45876</v>
      </c>
      <c r="BT697" s="4">
        <v>0.42291666666666666</v>
      </c>
      <c r="BU697" t="s">
        <v>1468</v>
      </c>
      <c r="BV697" t="s">
        <v>86</v>
      </c>
      <c r="BY697">
        <v>1200</v>
      </c>
      <c r="CA697" t="s">
        <v>184</v>
      </c>
      <c r="CC697" t="s">
        <v>180</v>
      </c>
      <c r="CD697">
        <v>1748</v>
      </c>
      <c r="CE697" t="s">
        <v>109</v>
      </c>
      <c r="CF697" s="3">
        <v>45877</v>
      </c>
      <c r="CI697">
        <v>1</v>
      </c>
      <c r="CJ697">
        <v>1</v>
      </c>
      <c r="CK697">
        <v>24</v>
      </c>
      <c r="CL697" t="s">
        <v>90</v>
      </c>
    </row>
    <row r="698" spans="1:90" x14ac:dyDescent="0.3">
      <c r="A698" t="s">
        <v>72</v>
      </c>
      <c r="B698" t="s">
        <v>73</v>
      </c>
      <c r="C698" t="s">
        <v>74</v>
      </c>
      <c r="E698" t="str">
        <f>"080067062383"</f>
        <v>080067062383</v>
      </c>
      <c r="F698" s="3">
        <v>45875</v>
      </c>
      <c r="G698">
        <v>202605</v>
      </c>
      <c r="H698" t="s">
        <v>75</v>
      </c>
      <c r="I698" t="s">
        <v>76</v>
      </c>
      <c r="J698" t="s">
        <v>77</v>
      </c>
      <c r="K698" t="s">
        <v>78</v>
      </c>
      <c r="L698" t="s">
        <v>137</v>
      </c>
      <c r="M698" t="s">
        <v>138</v>
      </c>
      <c r="N698" t="s">
        <v>261</v>
      </c>
      <c r="O698" t="s">
        <v>82</v>
      </c>
      <c r="P698" t="str">
        <f>"4170053266                    "</f>
        <v xml:space="preserve">4170053266                    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23.09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1</v>
      </c>
      <c r="BI698">
        <v>1</v>
      </c>
      <c r="BJ698">
        <v>0.2</v>
      </c>
      <c r="BK698">
        <v>1</v>
      </c>
      <c r="BL698">
        <v>71.69</v>
      </c>
      <c r="BM698">
        <v>10.75</v>
      </c>
      <c r="BN698">
        <v>82.44</v>
      </c>
      <c r="BO698">
        <v>82.44</v>
      </c>
      <c r="BQ698" t="s">
        <v>262</v>
      </c>
      <c r="BR698" t="s">
        <v>84</v>
      </c>
      <c r="BS698" s="3">
        <v>45876</v>
      </c>
      <c r="BT698" s="4">
        <v>0.36458333333333331</v>
      </c>
      <c r="BU698" t="s">
        <v>263</v>
      </c>
      <c r="BV698" t="s">
        <v>86</v>
      </c>
      <c r="BY698">
        <v>1200</v>
      </c>
      <c r="CA698" t="s">
        <v>264</v>
      </c>
      <c r="CC698" t="s">
        <v>138</v>
      </c>
      <c r="CD698">
        <v>3608</v>
      </c>
      <c r="CE698" t="s">
        <v>109</v>
      </c>
      <c r="CF698" s="3">
        <v>45877</v>
      </c>
      <c r="CI698">
        <v>1</v>
      </c>
      <c r="CJ698">
        <v>1</v>
      </c>
      <c r="CK698">
        <v>21</v>
      </c>
      <c r="CL698" t="s">
        <v>90</v>
      </c>
    </row>
    <row r="699" spans="1:90" x14ac:dyDescent="0.3">
      <c r="A699" t="s">
        <v>72</v>
      </c>
      <c r="B699" t="s">
        <v>73</v>
      </c>
      <c r="C699" t="s">
        <v>74</v>
      </c>
      <c r="E699" t="str">
        <f>"080067062388"</f>
        <v>080067062388</v>
      </c>
      <c r="F699" s="3">
        <v>45875</v>
      </c>
      <c r="G699">
        <v>202605</v>
      </c>
      <c r="H699" t="s">
        <v>75</v>
      </c>
      <c r="I699" t="s">
        <v>76</v>
      </c>
      <c r="J699" t="s">
        <v>77</v>
      </c>
      <c r="K699" t="s">
        <v>78</v>
      </c>
      <c r="L699" t="s">
        <v>446</v>
      </c>
      <c r="M699" t="s">
        <v>447</v>
      </c>
      <c r="N699" t="s">
        <v>448</v>
      </c>
      <c r="O699" t="s">
        <v>82</v>
      </c>
      <c r="P699" t="str">
        <f>"4170053070                    "</f>
        <v xml:space="preserve">4170053070                    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32.47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1</v>
      </c>
      <c r="BI699">
        <v>1</v>
      </c>
      <c r="BJ699">
        <v>0.2</v>
      </c>
      <c r="BK699">
        <v>1</v>
      </c>
      <c r="BL699">
        <v>100.82</v>
      </c>
      <c r="BM699">
        <v>15.12</v>
      </c>
      <c r="BN699">
        <v>115.94</v>
      </c>
      <c r="BO699">
        <v>115.94</v>
      </c>
      <c r="BQ699" t="s">
        <v>449</v>
      </c>
      <c r="BR699" t="s">
        <v>84</v>
      </c>
      <c r="BS699" s="3">
        <v>45876</v>
      </c>
      <c r="BT699" s="4">
        <v>0.30555555555555558</v>
      </c>
      <c r="BU699" t="s">
        <v>1469</v>
      </c>
      <c r="BV699" t="s">
        <v>86</v>
      </c>
      <c r="BY699">
        <v>1200</v>
      </c>
      <c r="CA699" t="s">
        <v>1470</v>
      </c>
      <c r="CC699" t="s">
        <v>447</v>
      </c>
      <c r="CD699">
        <v>2210</v>
      </c>
      <c r="CE699" t="s">
        <v>109</v>
      </c>
      <c r="CF699" s="3">
        <v>45876</v>
      </c>
      <c r="CI699">
        <v>1</v>
      </c>
      <c r="CJ699">
        <v>1</v>
      </c>
      <c r="CK699">
        <v>24</v>
      </c>
      <c r="CL699" t="s">
        <v>90</v>
      </c>
    </row>
    <row r="700" spans="1:90" x14ac:dyDescent="0.3">
      <c r="A700" t="s">
        <v>72</v>
      </c>
      <c r="B700" t="s">
        <v>73</v>
      </c>
      <c r="C700" t="s">
        <v>74</v>
      </c>
      <c r="E700" t="str">
        <f>"080067062404"</f>
        <v>080067062404</v>
      </c>
      <c r="F700" s="3">
        <v>45875</v>
      </c>
      <c r="G700">
        <v>202605</v>
      </c>
      <c r="H700" t="s">
        <v>75</v>
      </c>
      <c r="I700" t="s">
        <v>76</v>
      </c>
      <c r="J700" t="s">
        <v>77</v>
      </c>
      <c r="K700" t="s">
        <v>78</v>
      </c>
      <c r="L700" t="s">
        <v>291</v>
      </c>
      <c r="M700" t="s">
        <v>292</v>
      </c>
      <c r="N700" t="s">
        <v>131</v>
      </c>
      <c r="O700" t="s">
        <v>82</v>
      </c>
      <c r="P700" t="str">
        <f>"4170053268                    "</f>
        <v xml:space="preserve">4170053268                    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18.03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1</v>
      </c>
      <c r="BI700">
        <v>1</v>
      </c>
      <c r="BJ700">
        <v>0.2</v>
      </c>
      <c r="BK700">
        <v>1</v>
      </c>
      <c r="BL700">
        <v>55.99</v>
      </c>
      <c r="BM700">
        <v>8.4</v>
      </c>
      <c r="BN700">
        <v>64.39</v>
      </c>
      <c r="BO700">
        <v>64.39</v>
      </c>
      <c r="BQ700" t="s">
        <v>132</v>
      </c>
      <c r="BR700" t="s">
        <v>84</v>
      </c>
      <c r="BS700" s="3">
        <v>45876</v>
      </c>
      <c r="BT700" s="4">
        <v>0.40555555555555556</v>
      </c>
      <c r="BU700" t="s">
        <v>1471</v>
      </c>
      <c r="BV700" t="s">
        <v>86</v>
      </c>
      <c r="BY700">
        <v>1200</v>
      </c>
      <c r="CA700" t="s">
        <v>296</v>
      </c>
      <c r="CC700" t="s">
        <v>292</v>
      </c>
      <c r="CD700">
        <v>1451</v>
      </c>
      <c r="CE700" t="s">
        <v>109</v>
      </c>
      <c r="CF700" s="3">
        <v>45876</v>
      </c>
      <c r="CI700">
        <v>1</v>
      </c>
      <c r="CJ700">
        <v>1</v>
      </c>
      <c r="CK700">
        <v>22</v>
      </c>
      <c r="CL700" t="s">
        <v>90</v>
      </c>
    </row>
    <row r="701" spans="1:90" x14ac:dyDescent="0.3">
      <c r="A701" t="s">
        <v>72</v>
      </c>
      <c r="B701" t="s">
        <v>73</v>
      </c>
      <c r="C701" t="s">
        <v>74</v>
      </c>
      <c r="E701" t="str">
        <f>"080067062438"</f>
        <v>080067062438</v>
      </c>
      <c r="F701" s="3">
        <v>45875</v>
      </c>
      <c r="G701">
        <v>202605</v>
      </c>
      <c r="H701" t="s">
        <v>75</v>
      </c>
      <c r="I701" t="s">
        <v>76</v>
      </c>
      <c r="J701" t="s">
        <v>77</v>
      </c>
      <c r="K701" t="s">
        <v>78</v>
      </c>
      <c r="L701" t="s">
        <v>446</v>
      </c>
      <c r="M701" t="s">
        <v>447</v>
      </c>
      <c r="N701" t="s">
        <v>448</v>
      </c>
      <c r="O701" t="s">
        <v>82</v>
      </c>
      <c r="P701" t="str">
        <f>"4170053250                    "</f>
        <v xml:space="preserve">4170053250                    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32.47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1</v>
      </c>
      <c r="BI701">
        <v>1</v>
      </c>
      <c r="BJ701">
        <v>0.2</v>
      </c>
      <c r="BK701">
        <v>1</v>
      </c>
      <c r="BL701">
        <v>100.82</v>
      </c>
      <c r="BM701">
        <v>15.12</v>
      </c>
      <c r="BN701">
        <v>115.94</v>
      </c>
      <c r="BO701">
        <v>115.94</v>
      </c>
      <c r="BQ701" t="s">
        <v>449</v>
      </c>
      <c r="BR701" t="s">
        <v>84</v>
      </c>
      <c r="BS701" s="3">
        <v>45876</v>
      </c>
      <c r="BT701" s="4">
        <v>0.30555555555555558</v>
      </c>
      <c r="BU701" t="s">
        <v>1469</v>
      </c>
      <c r="BV701" t="s">
        <v>86</v>
      </c>
      <c r="BY701">
        <v>1200</v>
      </c>
      <c r="CA701" t="s">
        <v>1470</v>
      </c>
      <c r="CC701" t="s">
        <v>447</v>
      </c>
      <c r="CD701">
        <v>2210</v>
      </c>
      <c r="CE701" t="s">
        <v>109</v>
      </c>
      <c r="CF701" s="3">
        <v>45876</v>
      </c>
      <c r="CI701">
        <v>1</v>
      </c>
      <c r="CJ701">
        <v>1</v>
      </c>
      <c r="CK701">
        <v>24</v>
      </c>
      <c r="CL701" t="s">
        <v>90</v>
      </c>
    </row>
    <row r="702" spans="1:90" x14ac:dyDescent="0.3">
      <c r="A702" t="s">
        <v>72</v>
      </c>
      <c r="B702" t="s">
        <v>73</v>
      </c>
      <c r="C702" t="s">
        <v>74</v>
      </c>
      <c r="E702" t="str">
        <f>"080067062447"</f>
        <v>080067062447</v>
      </c>
      <c r="F702" s="3">
        <v>45875</v>
      </c>
      <c r="G702">
        <v>202605</v>
      </c>
      <c r="H702" t="s">
        <v>75</v>
      </c>
      <c r="I702" t="s">
        <v>76</v>
      </c>
      <c r="J702" t="s">
        <v>77</v>
      </c>
      <c r="K702" t="s">
        <v>78</v>
      </c>
      <c r="L702" t="s">
        <v>555</v>
      </c>
      <c r="M702" t="s">
        <v>556</v>
      </c>
      <c r="N702" t="s">
        <v>1472</v>
      </c>
      <c r="O702" t="s">
        <v>82</v>
      </c>
      <c r="P702" t="str">
        <f>"4170053082                    "</f>
        <v xml:space="preserve">4170053082                    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44.73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1</v>
      </c>
      <c r="BI702">
        <v>1</v>
      </c>
      <c r="BJ702">
        <v>0.2</v>
      </c>
      <c r="BK702">
        <v>1</v>
      </c>
      <c r="BL702">
        <v>138.88999999999999</v>
      </c>
      <c r="BM702">
        <v>20.83</v>
      </c>
      <c r="BN702">
        <v>159.72</v>
      </c>
      <c r="BO702">
        <v>159.72</v>
      </c>
      <c r="BQ702" t="s">
        <v>1473</v>
      </c>
      <c r="BR702" t="s">
        <v>84</v>
      </c>
      <c r="BS702" s="3">
        <v>45877</v>
      </c>
      <c r="BT702" s="4">
        <v>0.47916666666666669</v>
      </c>
      <c r="BU702" t="s">
        <v>1474</v>
      </c>
      <c r="BV702" t="s">
        <v>86</v>
      </c>
      <c r="BY702">
        <v>1200</v>
      </c>
      <c r="CA702" t="s">
        <v>1347</v>
      </c>
      <c r="CC702" t="s">
        <v>556</v>
      </c>
      <c r="CD702">
        <v>6849</v>
      </c>
      <c r="CE702" t="s">
        <v>109</v>
      </c>
      <c r="CF702" s="3">
        <v>45880</v>
      </c>
      <c r="CI702">
        <v>2</v>
      </c>
      <c r="CJ702">
        <v>2</v>
      </c>
      <c r="CK702">
        <v>23</v>
      </c>
      <c r="CL702" t="s">
        <v>90</v>
      </c>
    </row>
    <row r="703" spans="1:90" x14ac:dyDescent="0.3">
      <c r="A703" t="s">
        <v>72</v>
      </c>
      <c r="B703" t="s">
        <v>73</v>
      </c>
      <c r="C703" t="s">
        <v>74</v>
      </c>
      <c r="E703" t="str">
        <f>"080067062454"</f>
        <v>080067062454</v>
      </c>
      <c r="F703" s="3">
        <v>45875</v>
      </c>
      <c r="G703">
        <v>202605</v>
      </c>
      <c r="H703" t="s">
        <v>75</v>
      </c>
      <c r="I703" t="s">
        <v>76</v>
      </c>
      <c r="J703" t="s">
        <v>77</v>
      </c>
      <c r="K703" t="s">
        <v>78</v>
      </c>
      <c r="L703" t="s">
        <v>217</v>
      </c>
      <c r="M703" t="s">
        <v>218</v>
      </c>
      <c r="N703" t="s">
        <v>249</v>
      </c>
      <c r="O703" t="s">
        <v>82</v>
      </c>
      <c r="P703" t="str">
        <f>"4170053237                    "</f>
        <v xml:space="preserve">4170053237                    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23.09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1</v>
      </c>
      <c r="BI703">
        <v>1</v>
      </c>
      <c r="BJ703">
        <v>0.2</v>
      </c>
      <c r="BK703">
        <v>1</v>
      </c>
      <c r="BL703">
        <v>71.69</v>
      </c>
      <c r="BM703">
        <v>10.75</v>
      </c>
      <c r="BN703">
        <v>82.44</v>
      </c>
      <c r="BO703">
        <v>82.44</v>
      </c>
      <c r="BQ703" t="s">
        <v>250</v>
      </c>
      <c r="BR703" t="s">
        <v>84</v>
      </c>
      <c r="BS703" s="3">
        <v>45876</v>
      </c>
      <c r="BT703" s="4">
        <v>0.36805555555555558</v>
      </c>
      <c r="BU703" t="s">
        <v>1203</v>
      </c>
      <c r="BV703" t="s">
        <v>86</v>
      </c>
      <c r="BY703">
        <v>1200</v>
      </c>
      <c r="CA703" t="s">
        <v>136</v>
      </c>
      <c r="CC703" t="s">
        <v>218</v>
      </c>
      <c r="CD703">
        <v>4052</v>
      </c>
      <c r="CE703" t="s">
        <v>109</v>
      </c>
      <c r="CF703" s="3">
        <v>45876</v>
      </c>
      <c r="CI703">
        <v>1</v>
      </c>
      <c r="CJ703">
        <v>1</v>
      </c>
      <c r="CK703">
        <v>21</v>
      </c>
      <c r="CL703" t="s">
        <v>90</v>
      </c>
    </row>
    <row r="704" spans="1:90" x14ac:dyDescent="0.3">
      <c r="A704" t="s">
        <v>72</v>
      </c>
      <c r="B704" t="s">
        <v>73</v>
      </c>
      <c r="C704" t="s">
        <v>74</v>
      </c>
      <c r="E704" t="str">
        <f>"080067062500"</f>
        <v>080067062500</v>
      </c>
      <c r="F704" s="3">
        <v>45875</v>
      </c>
      <c r="G704">
        <v>202605</v>
      </c>
      <c r="H704" t="s">
        <v>75</v>
      </c>
      <c r="I704" t="s">
        <v>76</v>
      </c>
      <c r="J704" t="s">
        <v>77</v>
      </c>
      <c r="K704" t="s">
        <v>78</v>
      </c>
      <c r="L704" t="s">
        <v>129</v>
      </c>
      <c r="M704" t="s">
        <v>130</v>
      </c>
      <c r="N704" t="s">
        <v>697</v>
      </c>
      <c r="O704" t="s">
        <v>82</v>
      </c>
      <c r="P704" t="str">
        <f>"4170053162                    "</f>
        <v xml:space="preserve">4170053162                    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23.09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16.739999999999998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1</v>
      </c>
      <c r="BI704">
        <v>1</v>
      </c>
      <c r="BJ704">
        <v>0.2</v>
      </c>
      <c r="BK704">
        <v>1</v>
      </c>
      <c r="BL704">
        <v>88.43</v>
      </c>
      <c r="BM704">
        <v>13.26</v>
      </c>
      <c r="BN704">
        <v>101.69</v>
      </c>
      <c r="BO704">
        <v>101.69</v>
      </c>
      <c r="BQ704" t="s">
        <v>698</v>
      </c>
      <c r="BR704" t="s">
        <v>84</v>
      </c>
      <c r="BS704" s="3">
        <v>45876</v>
      </c>
      <c r="BT704" s="4">
        <v>0.74097222222222225</v>
      </c>
      <c r="BU704" t="s">
        <v>1475</v>
      </c>
      <c r="BV704" t="s">
        <v>90</v>
      </c>
      <c r="BW704" t="s">
        <v>134</v>
      </c>
      <c r="BX704" t="s">
        <v>440</v>
      </c>
      <c r="BY704">
        <v>1200</v>
      </c>
      <c r="BZ704" t="s">
        <v>30</v>
      </c>
      <c r="CA704" t="s">
        <v>136</v>
      </c>
      <c r="CC704" t="s">
        <v>130</v>
      </c>
      <c r="CD704">
        <v>4133</v>
      </c>
      <c r="CE704" t="s">
        <v>109</v>
      </c>
      <c r="CF704" s="3">
        <v>45876</v>
      </c>
      <c r="CI704">
        <v>1</v>
      </c>
      <c r="CJ704">
        <v>1</v>
      </c>
      <c r="CK704">
        <v>21</v>
      </c>
      <c r="CL704" t="s">
        <v>90</v>
      </c>
    </row>
    <row r="705" spans="1:90" x14ac:dyDescent="0.3">
      <c r="A705" t="s">
        <v>72</v>
      </c>
      <c r="B705" t="s">
        <v>73</v>
      </c>
      <c r="C705" t="s">
        <v>74</v>
      </c>
      <c r="E705" t="str">
        <f>"080067062503"</f>
        <v>080067062503</v>
      </c>
      <c r="F705" s="3">
        <v>45875</v>
      </c>
      <c r="G705">
        <v>202605</v>
      </c>
      <c r="H705" t="s">
        <v>75</v>
      </c>
      <c r="I705" t="s">
        <v>76</v>
      </c>
      <c r="J705" t="s">
        <v>77</v>
      </c>
      <c r="K705" t="s">
        <v>78</v>
      </c>
      <c r="L705" t="s">
        <v>198</v>
      </c>
      <c r="M705" t="s">
        <v>199</v>
      </c>
      <c r="N705" t="s">
        <v>680</v>
      </c>
      <c r="O705" t="s">
        <v>82</v>
      </c>
      <c r="P705" t="str">
        <f>"4170053340                    "</f>
        <v xml:space="preserve">4170053340                    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23.09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1</v>
      </c>
      <c r="BI705">
        <v>1</v>
      </c>
      <c r="BJ705">
        <v>0.2</v>
      </c>
      <c r="BK705">
        <v>1</v>
      </c>
      <c r="BL705">
        <v>71.69</v>
      </c>
      <c r="BM705">
        <v>10.75</v>
      </c>
      <c r="BN705">
        <v>82.44</v>
      </c>
      <c r="BO705">
        <v>82.44</v>
      </c>
      <c r="BQ705" t="s">
        <v>681</v>
      </c>
      <c r="BR705" t="s">
        <v>84</v>
      </c>
      <c r="BS705" s="3">
        <v>45876</v>
      </c>
      <c r="BT705" s="4">
        <v>0.64444444444444449</v>
      </c>
      <c r="BU705" t="s">
        <v>1385</v>
      </c>
      <c r="BV705" t="s">
        <v>90</v>
      </c>
      <c r="BW705" t="s">
        <v>134</v>
      </c>
      <c r="BX705" t="s">
        <v>747</v>
      </c>
      <c r="BY705">
        <v>1200</v>
      </c>
      <c r="CA705" t="s">
        <v>413</v>
      </c>
      <c r="CC705" t="s">
        <v>199</v>
      </c>
      <c r="CD705">
        <v>6001</v>
      </c>
      <c r="CE705" t="s">
        <v>109</v>
      </c>
      <c r="CF705" s="3">
        <v>45876</v>
      </c>
      <c r="CI705">
        <v>1</v>
      </c>
      <c r="CJ705">
        <v>1</v>
      </c>
      <c r="CK705">
        <v>21</v>
      </c>
      <c r="CL705" t="s">
        <v>90</v>
      </c>
    </row>
    <row r="706" spans="1:90" x14ac:dyDescent="0.3">
      <c r="A706" t="s">
        <v>72</v>
      </c>
      <c r="B706" t="s">
        <v>73</v>
      </c>
      <c r="C706" t="s">
        <v>74</v>
      </c>
      <c r="E706" t="str">
        <f>"080067062521"</f>
        <v>080067062521</v>
      </c>
      <c r="F706" s="3">
        <v>45875</v>
      </c>
      <c r="G706">
        <v>202605</v>
      </c>
      <c r="H706" t="s">
        <v>75</v>
      </c>
      <c r="I706" t="s">
        <v>76</v>
      </c>
      <c r="J706" t="s">
        <v>77</v>
      </c>
      <c r="K706" t="s">
        <v>78</v>
      </c>
      <c r="L706" t="s">
        <v>75</v>
      </c>
      <c r="M706" t="s">
        <v>76</v>
      </c>
      <c r="N706" t="s">
        <v>1100</v>
      </c>
      <c r="O706" t="s">
        <v>82</v>
      </c>
      <c r="P706" t="str">
        <f>"4170053169                    "</f>
        <v xml:space="preserve">4170053169                    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18.03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1</v>
      </c>
      <c r="BI706">
        <v>1</v>
      </c>
      <c r="BJ706">
        <v>0.2</v>
      </c>
      <c r="BK706">
        <v>1</v>
      </c>
      <c r="BL706">
        <v>55.99</v>
      </c>
      <c r="BM706">
        <v>8.4</v>
      </c>
      <c r="BN706">
        <v>64.39</v>
      </c>
      <c r="BO706">
        <v>64.39</v>
      </c>
      <c r="BQ706" t="s">
        <v>1101</v>
      </c>
      <c r="BR706" t="s">
        <v>84</v>
      </c>
      <c r="BS706" s="3">
        <v>45876</v>
      </c>
      <c r="BT706" s="4">
        <v>0.38055555555555554</v>
      </c>
      <c r="BU706" t="s">
        <v>1431</v>
      </c>
      <c r="BV706" t="s">
        <v>86</v>
      </c>
      <c r="BY706">
        <v>1200</v>
      </c>
      <c r="BZ706" t="s">
        <v>330</v>
      </c>
      <c r="CA706" t="s">
        <v>1345</v>
      </c>
      <c r="CC706" t="s">
        <v>76</v>
      </c>
      <c r="CD706">
        <v>1600</v>
      </c>
      <c r="CE706" t="s">
        <v>597</v>
      </c>
      <c r="CF706" s="3">
        <v>45876</v>
      </c>
      <c r="CI706">
        <v>1</v>
      </c>
      <c r="CJ706">
        <v>1</v>
      </c>
      <c r="CK706">
        <v>22</v>
      </c>
      <c r="CL706" t="s">
        <v>90</v>
      </c>
    </row>
    <row r="707" spans="1:90" x14ac:dyDescent="0.3">
      <c r="A707" t="s">
        <v>72</v>
      </c>
      <c r="B707" t="s">
        <v>73</v>
      </c>
      <c r="C707" t="s">
        <v>74</v>
      </c>
      <c r="E707" t="str">
        <f>"080067062513"</f>
        <v>080067062513</v>
      </c>
      <c r="F707" s="3">
        <v>45875</v>
      </c>
      <c r="G707">
        <v>202605</v>
      </c>
      <c r="H707" t="s">
        <v>75</v>
      </c>
      <c r="I707" t="s">
        <v>76</v>
      </c>
      <c r="J707" t="s">
        <v>77</v>
      </c>
      <c r="K707" t="s">
        <v>78</v>
      </c>
      <c r="L707" t="s">
        <v>278</v>
      </c>
      <c r="M707" t="s">
        <v>279</v>
      </c>
      <c r="N707" t="s">
        <v>1465</v>
      </c>
      <c r="O707" t="s">
        <v>82</v>
      </c>
      <c r="P707" t="str">
        <f>"4170053108                    "</f>
        <v xml:space="preserve">4170053108                    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23.09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1</v>
      </c>
      <c r="BI707">
        <v>1</v>
      </c>
      <c r="BJ707">
        <v>0.2</v>
      </c>
      <c r="BK707">
        <v>1</v>
      </c>
      <c r="BL707">
        <v>71.69</v>
      </c>
      <c r="BM707">
        <v>10.75</v>
      </c>
      <c r="BN707">
        <v>82.44</v>
      </c>
      <c r="BO707">
        <v>82.44</v>
      </c>
      <c r="BQ707" t="s">
        <v>1466</v>
      </c>
      <c r="BR707" t="s">
        <v>84</v>
      </c>
      <c r="BS707" s="3">
        <v>45876</v>
      </c>
      <c r="BT707" s="4">
        <v>0.43680555555555556</v>
      </c>
      <c r="BU707" t="s">
        <v>1476</v>
      </c>
      <c r="BV707" t="s">
        <v>86</v>
      </c>
      <c r="BY707">
        <v>1200</v>
      </c>
      <c r="CA707" t="s">
        <v>1477</v>
      </c>
      <c r="CC707" t="s">
        <v>279</v>
      </c>
      <c r="CD707" s="5" t="s">
        <v>1478</v>
      </c>
      <c r="CE707" t="s">
        <v>109</v>
      </c>
      <c r="CF707" s="3">
        <v>45876</v>
      </c>
      <c r="CI707">
        <v>1</v>
      </c>
      <c r="CJ707">
        <v>1</v>
      </c>
      <c r="CK707">
        <v>21</v>
      </c>
      <c r="CL707" t="s">
        <v>90</v>
      </c>
    </row>
    <row r="708" spans="1:90" x14ac:dyDescent="0.3">
      <c r="A708" t="s">
        <v>72</v>
      </c>
      <c r="B708" t="s">
        <v>73</v>
      </c>
      <c r="C708" t="s">
        <v>74</v>
      </c>
      <c r="E708" t="str">
        <f>"080067062566"</f>
        <v>080067062566</v>
      </c>
      <c r="F708" s="3">
        <v>45875</v>
      </c>
      <c r="G708">
        <v>202605</v>
      </c>
      <c r="H708" t="s">
        <v>75</v>
      </c>
      <c r="I708" t="s">
        <v>76</v>
      </c>
      <c r="J708" t="s">
        <v>77</v>
      </c>
      <c r="K708" t="s">
        <v>78</v>
      </c>
      <c r="L708" t="s">
        <v>123</v>
      </c>
      <c r="M708" t="s">
        <v>124</v>
      </c>
      <c r="N708" t="s">
        <v>1416</v>
      </c>
      <c r="O708" t="s">
        <v>82</v>
      </c>
      <c r="P708" t="str">
        <f>"4170053221                    "</f>
        <v xml:space="preserve">4170053221                    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23.09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1</v>
      </c>
      <c r="BI708">
        <v>1</v>
      </c>
      <c r="BJ708">
        <v>0.2</v>
      </c>
      <c r="BK708">
        <v>1</v>
      </c>
      <c r="BL708">
        <v>71.69</v>
      </c>
      <c r="BM708">
        <v>10.75</v>
      </c>
      <c r="BN708">
        <v>82.44</v>
      </c>
      <c r="BO708">
        <v>82.44</v>
      </c>
      <c r="BQ708" t="s">
        <v>1417</v>
      </c>
      <c r="BR708" t="s">
        <v>84</v>
      </c>
      <c r="BS708" s="3">
        <v>45877</v>
      </c>
      <c r="BT708" s="4">
        <v>0.41736111111111113</v>
      </c>
      <c r="BU708" t="s">
        <v>886</v>
      </c>
      <c r="BV708" t="s">
        <v>90</v>
      </c>
      <c r="BW708" t="s">
        <v>773</v>
      </c>
      <c r="BX708" t="s">
        <v>843</v>
      </c>
      <c r="BY708">
        <v>1200</v>
      </c>
      <c r="CA708" t="s">
        <v>1238</v>
      </c>
      <c r="CC708" t="s">
        <v>124</v>
      </c>
      <c r="CD708">
        <v>7480</v>
      </c>
      <c r="CE708" t="s">
        <v>109</v>
      </c>
      <c r="CF708" s="3">
        <v>45880</v>
      </c>
      <c r="CI708">
        <v>1</v>
      </c>
      <c r="CJ708">
        <v>2</v>
      </c>
      <c r="CK708">
        <v>21</v>
      </c>
      <c r="CL708" t="s">
        <v>90</v>
      </c>
    </row>
    <row r="709" spans="1:90" x14ac:dyDescent="0.3">
      <c r="A709" t="s">
        <v>72</v>
      </c>
      <c r="B709" t="s">
        <v>73</v>
      </c>
      <c r="C709" t="s">
        <v>74</v>
      </c>
      <c r="E709" t="str">
        <f>"080067062584"</f>
        <v>080067062584</v>
      </c>
      <c r="F709" s="3">
        <v>45875</v>
      </c>
      <c r="G709">
        <v>202605</v>
      </c>
      <c r="H709" t="s">
        <v>75</v>
      </c>
      <c r="I709" t="s">
        <v>76</v>
      </c>
      <c r="J709" t="s">
        <v>77</v>
      </c>
      <c r="K709" t="s">
        <v>78</v>
      </c>
      <c r="L709" t="s">
        <v>123</v>
      </c>
      <c r="M709" t="s">
        <v>124</v>
      </c>
      <c r="N709" t="s">
        <v>1096</v>
      </c>
      <c r="O709" t="s">
        <v>82</v>
      </c>
      <c r="P709" t="str">
        <f>"4170053307                    "</f>
        <v xml:space="preserve">4170053307                    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138.41999999999999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1</v>
      </c>
      <c r="BI709">
        <v>12</v>
      </c>
      <c r="BJ709">
        <v>3.9</v>
      </c>
      <c r="BK709">
        <v>12</v>
      </c>
      <c r="BL709">
        <v>429.82</v>
      </c>
      <c r="BM709">
        <v>64.47</v>
      </c>
      <c r="BN709">
        <v>494.29</v>
      </c>
      <c r="BO709">
        <v>494.29</v>
      </c>
      <c r="BQ709" t="s">
        <v>1097</v>
      </c>
      <c r="BR709" t="s">
        <v>84</v>
      </c>
      <c r="BS709" s="3">
        <v>45877</v>
      </c>
      <c r="BT709" s="4">
        <v>0.4236111111111111</v>
      </c>
      <c r="BU709" t="s">
        <v>1433</v>
      </c>
      <c r="BV709" t="s">
        <v>90</v>
      </c>
      <c r="BW709" t="s">
        <v>773</v>
      </c>
      <c r="BX709" t="s">
        <v>843</v>
      </c>
      <c r="BY709">
        <v>19363</v>
      </c>
      <c r="CC709" t="s">
        <v>124</v>
      </c>
      <c r="CD709">
        <v>7550</v>
      </c>
      <c r="CE709" t="s">
        <v>147</v>
      </c>
      <c r="CF709" s="3">
        <v>45880</v>
      </c>
      <c r="CI709">
        <v>1</v>
      </c>
      <c r="CJ709">
        <v>2</v>
      </c>
      <c r="CK709">
        <v>21</v>
      </c>
      <c r="CL709" t="s">
        <v>90</v>
      </c>
    </row>
    <row r="710" spans="1:90" x14ac:dyDescent="0.3">
      <c r="A710" t="s">
        <v>72</v>
      </c>
      <c r="B710" t="s">
        <v>73</v>
      </c>
      <c r="C710" t="s">
        <v>74</v>
      </c>
      <c r="E710" t="str">
        <f>"080067062587"</f>
        <v>080067062587</v>
      </c>
      <c r="F710" s="3">
        <v>45875</v>
      </c>
      <c r="G710">
        <v>202605</v>
      </c>
      <c r="H710" t="s">
        <v>75</v>
      </c>
      <c r="I710" t="s">
        <v>76</v>
      </c>
      <c r="J710" t="s">
        <v>77</v>
      </c>
      <c r="K710" t="s">
        <v>78</v>
      </c>
      <c r="L710" t="s">
        <v>400</v>
      </c>
      <c r="M710" t="s">
        <v>401</v>
      </c>
      <c r="N710" t="s">
        <v>1479</v>
      </c>
      <c r="O710" t="s">
        <v>82</v>
      </c>
      <c r="P710" t="str">
        <f>"4170053193                    "</f>
        <v xml:space="preserve">4170053193                    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23.09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1</v>
      </c>
      <c r="BI710">
        <v>1</v>
      </c>
      <c r="BJ710">
        <v>0.2</v>
      </c>
      <c r="BK710">
        <v>1</v>
      </c>
      <c r="BL710">
        <v>71.69</v>
      </c>
      <c r="BM710">
        <v>10.75</v>
      </c>
      <c r="BN710">
        <v>82.44</v>
      </c>
      <c r="BO710">
        <v>82.44</v>
      </c>
      <c r="BQ710" t="s">
        <v>1480</v>
      </c>
      <c r="BR710" t="s">
        <v>84</v>
      </c>
      <c r="BS710" s="3">
        <v>45876</v>
      </c>
      <c r="BT710" s="4">
        <v>0.625</v>
      </c>
      <c r="BU710" t="s">
        <v>1481</v>
      </c>
      <c r="BV710" t="s">
        <v>90</v>
      </c>
      <c r="BW710" t="s">
        <v>364</v>
      </c>
      <c r="BX710" t="s">
        <v>965</v>
      </c>
      <c r="BY710">
        <v>1200</v>
      </c>
      <c r="BZ710" t="s">
        <v>330</v>
      </c>
      <c r="CC710" t="s">
        <v>401</v>
      </c>
      <c r="CD710">
        <v>6230</v>
      </c>
      <c r="CE710" t="s">
        <v>597</v>
      </c>
      <c r="CF710" s="3">
        <v>45876</v>
      </c>
      <c r="CI710">
        <v>1</v>
      </c>
      <c r="CJ710">
        <v>1</v>
      </c>
      <c r="CK710">
        <v>21</v>
      </c>
      <c r="CL710" t="s">
        <v>90</v>
      </c>
    </row>
    <row r="711" spans="1:90" x14ac:dyDescent="0.3">
      <c r="A711" t="s">
        <v>72</v>
      </c>
      <c r="B711" t="s">
        <v>73</v>
      </c>
      <c r="C711" t="s">
        <v>74</v>
      </c>
      <c r="E711" t="str">
        <f>"080067062711"</f>
        <v>080067062711</v>
      </c>
      <c r="F711" s="3">
        <v>45875</v>
      </c>
      <c r="G711">
        <v>202605</v>
      </c>
      <c r="H711" t="s">
        <v>75</v>
      </c>
      <c r="I711" t="s">
        <v>76</v>
      </c>
      <c r="J711" t="s">
        <v>77</v>
      </c>
      <c r="K711" t="s">
        <v>78</v>
      </c>
      <c r="L711" t="s">
        <v>1087</v>
      </c>
      <c r="M711" t="s">
        <v>1088</v>
      </c>
      <c r="N711" t="s">
        <v>1089</v>
      </c>
      <c r="O711" t="s">
        <v>82</v>
      </c>
      <c r="P711" t="str">
        <f>"4170053096                    "</f>
        <v xml:space="preserve">4170053096                    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44.73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1</v>
      </c>
      <c r="BI711">
        <v>1</v>
      </c>
      <c r="BJ711">
        <v>0.2</v>
      </c>
      <c r="BK711">
        <v>1</v>
      </c>
      <c r="BL711">
        <v>138.88999999999999</v>
      </c>
      <c r="BM711">
        <v>20.83</v>
      </c>
      <c r="BN711">
        <v>159.72</v>
      </c>
      <c r="BO711">
        <v>159.72</v>
      </c>
      <c r="BQ711" t="s">
        <v>1090</v>
      </c>
      <c r="BR711" t="s">
        <v>84</v>
      </c>
      <c r="BS711" s="3">
        <v>45876</v>
      </c>
      <c r="BT711" s="4">
        <v>0.60763888888888884</v>
      </c>
      <c r="BU711" t="s">
        <v>1091</v>
      </c>
      <c r="BV711" t="s">
        <v>86</v>
      </c>
      <c r="BY711">
        <v>1200</v>
      </c>
      <c r="CA711" t="s">
        <v>1092</v>
      </c>
      <c r="CC711" t="s">
        <v>1088</v>
      </c>
      <c r="CD711">
        <v>6500</v>
      </c>
      <c r="CE711" t="s">
        <v>109</v>
      </c>
      <c r="CF711" s="3">
        <v>45876</v>
      </c>
      <c r="CI711">
        <v>1</v>
      </c>
      <c r="CJ711">
        <v>1</v>
      </c>
      <c r="CK711">
        <v>23</v>
      </c>
      <c r="CL711" t="s">
        <v>90</v>
      </c>
    </row>
    <row r="712" spans="1:90" x14ac:dyDescent="0.3">
      <c r="A712" t="s">
        <v>72</v>
      </c>
      <c r="B712" t="s">
        <v>73</v>
      </c>
      <c r="C712" t="s">
        <v>74</v>
      </c>
      <c r="E712" t="str">
        <f>"080067062811"</f>
        <v>080067062811</v>
      </c>
      <c r="F712" s="3">
        <v>45875</v>
      </c>
      <c r="G712">
        <v>202605</v>
      </c>
      <c r="H712" t="s">
        <v>75</v>
      </c>
      <c r="I712" t="s">
        <v>76</v>
      </c>
      <c r="J712" t="s">
        <v>77</v>
      </c>
      <c r="K712" t="s">
        <v>78</v>
      </c>
      <c r="L712" t="s">
        <v>217</v>
      </c>
      <c r="M712" t="s">
        <v>218</v>
      </c>
      <c r="N712" t="s">
        <v>249</v>
      </c>
      <c r="O712" t="s">
        <v>82</v>
      </c>
      <c r="P712" t="str">
        <f>"4170053234                    "</f>
        <v xml:space="preserve">4170053234                    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23.09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1</v>
      </c>
      <c r="BI712">
        <v>1</v>
      </c>
      <c r="BJ712">
        <v>0.2</v>
      </c>
      <c r="BK712">
        <v>1</v>
      </c>
      <c r="BL712">
        <v>71.69</v>
      </c>
      <c r="BM712">
        <v>10.75</v>
      </c>
      <c r="BN712">
        <v>82.44</v>
      </c>
      <c r="BO712">
        <v>82.44</v>
      </c>
      <c r="BQ712" t="s">
        <v>250</v>
      </c>
      <c r="BR712" t="s">
        <v>84</v>
      </c>
      <c r="BS712" s="3">
        <v>45876</v>
      </c>
      <c r="BT712" s="4">
        <v>0.36805555555555558</v>
      </c>
      <c r="BU712" t="s">
        <v>1203</v>
      </c>
      <c r="BV712" t="s">
        <v>86</v>
      </c>
      <c r="BY712">
        <v>1200</v>
      </c>
      <c r="CA712" t="s">
        <v>136</v>
      </c>
      <c r="CC712" t="s">
        <v>218</v>
      </c>
      <c r="CD712">
        <v>4052</v>
      </c>
      <c r="CE712" t="s">
        <v>109</v>
      </c>
      <c r="CF712" s="3">
        <v>45876</v>
      </c>
      <c r="CI712">
        <v>1</v>
      </c>
      <c r="CJ712">
        <v>1</v>
      </c>
      <c r="CK712">
        <v>21</v>
      </c>
      <c r="CL712" t="s">
        <v>90</v>
      </c>
    </row>
    <row r="713" spans="1:90" x14ac:dyDescent="0.3">
      <c r="A713" t="s">
        <v>72</v>
      </c>
      <c r="B713" t="s">
        <v>73</v>
      </c>
      <c r="C713" t="s">
        <v>74</v>
      </c>
      <c r="E713" t="str">
        <f>"080067063086"</f>
        <v>080067063086</v>
      </c>
      <c r="F713" s="3">
        <v>45875</v>
      </c>
      <c r="G713">
        <v>202605</v>
      </c>
      <c r="H713" t="s">
        <v>75</v>
      </c>
      <c r="I713" t="s">
        <v>76</v>
      </c>
      <c r="J713" t="s">
        <v>77</v>
      </c>
      <c r="K713" t="s">
        <v>78</v>
      </c>
      <c r="L713" t="s">
        <v>123</v>
      </c>
      <c r="M713" t="s">
        <v>124</v>
      </c>
      <c r="N713" t="s">
        <v>1001</v>
      </c>
      <c r="O713" t="s">
        <v>82</v>
      </c>
      <c r="P713" t="str">
        <f>"4170053180                    "</f>
        <v xml:space="preserve">4170053180                    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23.09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1</v>
      </c>
      <c r="BI713">
        <v>1</v>
      </c>
      <c r="BJ713">
        <v>0.2</v>
      </c>
      <c r="BK713">
        <v>1</v>
      </c>
      <c r="BL713">
        <v>71.69</v>
      </c>
      <c r="BM713">
        <v>10.75</v>
      </c>
      <c r="BN713">
        <v>82.44</v>
      </c>
      <c r="BO713">
        <v>82.44</v>
      </c>
      <c r="BQ713" t="s">
        <v>1002</v>
      </c>
      <c r="BR713" t="s">
        <v>84</v>
      </c>
      <c r="BS713" s="3">
        <v>45877</v>
      </c>
      <c r="BT713" s="4">
        <v>0.39027777777777778</v>
      </c>
      <c r="BU713" t="s">
        <v>1482</v>
      </c>
      <c r="BV713" t="s">
        <v>90</v>
      </c>
      <c r="BW713" t="s">
        <v>773</v>
      </c>
      <c r="BX713" t="s">
        <v>1324</v>
      </c>
      <c r="BY713">
        <v>1200</v>
      </c>
      <c r="CA713" t="s">
        <v>1483</v>
      </c>
      <c r="CC713" t="s">
        <v>124</v>
      </c>
      <c r="CD713">
        <v>7945</v>
      </c>
      <c r="CE713" t="s">
        <v>109</v>
      </c>
      <c r="CF713" s="3">
        <v>45880</v>
      </c>
      <c r="CI713">
        <v>1</v>
      </c>
      <c r="CJ713">
        <v>2</v>
      </c>
      <c r="CK713">
        <v>21</v>
      </c>
      <c r="CL713" t="s">
        <v>90</v>
      </c>
    </row>
    <row r="714" spans="1:90" x14ac:dyDescent="0.3">
      <c r="A714" t="s">
        <v>72</v>
      </c>
      <c r="B714" t="s">
        <v>73</v>
      </c>
      <c r="C714" t="s">
        <v>74</v>
      </c>
      <c r="E714" t="str">
        <f>"080067063113"</f>
        <v>080067063113</v>
      </c>
      <c r="F714" s="3">
        <v>45875</v>
      </c>
      <c r="G714">
        <v>202605</v>
      </c>
      <c r="H714" t="s">
        <v>75</v>
      </c>
      <c r="I714" t="s">
        <v>76</v>
      </c>
      <c r="J714" t="s">
        <v>77</v>
      </c>
      <c r="K714" t="s">
        <v>78</v>
      </c>
      <c r="L714" t="s">
        <v>255</v>
      </c>
      <c r="M714" t="s">
        <v>256</v>
      </c>
      <c r="N714" t="s">
        <v>1484</v>
      </c>
      <c r="O714" t="s">
        <v>82</v>
      </c>
      <c r="P714" t="str">
        <f>"4170053209                    "</f>
        <v xml:space="preserve">4170053209                    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18.03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1</v>
      </c>
      <c r="BI714">
        <v>1</v>
      </c>
      <c r="BJ714">
        <v>0.2</v>
      </c>
      <c r="BK714">
        <v>1</v>
      </c>
      <c r="BL714">
        <v>55.99</v>
      </c>
      <c r="BM714">
        <v>8.4</v>
      </c>
      <c r="BN714">
        <v>64.39</v>
      </c>
      <c r="BO714">
        <v>64.39</v>
      </c>
      <c r="BQ714" t="s">
        <v>1485</v>
      </c>
      <c r="BR714" t="s">
        <v>84</v>
      </c>
      <c r="BS714" s="3">
        <v>45876</v>
      </c>
      <c r="BT714" s="4">
        <v>0.37708333333333333</v>
      </c>
      <c r="BU714" t="s">
        <v>1486</v>
      </c>
      <c r="BV714" t="s">
        <v>86</v>
      </c>
      <c r="BY714">
        <v>1200</v>
      </c>
      <c r="BZ714" t="s">
        <v>330</v>
      </c>
      <c r="CA714" t="s">
        <v>1487</v>
      </c>
      <c r="CC714" t="s">
        <v>256</v>
      </c>
      <c r="CD714">
        <v>1502</v>
      </c>
      <c r="CE714" t="s">
        <v>597</v>
      </c>
      <c r="CF714" s="3">
        <v>45876</v>
      </c>
      <c r="CI714">
        <v>1</v>
      </c>
      <c r="CJ714">
        <v>1</v>
      </c>
      <c r="CK714">
        <v>22</v>
      </c>
      <c r="CL714" t="s">
        <v>90</v>
      </c>
    </row>
    <row r="715" spans="1:90" x14ac:dyDescent="0.3">
      <c r="A715" t="s">
        <v>72</v>
      </c>
      <c r="B715" t="s">
        <v>73</v>
      </c>
      <c r="C715" t="s">
        <v>74</v>
      </c>
      <c r="E715" t="str">
        <f>"080067063150"</f>
        <v>080067063150</v>
      </c>
      <c r="F715" s="3">
        <v>45875</v>
      </c>
      <c r="G715">
        <v>202605</v>
      </c>
      <c r="H715" t="s">
        <v>75</v>
      </c>
      <c r="I715" t="s">
        <v>76</v>
      </c>
      <c r="J715" t="s">
        <v>77</v>
      </c>
      <c r="K715" t="s">
        <v>78</v>
      </c>
      <c r="L715" t="s">
        <v>123</v>
      </c>
      <c r="M715" t="s">
        <v>124</v>
      </c>
      <c r="N715" t="s">
        <v>406</v>
      </c>
      <c r="O715" t="s">
        <v>82</v>
      </c>
      <c r="P715" t="str">
        <f>"4170053251                    "</f>
        <v xml:space="preserve">4170053251                    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23.09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1</v>
      </c>
      <c r="BI715">
        <v>1</v>
      </c>
      <c r="BJ715">
        <v>0.2</v>
      </c>
      <c r="BK715">
        <v>1</v>
      </c>
      <c r="BL715">
        <v>71.69</v>
      </c>
      <c r="BM715">
        <v>10.75</v>
      </c>
      <c r="BN715">
        <v>82.44</v>
      </c>
      <c r="BO715">
        <v>82.44</v>
      </c>
      <c r="BQ715" t="s">
        <v>407</v>
      </c>
      <c r="BR715" t="s">
        <v>84</v>
      </c>
      <c r="BS715" s="3">
        <v>45877</v>
      </c>
      <c r="BT715" s="4">
        <v>0.4375</v>
      </c>
      <c r="BU715" t="s">
        <v>408</v>
      </c>
      <c r="BV715" t="s">
        <v>90</v>
      </c>
      <c r="BW715" t="s">
        <v>773</v>
      </c>
      <c r="BX715" t="s">
        <v>381</v>
      </c>
      <c r="BY715">
        <v>1200</v>
      </c>
      <c r="CA715" t="s">
        <v>192</v>
      </c>
      <c r="CC715" t="s">
        <v>124</v>
      </c>
      <c r="CD715">
        <v>7441</v>
      </c>
      <c r="CE715" t="s">
        <v>109</v>
      </c>
      <c r="CF715" s="3">
        <v>45880</v>
      </c>
      <c r="CI715">
        <v>1</v>
      </c>
      <c r="CJ715">
        <v>2</v>
      </c>
      <c r="CK715">
        <v>21</v>
      </c>
      <c r="CL715" t="s">
        <v>90</v>
      </c>
    </row>
    <row r="716" spans="1:90" x14ac:dyDescent="0.3">
      <c r="A716" t="s">
        <v>72</v>
      </c>
      <c r="B716" t="s">
        <v>73</v>
      </c>
      <c r="C716" t="s">
        <v>74</v>
      </c>
      <c r="E716" t="str">
        <f>"080067063169"</f>
        <v>080067063169</v>
      </c>
      <c r="F716" s="3">
        <v>45875</v>
      </c>
      <c r="G716">
        <v>202605</v>
      </c>
      <c r="H716" t="s">
        <v>75</v>
      </c>
      <c r="I716" t="s">
        <v>76</v>
      </c>
      <c r="J716" t="s">
        <v>77</v>
      </c>
      <c r="K716" t="s">
        <v>78</v>
      </c>
      <c r="L716" t="s">
        <v>137</v>
      </c>
      <c r="M716" t="s">
        <v>138</v>
      </c>
      <c r="N716" t="s">
        <v>1073</v>
      </c>
      <c r="O716" t="s">
        <v>82</v>
      </c>
      <c r="P716" t="str">
        <f>"4170053161                    "</f>
        <v xml:space="preserve">4170053161                    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23.09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1</v>
      </c>
      <c r="BI716">
        <v>1</v>
      </c>
      <c r="BJ716">
        <v>0.2</v>
      </c>
      <c r="BK716">
        <v>1</v>
      </c>
      <c r="BL716">
        <v>71.69</v>
      </c>
      <c r="BM716">
        <v>10.75</v>
      </c>
      <c r="BN716">
        <v>82.44</v>
      </c>
      <c r="BO716">
        <v>82.44</v>
      </c>
      <c r="BQ716" t="s">
        <v>1074</v>
      </c>
      <c r="BR716" t="s">
        <v>84</v>
      </c>
      <c r="BS716" s="3">
        <v>45876</v>
      </c>
      <c r="BT716" s="4">
        <v>0.51041666666666663</v>
      </c>
      <c r="BU716" t="s">
        <v>1310</v>
      </c>
      <c r="BV716" t="s">
        <v>86</v>
      </c>
      <c r="BY716">
        <v>1200</v>
      </c>
      <c r="BZ716" t="s">
        <v>330</v>
      </c>
      <c r="CA716" t="s">
        <v>953</v>
      </c>
      <c r="CC716" t="s">
        <v>138</v>
      </c>
      <c r="CD716">
        <v>3610</v>
      </c>
      <c r="CE716" t="s">
        <v>597</v>
      </c>
      <c r="CF716" s="3">
        <v>45876</v>
      </c>
      <c r="CI716">
        <v>1</v>
      </c>
      <c r="CJ716">
        <v>1</v>
      </c>
      <c r="CK716">
        <v>21</v>
      </c>
      <c r="CL716" t="s">
        <v>90</v>
      </c>
    </row>
    <row r="717" spans="1:90" x14ac:dyDescent="0.3">
      <c r="A717" t="s">
        <v>72</v>
      </c>
      <c r="B717" t="s">
        <v>73</v>
      </c>
      <c r="C717" t="s">
        <v>74</v>
      </c>
      <c r="E717" t="str">
        <f>"080067063208"</f>
        <v>080067063208</v>
      </c>
      <c r="F717" s="3">
        <v>45875</v>
      </c>
      <c r="G717">
        <v>202605</v>
      </c>
      <c r="H717" t="s">
        <v>75</v>
      </c>
      <c r="I717" t="s">
        <v>76</v>
      </c>
      <c r="J717" t="s">
        <v>77</v>
      </c>
      <c r="K717" t="s">
        <v>78</v>
      </c>
      <c r="L717" t="s">
        <v>137</v>
      </c>
      <c r="M717" t="s">
        <v>138</v>
      </c>
      <c r="N717" t="s">
        <v>261</v>
      </c>
      <c r="O717" t="s">
        <v>82</v>
      </c>
      <c r="P717" t="str">
        <f>"4170053060                    "</f>
        <v xml:space="preserve">4170053060                    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23.09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1</v>
      </c>
      <c r="BI717">
        <v>1</v>
      </c>
      <c r="BJ717">
        <v>0.2</v>
      </c>
      <c r="BK717">
        <v>1</v>
      </c>
      <c r="BL717">
        <v>71.69</v>
      </c>
      <c r="BM717">
        <v>10.75</v>
      </c>
      <c r="BN717">
        <v>82.44</v>
      </c>
      <c r="BO717">
        <v>82.44</v>
      </c>
      <c r="BQ717" t="s">
        <v>262</v>
      </c>
      <c r="BR717" t="s">
        <v>84</v>
      </c>
      <c r="BS717" s="3">
        <v>45876</v>
      </c>
      <c r="BT717" s="4">
        <v>0.36527777777777776</v>
      </c>
      <c r="BU717" t="s">
        <v>263</v>
      </c>
      <c r="BV717" t="s">
        <v>86</v>
      </c>
      <c r="BY717">
        <v>1200</v>
      </c>
      <c r="CA717" t="s">
        <v>264</v>
      </c>
      <c r="CC717" t="s">
        <v>138</v>
      </c>
      <c r="CD717">
        <v>3608</v>
      </c>
      <c r="CE717" t="s">
        <v>109</v>
      </c>
      <c r="CF717" s="3">
        <v>45877</v>
      </c>
      <c r="CI717">
        <v>1</v>
      </c>
      <c r="CJ717">
        <v>1</v>
      </c>
      <c r="CK717">
        <v>21</v>
      </c>
      <c r="CL717" t="s">
        <v>90</v>
      </c>
    </row>
    <row r="718" spans="1:90" x14ac:dyDescent="0.3">
      <c r="A718" t="s">
        <v>72</v>
      </c>
      <c r="B718" t="s">
        <v>73</v>
      </c>
      <c r="C718" t="s">
        <v>74</v>
      </c>
      <c r="E718" t="str">
        <f>"080067063236"</f>
        <v>080067063236</v>
      </c>
      <c r="F718" s="3">
        <v>45875</v>
      </c>
      <c r="G718">
        <v>202605</v>
      </c>
      <c r="H718" t="s">
        <v>75</v>
      </c>
      <c r="I718" t="s">
        <v>76</v>
      </c>
      <c r="J718" t="s">
        <v>77</v>
      </c>
      <c r="K718" t="s">
        <v>78</v>
      </c>
      <c r="L718" t="s">
        <v>241</v>
      </c>
      <c r="M718" t="s">
        <v>242</v>
      </c>
      <c r="N718" t="s">
        <v>527</v>
      </c>
      <c r="O718" t="s">
        <v>82</v>
      </c>
      <c r="P718" t="str">
        <f>"4170053051                    "</f>
        <v xml:space="preserve">4170053051                    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18.03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1</v>
      </c>
      <c r="BI718">
        <v>1</v>
      </c>
      <c r="BJ718">
        <v>0.2</v>
      </c>
      <c r="BK718">
        <v>1</v>
      </c>
      <c r="BL718">
        <v>55.99</v>
      </c>
      <c r="BM718">
        <v>8.4</v>
      </c>
      <c r="BN718">
        <v>64.39</v>
      </c>
      <c r="BO718">
        <v>64.39</v>
      </c>
      <c r="BQ718" t="s">
        <v>528</v>
      </c>
      <c r="BR718" t="s">
        <v>84</v>
      </c>
      <c r="BS718" s="3">
        <v>45876</v>
      </c>
      <c r="BT718" s="4">
        <v>0.34513888888888888</v>
      </c>
      <c r="BU718" t="s">
        <v>1428</v>
      </c>
      <c r="BV718" t="s">
        <v>86</v>
      </c>
      <c r="BY718">
        <v>1200</v>
      </c>
      <c r="CA718" t="s">
        <v>720</v>
      </c>
      <c r="CC718" t="s">
        <v>242</v>
      </c>
      <c r="CD718">
        <v>1459</v>
      </c>
      <c r="CE718" t="s">
        <v>109</v>
      </c>
      <c r="CF718" s="3">
        <v>45876</v>
      </c>
      <c r="CI718">
        <v>1</v>
      </c>
      <c r="CJ718">
        <v>1</v>
      </c>
      <c r="CK718">
        <v>22</v>
      </c>
      <c r="CL718" t="s">
        <v>90</v>
      </c>
    </row>
    <row r="719" spans="1:90" x14ac:dyDescent="0.3">
      <c r="A719" t="s">
        <v>72</v>
      </c>
      <c r="B719" t="s">
        <v>73</v>
      </c>
      <c r="C719" t="s">
        <v>74</v>
      </c>
      <c r="E719" t="str">
        <f>"080067063261"</f>
        <v>080067063261</v>
      </c>
      <c r="F719" s="3">
        <v>45875</v>
      </c>
      <c r="G719">
        <v>202605</v>
      </c>
      <c r="H719" t="s">
        <v>75</v>
      </c>
      <c r="I719" t="s">
        <v>76</v>
      </c>
      <c r="J719" t="s">
        <v>77</v>
      </c>
      <c r="K719" t="s">
        <v>78</v>
      </c>
      <c r="L719" t="s">
        <v>291</v>
      </c>
      <c r="M719" t="s">
        <v>292</v>
      </c>
      <c r="N719" t="s">
        <v>131</v>
      </c>
      <c r="O719" t="s">
        <v>82</v>
      </c>
      <c r="P719" t="str">
        <f>"4170053127                    "</f>
        <v xml:space="preserve">4170053127                    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18.03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1</v>
      </c>
      <c r="BI719">
        <v>1</v>
      </c>
      <c r="BJ719">
        <v>0.2</v>
      </c>
      <c r="BK719">
        <v>1</v>
      </c>
      <c r="BL719">
        <v>55.99</v>
      </c>
      <c r="BM719">
        <v>8.4</v>
      </c>
      <c r="BN719">
        <v>64.39</v>
      </c>
      <c r="BO719">
        <v>64.39</v>
      </c>
      <c r="BQ719" t="s">
        <v>132</v>
      </c>
      <c r="BR719" t="s">
        <v>84</v>
      </c>
      <c r="BS719" s="3">
        <v>45876</v>
      </c>
      <c r="BT719" s="4">
        <v>0.40555555555555556</v>
      </c>
      <c r="BU719" t="s">
        <v>1471</v>
      </c>
      <c r="BV719" t="s">
        <v>86</v>
      </c>
      <c r="BY719">
        <v>1200</v>
      </c>
      <c r="CA719" t="s">
        <v>296</v>
      </c>
      <c r="CC719" t="s">
        <v>292</v>
      </c>
      <c r="CD719">
        <v>1451</v>
      </c>
      <c r="CE719" t="s">
        <v>109</v>
      </c>
      <c r="CF719" s="3">
        <v>45876</v>
      </c>
      <c r="CI719">
        <v>1</v>
      </c>
      <c r="CJ719">
        <v>1</v>
      </c>
      <c r="CK719">
        <v>22</v>
      </c>
      <c r="CL719" t="s">
        <v>90</v>
      </c>
    </row>
    <row r="720" spans="1:90" x14ac:dyDescent="0.3">
      <c r="A720" t="s">
        <v>72</v>
      </c>
      <c r="B720" t="s">
        <v>73</v>
      </c>
      <c r="C720" t="s">
        <v>74</v>
      </c>
      <c r="E720" t="str">
        <f>"080067063293"</f>
        <v>080067063293</v>
      </c>
      <c r="F720" s="3">
        <v>45875</v>
      </c>
      <c r="G720">
        <v>202605</v>
      </c>
      <c r="H720" t="s">
        <v>75</v>
      </c>
      <c r="I720" t="s">
        <v>76</v>
      </c>
      <c r="J720" t="s">
        <v>77</v>
      </c>
      <c r="K720" t="s">
        <v>78</v>
      </c>
      <c r="L720" t="s">
        <v>123</v>
      </c>
      <c r="M720" t="s">
        <v>124</v>
      </c>
      <c r="N720" t="s">
        <v>1488</v>
      </c>
      <c r="O720" t="s">
        <v>82</v>
      </c>
      <c r="P720" t="str">
        <f>"4170053342                    "</f>
        <v xml:space="preserve">4170053342                    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23.09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1</v>
      </c>
      <c r="BI720">
        <v>1</v>
      </c>
      <c r="BJ720">
        <v>0.2</v>
      </c>
      <c r="BK720">
        <v>1</v>
      </c>
      <c r="BL720">
        <v>71.69</v>
      </c>
      <c r="BM720">
        <v>10.75</v>
      </c>
      <c r="BN720">
        <v>82.44</v>
      </c>
      <c r="BO720">
        <v>82.44</v>
      </c>
      <c r="BQ720" t="s">
        <v>1489</v>
      </c>
      <c r="BR720" t="s">
        <v>84</v>
      </c>
      <c r="BS720" s="3">
        <v>45877</v>
      </c>
      <c r="BT720" s="4">
        <v>0.41666666666666669</v>
      </c>
      <c r="BU720" t="s">
        <v>1490</v>
      </c>
      <c r="BV720" t="s">
        <v>90</v>
      </c>
      <c r="BW720" t="s">
        <v>380</v>
      </c>
      <c r="BX720" t="s">
        <v>1234</v>
      </c>
      <c r="BY720">
        <v>1200</v>
      </c>
      <c r="CC720" t="s">
        <v>124</v>
      </c>
      <c r="CD720">
        <v>7800</v>
      </c>
      <c r="CE720" t="s">
        <v>109</v>
      </c>
      <c r="CF720" s="3">
        <v>45880</v>
      </c>
      <c r="CI720">
        <v>1</v>
      </c>
      <c r="CJ720">
        <v>2</v>
      </c>
      <c r="CK720">
        <v>21</v>
      </c>
      <c r="CL720" t="s">
        <v>90</v>
      </c>
    </row>
    <row r="721" spans="1:90" x14ac:dyDescent="0.3">
      <c r="A721" t="s">
        <v>72</v>
      </c>
      <c r="B721" t="s">
        <v>73</v>
      </c>
      <c r="C721" t="s">
        <v>74</v>
      </c>
      <c r="E721" t="str">
        <f>"080067063312"</f>
        <v>080067063312</v>
      </c>
      <c r="F721" s="3">
        <v>45875</v>
      </c>
      <c r="G721">
        <v>202605</v>
      </c>
      <c r="H721" t="s">
        <v>75</v>
      </c>
      <c r="I721" t="s">
        <v>76</v>
      </c>
      <c r="J721" t="s">
        <v>77</v>
      </c>
      <c r="K721" t="s">
        <v>78</v>
      </c>
      <c r="L721" t="s">
        <v>303</v>
      </c>
      <c r="M721" t="s">
        <v>304</v>
      </c>
      <c r="N721" t="s">
        <v>840</v>
      </c>
      <c r="O721" t="s">
        <v>82</v>
      </c>
      <c r="P721" t="str">
        <f>"4170053142                    "</f>
        <v xml:space="preserve">4170053142                    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44.73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1</v>
      </c>
      <c r="BI721">
        <v>1</v>
      </c>
      <c r="BJ721">
        <v>0.2</v>
      </c>
      <c r="BK721">
        <v>1</v>
      </c>
      <c r="BL721">
        <v>138.88999999999999</v>
      </c>
      <c r="BM721">
        <v>20.83</v>
      </c>
      <c r="BN721">
        <v>159.72</v>
      </c>
      <c r="BO721">
        <v>159.72</v>
      </c>
      <c r="BQ721" t="s">
        <v>841</v>
      </c>
      <c r="BR721" t="s">
        <v>84</v>
      </c>
      <c r="BS721" s="3">
        <v>45877</v>
      </c>
      <c r="BT721" s="4">
        <v>0.49583333333333335</v>
      </c>
      <c r="BU721" t="s">
        <v>1491</v>
      </c>
      <c r="BV721" t="s">
        <v>90</v>
      </c>
      <c r="BY721">
        <v>1200</v>
      </c>
      <c r="CA721" t="s">
        <v>308</v>
      </c>
      <c r="CC721" t="s">
        <v>304</v>
      </c>
      <c r="CD721">
        <v>7130</v>
      </c>
      <c r="CE721" t="s">
        <v>109</v>
      </c>
      <c r="CF721" s="3">
        <v>45880</v>
      </c>
      <c r="CI721">
        <v>1</v>
      </c>
      <c r="CJ721">
        <v>2</v>
      </c>
      <c r="CK721">
        <v>23</v>
      </c>
      <c r="CL721" t="s">
        <v>90</v>
      </c>
    </row>
    <row r="722" spans="1:90" x14ac:dyDescent="0.3">
      <c r="A722" t="s">
        <v>72</v>
      </c>
      <c r="B722" t="s">
        <v>73</v>
      </c>
      <c r="C722" t="s">
        <v>74</v>
      </c>
      <c r="E722" t="str">
        <f>"080067063319"</f>
        <v>080067063319</v>
      </c>
      <c r="F722" s="3">
        <v>45875</v>
      </c>
      <c r="G722">
        <v>202605</v>
      </c>
      <c r="H722" t="s">
        <v>75</v>
      </c>
      <c r="I722" t="s">
        <v>76</v>
      </c>
      <c r="J722" t="s">
        <v>77</v>
      </c>
      <c r="K722" t="s">
        <v>78</v>
      </c>
      <c r="L722" t="s">
        <v>278</v>
      </c>
      <c r="M722" t="s">
        <v>279</v>
      </c>
      <c r="N722" t="s">
        <v>285</v>
      </c>
      <c r="O722" t="s">
        <v>82</v>
      </c>
      <c r="P722" t="str">
        <f>"4170053369                    "</f>
        <v xml:space="preserve">4170053369                    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23.09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1</v>
      </c>
      <c r="BI722">
        <v>1</v>
      </c>
      <c r="BJ722">
        <v>0.2</v>
      </c>
      <c r="BK722">
        <v>1</v>
      </c>
      <c r="BL722">
        <v>71.69</v>
      </c>
      <c r="BM722">
        <v>10.75</v>
      </c>
      <c r="BN722">
        <v>82.44</v>
      </c>
      <c r="BO722">
        <v>82.44</v>
      </c>
      <c r="BQ722" t="s">
        <v>286</v>
      </c>
      <c r="BR722" t="s">
        <v>84</v>
      </c>
      <c r="BS722" s="3">
        <v>45876</v>
      </c>
      <c r="BT722" s="4">
        <v>0.4</v>
      </c>
      <c r="BU722" t="s">
        <v>647</v>
      </c>
      <c r="BV722" t="s">
        <v>86</v>
      </c>
      <c r="BY722">
        <v>1200</v>
      </c>
      <c r="CA722" t="s">
        <v>288</v>
      </c>
      <c r="CC722" t="s">
        <v>279</v>
      </c>
      <c r="CD722" s="5" t="s">
        <v>289</v>
      </c>
      <c r="CE722" t="s">
        <v>109</v>
      </c>
      <c r="CF722" s="3">
        <v>45876</v>
      </c>
      <c r="CI722">
        <v>1</v>
      </c>
      <c r="CJ722">
        <v>1</v>
      </c>
      <c r="CK722">
        <v>21</v>
      </c>
      <c r="CL722" t="s">
        <v>90</v>
      </c>
    </row>
    <row r="723" spans="1:90" x14ac:dyDescent="0.3">
      <c r="A723" t="s">
        <v>72</v>
      </c>
      <c r="B723" t="s">
        <v>73</v>
      </c>
      <c r="C723" t="s">
        <v>74</v>
      </c>
      <c r="E723" t="str">
        <f>"080067063342"</f>
        <v>080067063342</v>
      </c>
      <c r="F723" s="3">
        <v>45875</v>
      </c>
      <c r="G723">
        <v>202605</v>
      </c>
      <c r="H723" t="s">
        <v>75</v>
      </c>
      <c r="I723" t="s">
        <v>76</v>
      </c>
      <c r="J723" t="s">
        <v>77</v>
      </c>
      <c r="K723" t="s">
        <v>78</v>
      </c>
      <c r="L723" t="s">
        <v>137</v>
      </c>
      <c r="M723" t="s">
        <v>138</v>
      </c>
      <c r="N723" t="s">
        <v>1073</v>
      </c>
      <c r="O723" t="s">
        <v>82</v>
      </c>
      <c r="P723" t="str">
        <f>"4170053332                    "</f>
        <v xml:space="preserve">4170053332                    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23.09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1</v>
      </c>
      <c r="BI723">
        <v>1</v>
      </c>
      <c r="BJ723">
        <v>0.2</v>
      </c>
      <c r="BK723">
        <v>1</v>
      </c>
      <c r="BL723">
        <v>71.69</v>
      </c>
      <c r="BM723">
        <v>10.75</v>
      </c>
      <c r="BN723">
        <v>82.44</v>
      </c>
      <c r="BO723">
        <v>82.44</v>
      </c>
      <c r="BQ723" t="s">
        <v>1074</v>
      </c>
      <c r="BR723" t="s">
        <v>84</v>
      </c>
      <c r="BS723" s="3">
        <v>45876</v>
      </c>
      <c r="BT723" s="4">
        <v>0.50416666666666665</v>
      </c>
      <c r="BU723" t="s">
        <v>1310</v>
      </c>
      <c r="BV723" t="s">
        <v>86</v>
      </c>
      <c r="BY723">
        <v>1200</v>
      </c>
      <c r="BZ723" t="s">
        <v>330</v>
      </c>
      <c r="CA723" t="s">
        <v>953</v>
      </c>
      <c r="CC723" t="s">
        <v>138</v>
      </c>
      <c r="CD723">
        <v>3610</v>
      </c>
      <c r="CE723" t="s">
        <v>597</v>
      </c>
      <c r="CF723" s="3">
        <v>45876</v>
      </c>
      <c r="CI723">
        <v>1</v>
      </c>
      <c r="CJ723">
        <v>1</v>
      </c>
      <c r="CK723">
        <v>21</v>
      </c>
      <c r="CL723" t="s">
        <v>90</v>
      </c>
    </row>
    <row r="724" spans="1:90" x14ac:dyDescent="0.3">
      <c r="A724" t="s">
        <v>72</v>
      </c>
      <c r="B724" t="s">
        <v>73</v>
      </c>
      <c r="C724" t="s">
        <v>74</v>
      </c>
      <c r="E724" t="str">
        <f>"080067063340"</f>
        <v>080067063340</v>
      </c>
      <c r="F724" s="3">
        <v>45875</v>
      </c>
      <c r="G724">
        <v>202605</v>
      </c>
      <c r="H724" t="s">
        <v>75</v>
      </c>
      <c r="I724" t="s">
        <v>76</v>
      </c>
      <c r="J724" t="s">
        <v>77</v>
      </c>
      <c r="K724" t="s">
        <v>78</v>
      </c>
      <c r="L724" t="s">
        <v>123</v>
      </c>
      <c r="M724" t="s">
        <v>124</v>
      </c>
      <c r="N724" t="s">
        <v>1492</v>
      </c>
      <c r="O724" t="s">
        <v>82</v>
      </c>
      <c r="P724" t="str">
        <f>"4170053270                    "</f>
        <v xml:space="preserve">4170053270                    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23.09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1</v>
      </c>
      <c r="BI724">
        <v>1</v>
      </c>
      <c r="BJ724">
        <v>0.2</v>
      </c>
      <c r="BK724">
        <v>1</v>
      </c>
      <c r="BL724">
        <v>71.69</v>
      </c>
      <c r="BM724">
        <v>10.75</v>
      </c>
      <c r="BN724">
        <v>82.44</v>
      </c>
      <c r="BO724">
        <v>82.44</v>
      </c>
      <c r="BQ724" t="s">
        <v>1493</v>
      </c>
      <c r="BR724" t="s">
        <v>84</v>
      </c>
      <c r="BS724" s="3">
        <v>45877</v>
      </c>
      <c r="BT724" s="4">
        <v>0.54027777777777775</v>
      </c>
      <c r="BU724" t="s">
        <v>1494</v>
      </c>
      <c r="BV724" t="s">
        <v>90</v>
      </c>
      <c r="BW724" t="s">
        <v>773</v>
      </c>
      <c r="BX724" t="s">
        <v>1495</v>
      </c>
      <c r="BY724">
        <v>1200</v>
      </c>
      <c r="CC724" t="s">
        <v>124</v>
      </c>
      <c r="CD724">
        <v>7405</v>
      </c>
      <c r="CE724" t="s">
        <v>290</v>
      </c>
      <c r="CF724" s="3">
        <v>45880</v>
      </c>
      <c r="CI724">
        <v>1</v>
      </c>
      <c r="CJ724">
        <v>2</v>
      </c>
      <c r="CK724">
        <v>21</v>
      </c>
      <c r="CL724" t="s">
        <v>90</v>
      </c>
    </row>
    <row r="725" spans="1:90" x14ac:dyDescent="0.3">
      <c r="A725" t="s">
        <v>72</v>
      </c>
      <c r="B725" t="s">
        <v>73</v>
      </c>
      <c r="C725" t="s">
        <v>74</v>
      </c>
      <c r="E725" t="str">
        <f>"080067063376"</f>
        <v>080067063376</v>
      </c>
      <c r="F725" s="3">
        <v>45875</v>
      </c>
      <c r="G725">
        <v>202605</v>
      </c>
      <c r="H725" t="s">
        <v>75</v>
      </c>
      <c r="I725" t="s">
        <v>76</v>
      </c>
      <c r="J725" t="s">
        <v>77</v>
      </c>
      <c r="K725" t="s">
        <v>78</v>
      </c>
      <c r="L725" t="s">
        <v>75</v>
      </c>
      <c r="M725" t="s">
        <v>76</v>
      </c>
      <c r="N725" t="s">
        <v>1496</v>
      </c>
      <c r="O725" t="s">
        <v>82</v>
      </c>
      <c r="P725" t="str">
        <f>"4170053261                    "</f>
        <v xml:space="preserve">4170053261                    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18.03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1</v>
      </c>
      <c r="BI725">
        <v>1</v>
      </c>
      <c r="BJ725">
        <v>0.2</v>
      </c>
      <c r="BK725">
        <v>1</v>
      </c>
      <c r="BL725">
        <v>55.99</v>
      </c>
      <c r="BM725">
        <v>8.4</v>
      </c>
      <c r="BN725">
        <v>64.39</v>
      </c>
      <c r="BO725">
        <v>64.39</v>
      </c>
      <c r="BQ725" t="s">
        <v>1497</v>
      </c>
      <c r="BR725" t="s">
        <v>84</v>
      </c>
      <c r="BS725" s="3">
        <v>45876</v>
      </c>
      <c r="BT725" s="4">
        <v>0.37291666666666667</v>
      </c>
      <c r="BU725" t="s">
        <v>1498</v>
      </c>
      <c r="BV725" t="s">
        <v>86</v>
      </c>
      <c r="BY725">
        <v>1200</v>
      </c>
      <c r="CA725" t="s">
        <v>1343</v>
      </c>
      <c r="CC725" t="s">
        <v>76</v>
      </c>
      <c r="CD725">
        <v>1609</v>
      </c>
      <c r="CE725" t="s">
        <v>109</v>
      </c>
      <c r="CF725" s="3">
        <v>45876</v>
      </c>
      <c r="CI725">
        <v>1</v>
      </c>
      <c r="CJ725">
        <v>1</v>
      </c>
      <c r="CK725">
        <v>22</v>
      </c>
      <c r="CL725" t="s">
        <v>90</v>
      </c>
    </row>
    <row r="726" spans="1:90" x14ac:dyDescent="0.3">
      <c r="A726" t="s">
        <v>72</v>
      </c>
      <c r="B726" t="s">
        <v>73</v>
      </c>
      <c r="C726" t="s">
        <v>74</v>
      </c>
      <c r="E726" t="str">
        <f>"080067063379"</f>
        <v>080067063379</v>
      </c>
      <c r="F726" s="3">
        <v>45875</v>
      </c>
      <c r="G726">
        <v>202605</v>
      </c>
      <c r="H726" t="s">
        <v>75</v>
      </c>
      <c r="I726" t="s">
        <v>76</v>
      </c>
      <c r="J726" t="s">
        <v>77</v>
      </c>
      <c r="K726" t="s">
        <v>78</v>
      </c>
      <c r="L726" t="s">
        <v>217</v>
      </c>
      <c r="M726" t="s">
        <v>218</v>
      </c>
      <c r="N726" t="s">
        <v>861</v>
      </c>
      <c r="O726" t="s">
        <v>82</v>
      </c>
      <c r="P726" t="str">
        <f>"4170053372                    "</f>
        <v xml:space="preserve">4170053372                    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23.09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1</v>
      </c>
      <c r="BI726">
        <v>1</v>
      </c>
      <c r="BJ726">
        <v>0.2</v>
      </c>
      <c r="BK726">
        <v>1</v>
      </c>
      <c r="BL726">
        <v>71.69</v>
      </c>
      <c r="BM726">
        <v>10.75</v>
      </c>
      <c r="BN726">
        <v>82.44</v>
      </c>
      <c r="BO726">
        <v>82.44</v>
      </c>
      <c r="BQ726" t="s">
        <v>862</v>
      </c>
      <c r="BR726" t="s">
        <v>84</v>
      </c>
      <c r="BS726" s="3">
        <v>45876</v>
      </c>
      <c r="BT726" s="4">
        <v>0.4236111111111111</v>
      </c>
      <c r="BU726" t="s">
        <v>863</v>
      </c>
      <c r="BV726" t="s">
        <v>86</v>
      </c>
      <c r="BY726">
        <v>1200</v>
      </c>
      <c r="CA726" t="s">
        <v>864</v>
      </c>
      <c r="CC726" t="s">
        <v>218</v>
      </c>
      <c r="CD726">
        <v>4001</v>
      </c>
      <c r="CE726" t="s">
        <v>109</v>
      </c>
      <c r="CF726" s="3">
        <v>45876</v>
      </c>
      <c r="CI726">
        <v>1</v>
      </c>
      <c r="CJ726">
        <v>1</v>
      </c>
      <c r="CK726">
        <v>21</v>
      </c>
      <c r="CL726" t="s">
        <v>90</v>
      </c>
    </row>
    <row r="727" spans="1:90" x14ac:dyDescent="0.3">
      <c r="A727" t="s">
        <v>72</v>
      </c>
      <c r="B727" t="s">
        <v>73</v>
      </c>
      <c r="C727" t="s">
        <v>74</v>
      </c>
      <c r="E727" t="str">
        <f>"080067063399"</f>
        <v>080067063399</v>
      </c>
      <c r="F727" s="3">
        <v>45875</v>
      </c>
      <c r="G727">
        <v>202605</v>
      </c>
      <c r="H727" t="s">
        <v>75</v>
      </c>
      <c r="I727" t="s">
        <v>76</v>
      </c>
      <c r="J727" t="s">
        <v>77</v>
      </c>
      <c r="K727" t="s">
        <v>78</v>
      </c>
      <c r="L727" t="s">
        <v>325</v>
      </c>
      <c r="M727" t="s">
        <v>326</v>
      </c>
      <c r="N727" t="s">
        <v>1055</v>
      </c>
      <c r="O727" t="s">
        <v>82</v>
      </c>
      <c r="P727" t="str">
        <f>"4170053306                    "</f>
        <v xml:space="preserve">4170053306                    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18.03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1</v>
      </c>
      <c r="BI727">
        <v>1</v>
      </c>
      <c r="BJ727">
        <v>0.2</v>
      </c>
      <c r="BK727">
        <v>1</v>
      </c>
      <c r="BL727">
        <v>55.99</v>
      </c>
      <c r="BM727">
        <v>8.4</v>
      </c>
      <c r="BN727">
        <v>64.39</v>
      </c>
      <c r="BO727">
        <v>64.39</v>
      </c>
      <c r="BQ727" t="s">
        <v>1056</v>
      </c>
      <c r="BR727" t="s">
        <v>84</v>
      </c>
      <c r="BS727" s="3">
        <v>45876</v>
      </c>
      <c r="BT727" s="4">
        <v>0.40277777777777779</v>
      </c>
      <c r="BU727" t="s">
        <v>1499</v>
      </c>
      <c r="BV727" t="s">
        <v>86</v>
      </c>
      <c r="BY727">
        <v>1200</v>
      </c>
      <c r="CA727" t="s">
        <v>461</v>
      </c>
      <c r="CC727" t="s">
        <v>326</v>
      </c>
      <c r="CD727">
        <v>2094</v>
      </c>
      <c r="CE727" t="s">
        <v>109</v>
      </c>
      <c r="CF727" s="3">
        <v>45876</v>
      </c>
      <c r="CI727">
        <v>1</v>
      </c>
      <c r="CJ727">
        <v>1</v>
      </c>
      <c r="CK727">
        <v>22</v>
      </c>
      <c r="CL727" t="s">
        <v>90</v>
      </c>
    </row>
    <row r="728" spans="1:90" x14ac:dyDescent="0.3">
      <c r="A728" t="s">
        <v>72</v>
      </c>
      <c r="B728" t="s">
        <v>73</v>
      </c>
      <c r="C728" t="s">
        <v>74</v>
      </c>
      <c r="E728" t="str">
        <f>"080067063407"</f>
        <v>080067063407</v>
      </c>
      <c r="F728" s="3">
        <v>45875</v>
      </c>
      <c r="G728">
        <v>202605</v>
      </c>
      <c r="H728" t="s">
        <v>75</v>
      </c>
      <c r="I728" t="s">
        <v>76</v>
      </c>
      <c r="J728" t="s">
        <v>77</v>
      </c>
      <c r="K728" t="s">
        <v>78</v>
      </c>
      <c r="L728" t="s">
        <v>137</v>
      </c>
      <c r="M728" t="s">
        <v>138</v>
      </c>
      <c r="N728" t="s">
        <v>1073</v>
      </c>
      <c r="O728" t="s">
        <v>82</v>
      </c>
      <c r="P728" t="str">
        <f>"4170053224                    "</f>
        <v xml:space="preserve">4170053224                    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23.09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1</v>
      </c>
      <c r="BI728">
        <v>1</v>
      </c>
      <c r="BJ728">
        <v>0.2</v>
      </c>
      <c r="BK728">
        <v>1</v>
      </c>
      <c r="BL728">
        <v>71.69</v>
      </c>
      <c r="BM728">
        <v>10.75</v>
      </c>
      <c r="BN728">
        <v>82.44</v>
      </c>
      <c r="BO728">
        <v>82.44</v>
      </c>
      <c r="BQ728" t="s">
        <v>1074</v>
      </c>
      <c r="BR728" t="s">
        <v>84</v>
      </c>
      <c r="BS728" s="3">
        <v>45876</v>
      </c>
      <c r="BT728" s="4">
        <v>0.50763888888888886</v>
      </c>
      <c r="BU728" t="s">
        <v>1310</v>
      </c>
      <c r="BV728" t="s">
        <v>86</v>
      </c>
      <c r="BY728">
        <v>1200</v>
      </c>
      <c r="BZ728" t="s">
        <v>330</v>
      </c>
      <c r="CA728" t="s">
        <v>953</v>
      </c>
      <c r="CC728" t="s">
        <v>138</v>
      </c>
      <c r="CD728">
        <v>3610</v>
      </c>
      <c r="CE728" t="s">
        <v>597</v>
      </c>
      <c r="CF728" s="3">
        <v>45876</v>
      </c>
      <c r="CI728">
        <v>1</v>
      </c>
      <c r="CJ728">
        <v>1</v>
      </c>
      <c r="CK728">
        <v>21</v>
      </c>
      <c r="CL728" t="s">
        <v>90</v>
      </c>
    </row>
    <row r="729" spans="1:90" x14ac:dyDescent="0.3">
      <c r="A729" t="s">
        <v>72</v>
      </c>
      <c r="B729" t="s">
        <v>73</v>
      </c>
      <c r="C729" t="s">
        <v>74</v>
      </c>
      <c r="E729" t="str">
        <f>"080067063424"</f>
        <v>080067063424</v>
      </c>
      <c r="F729" s="3">
        <v>45875</v>
      </c>
      <c r="G729">
        <v>202605</v>
      </c>
      <c r="H729" t="s">
        <v>75</v>
      </c>
      <c r="I729" t="s">
        <v>76</v>
      </c>
      <c r="J729" t="s">
        <v>77</v>
      </c>
      <c r="K729" t="s">
        <v>78</v>
      </c>
      <c r="L729" t="s">
        <v>79</v>
      </c>
      <c r="M729" t="s">
        <v>80</v>
      </c>
      <c r="N729" t="s">
        <v>1500</v>
      </c>
      <c r="O729" t="s">
        <v>82</v>
      </c>
      <c r="P729" t="str">
        <f>"4170053211                    "</f>
        <v xml:space="preserve">4170053211                    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18.03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1</v>
      </c>
      <c r="BI729">
        <v>1</v>
      </c>
      <c r="BJ729">
        <v>0.2</v>
      </c>
      <c r="BK729">
        <v>1</v>
      </c>
      <c r="BL729">
        <v>55.99</v>
      </c>
      <c r="BM729">
        <v>8.4</v>
      </c>
      <c r="BN729">
        <v>64.39</v>
      </c>
      <c r="BO729">
        <v>64.39</v>
      </c>
      <c r="BQ729" t="s">
        <v>1501</v>
      </c>
      <c r="BR729" t="s">
        <v>84</v>
      </c>
      <c r="BS729" s="3">
        <v>45876</v>
      </c>
      <c r="BT729" s="4">
        <v>0.43680555555555556</v>
      </c>
      <c r="BU729" t="s">
        <v>1502</v>
      </c>
      <c r="BV729" t="s">
        <v>86</v>
      </c>
      <c r="BY729">
        <v>1200</v>
      </c>
      <c r="CC729" t="s">
        <v>80</v>
      </c>
      <c r="CD729">
        <v>1401</v>
      </c>
      <c r="CE729" t="s">
        <v>290</v>
      </c>
      <c r="CF729" s="3">
        <v>45876</v>
      </c>
      <c r="CI729">
        <v>1</v>
      </c>
      <c r="CJ729">
        <v>1</v>
      </c>
      <c r="CK729">
        <v>22</v>
      </c>
      <c r="CL729" t="s">
        <v>90</v>
      </c>
    </row>
    <row r="730" spans="1:90" x14ac:dyDescent="0.3">
      <c r="A730" t="s">
        <v>72</v>
      </c>
      <c r="B730" t="s">
        <v>73</v>
      </c>
      <c r="C730" t="s">
        <v>74</v>
      </c>
      <c r="E730" t="str">
        <f>"080067063438"</f>
        <v>080067063438</v>
      </c>
      <c r="F730" s="3">
        <v>45875</v>
      </c>
      <c r="G730">
        <v>202605</v>
      </c>
      <c r="H730" t="s">
        <v>75</v>
      </c>
      <c r="I730" t="s">
        <v>76</v>
      </c>
      <c r="J730" t="s">
        <v>77</v>
      </c>
      <c r="K730" t="s">
        <v>78</v>
      </c>
      <c r="L730" t="s">
        <v>400</v>
      </c>
      <c r="M730" t="s">
        <v>401</v>
      </c>
      <c r="N730" t="s">
        <v>932</v>
      </c>
      <c r="O730" t="s">
        <v>82</v>
      </c>
      <c r="P730" t="str">
        <f>"4170053337                    "</f>
        <v xml:space="preserve">4170053337                    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23.09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1</v>
      </c>
      <c r="BI730">
        <v>1</v>
      </c>
      <c r="BJ730">
        <v>0.2</v>
      </c>
      <c r="BK730">
        <v>1</v>
      </c>
      <c r="BL730">
        <v>71.69</v>
      </c>
      <c r="BM730">
        <v>10.75</v>
      </c>
      <c r="BN730">
        <v>82.44</v>
      </c>
      <c r="BO730">
        <v>82.44</v>
      </c>
      <c r="BQ730" t="s">
        <v>933</v>
      </c>
      <c r="BR730" t="s">
        <v>84</v>
      </c>
      <c r="BS730" s="3">
        <v>45876</v>
      </c>
      <c r="BT730" s="4">
        <v>0.33333333333333331</v>
      </c>
      <c r="BU730" t="s">
        <v>1503</v>
      </c>
      <c r="BV730" t="s">
        <v>86</v>
      </c>
      <c r="BY730">
        <v>1200</v>
      </c>
      <c r="BZ730" t="s">
        <v>330</v>
      </c>
      <c r="CA730" t="s">
        <v>405</v>
      </c>
      <c r="CC730" t="s">
        <v>401</v>
      </c>
      <c r="CD730">
        <v>6230</v>
      </c>
      <c r="CE730" t="s">
        <v>597</v>
      </c>
      <c r="CF730" s="3">
        <v>45876</v>
      </c>
      <c r="CI730">
        <v>1</v>
      </c>
      <c r="CJ730">
        <v>1</v>
      </c>
      <c r="CK730">
        <v>21</v>
      </c>
      <c r="CL730" t="s">
        <v>90</v>
      </c>
    </row>
    <row r="731" spans="1:90" x14ac:dyDescent="0.3">
      <c r="A731" t="s">
        <v>72</v>
      </c>
      <c r="B731" t="s">
        <v>73</v>
      </c>
      <c r="C731" t="s">
        <v>74</v>
      </c>
      <c r="E731" t="str">
        <f>"080067063453"</f>
        <v>080067063453</v>
      </c>
      <c r="F731" s="3">
        <v>45875</v>
      </c>
      <c r="G731">
        <v>202605</v>
      </c>
      <c r="H731" t="s">
        <v>75</v>
      </c>
      <c r="I731" t="s">
        <v>76</v>
      </c>
      <c r="J731" t="s">
        <v>77</v>
      </c>
      <c r="K731" t="s">
        <v>78</v>
      </c>
      <c r="L731" t="s">
        <v>1504</v>
      </c>
      <c r="M731" t="s">
        <v>1505</v>
      </c>
      <c r="N731" t="s">
        <v>1506</v>
      </c>
      <c r="O731" t="s">
        <v>82</v>
      </c>
      <c r="P731" t="str">
        <f>"4170053262                    "</f>
        <v xml:space="preserve">4170053262                    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44.73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1</v>
      </c>
      <c r="BI731">
        <v>1</v>
      </c>
      <c r="BJ731">
        <v>0.2</v>
      </c>
      <c r="BK731">
        <v>1</v>
      </c>
      <c r="BL731">
        <v>138.88999999999999</v>
      </c>
      <c r="BM731">
        <v>20.83</v>
      </c>
      <c r="BN731">
        <v>159.72</v>
      </c>
      <c r="BO731">
        <v>159.72</v>
      </c>
      <c r="BQ731" t="s">
        <v>1507</v>
      </c>
      <c r="BR731" t="s">
        <v>84</v>
      </c>
      <c r="BS731" s="3">
        <v>45877</v>
      </c>
      <c r="BT731" s="4">
        <v>0.45694444444444443</v>
      </c>
      <c r="BU731" t="s">
        <v>1508</v>
      </c>
      <c r="BV731" t="s">
        <v>86</v>
      </c>
      <c r="BY731">
        <v>1200</v>
      </c>
      <c r="CA731" t="s">
        <v>1509</v>
      </c>
      <c r="CC731" t="s">
        <v>1505</v>
      </c>
      <c r="CD731">
        <v>4490</v>
      </c>
      <c r="CE731" t="s">
        <v>109</v>
      </c>
      <c r="CF731" s="3">
        <v>45877</v>
      </c>
      <c r="CI731">
        <v>5</v>
      </c>
      <c r="CJ731">
        <v>2</v>
      </c>
      <c r="CK731">
        <v>23</v>
      </c>
      <c r="CL731" t="s">
        <v>90</v>
      </c>
    </row>
    <row r="732" spans="1:90" x14ac:dyDescent="0.3">
      <c r="A732" t="s">
        <v>72</v>
      </c>
      <c r="B732" t="s">
        <v>73</v>
      </c>
      <c r="C732" t="s">
        <v>74</v>
      </c>
      <c r="E732" t="str">
        <f>"080067063460"</f>
        <v>080067063460</v>
      </c>
      <c r="F732" s="3">
        <v>45875</v>
      </c>
      <c r="G732">
        <v>202605</v>
      </c>
      <c r="H732" t="s">
        <v>75</v>
      </c>
      <c r="I732" t="s">
        <v>76</v>
      </c>
      <c r="J732" t="s">
        <v>77</v>
      </c>
      <c r="K732" t="s">
        <v>78</v>
      </c>
      <c r="L732" t="s">
        <v>452</v>
      </c>
      <c r="M732" t="s">
        <v>453</v>
      </c>
      <c r="N732" t="s">
        <v>454</v>
      </c>
      <c r="O732" t="s">
        <v>82</v>
      </c>
      <c r="P732" t="str">
        <f>"4170053373                    "</f>
        <v xml:space="preserve">4170053373                    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44.73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1</v>
      </c>
      <c r="BI732">
        <v>1</v>
      </c>
      <c r="BJ732">
        <v>0.2</v>
      </c>
      <c r="BK732">
        <v>1</v>
      </c>
      <c r="BL732">
        <v>138.88999999999999</v>
      </c>
      <c r="BM732">
        <v>20.83</v>
      </c>
      <c r="BN732">
        <v>159.72</v>
      </c>
      <c r="BO732">
        <v>159.72</v>
      </c>
      <c r="BQ732" t="s">
        <v>455</v>
      </c>
      <c r="BR732" t="s">
        <v>84</v>
      </c>
      <c r="BS732" s="3">
        <v>45876</v>
      </c>
      <c r="BT732" s="4">
        <v>0.34583333333333333</v>
      </c>
      <c r="BU732" t="s">
        <v>483</v>
      </c>
      <c r="BV732" t="s">
        <v>86</v>
      </c>
      <c r="BY732">
        <v>1200</v>
      </c>
      <c r="BZ732" t="s">
        <v>330</v>
      </c>
      <c r="CA732" t="s">
        <v>1093</v>
      </c>
      <c r="CC732" t="s">
        <v>453</v>
      </c>
      <c r="CD732">
        <v>1947</v>
      </c>
      <c r="CE732" t="s">
        <v>597</v>
      </c>
      <c r="CF732" s="3">
        <v>45876</v>
      </c>
      <c r="CI732">
        <v>1</v>
      </c>
      <c r="CJ732">
        <v>1</v>
      </c>
      <c r="CK732">
        <v>23</v>
      </c>
      <c r="CL732" t="s">
        <v>90</v>
      </c>
    </row>
    <row r="733" spans="1:90" x14ac:dyDescent="0.3">
      <c r="A733" t="s">
        <v>72</v>
      </c>
      <c r="B733" t="s">
        <v>73</v>
      </c>
      <c r="C733" t="s">
        <v>74</v>
      </c>
      <c r="E733" t="str">
        <f>"080067063485"</f>
        <v>080067063485</v>
      </c>
      <c r="F733" s="3">
        <v>45875</v>
      </c>
      <c r="G733">
        <v>202605</v>
      </c>
      <c r="H733" t="s">
        <v>75</v>
      </c>
      <c r="I733" t="s">
        <v>76</v>
      </c>
      <c r="J733" t="s">
        <v>77</v>
      </c>
      <c r="K733" t="s">
        <v>78</v>
      </c>
      <c r="L733" t="s">
        <v>75</v>
      </c>
      <c r="M733" t="s">
        <v>76</v>
      </c>
      <c r="N733" t="s">
        <v>1020</v>
      </c>
      <c r="O733" t="s">
        <v>82</v>
      </c>
      <c r="P733" t="str">
        <f>"4170053181                    "</f>
        <v xml:space="preserve">4170053181                    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18.03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1</v>
      </c>
      <c r="BI733">
        <v>1</v>
      </c>
      <c r="BJ733">
        <v>0.2</v>
      </c>
      <c r="BK733">
        <v>1</v>
      </c>
      <c r="BL733">
        <v>55.99</v>
      </c>
      <c r="BM733">
        <v>8.4</v>
      </c>
      <c r="BN733">
        <v>64.39</v>
      </c>
      <c r="BO733">
        <v>64.39</v>
      </c>
      <c r="BQ733" t="s">
        <v>1021</v>
      </c>
      <c r="BR733" t="s">
        <v>84</v>
      </c>
      <c r="BS733" s="3">
        <v>45880</v>
      </c>
      <c r="BT733" s="4">
        <v>0.34513888888888888</v>
      </c>
      <c r="BU733" t="s">
        <v>1118</v>
      </c>
      <c r="BV733" t="s">
        <v>90</v>
      </c>
      <c r="BW733" t="s">
        <v>1167</v>
      </c>
      <c r="BX733" t="s">
        <v>1234</v>
      </c>
      <c r="BY733">
        <v>1200</v>
      </c>
      <c r="CA733" t="s">
        <v>146</v>
      </c>
      <c r="CC733" t="s">
        <v>76</v>
      </c>
      <c r="CD733">
        <v>1645</v>
      </c>
      <c r="CE733" t="s">
        <v>109</v>
      </c>
      <c r="CF733" s="3">
        <v>45881</v>
      </c>
      <c r="CI733">
        <v>1</v>
      </c>
      <c r="CJ733">
        <v>3</v>
      </c>
      <c r="CK733">
        <v>22</v>
      </c>
      <c r="CL733" t="s">
        <v>90</v>
      </c>
    </row>
    <row r="734" spans="1:90" x14ac:dyDescent="0.3">
      <c r="A734" t="s">
        <v>72</v>
      </c>
      <c r="B734" t="s">
        <v>73</v>
      </c>
      <c r="C734" t="s">
        <v>74</v>
      </c>
      <c r="E734" t="str">
        <f>"080067063504"</f>
        <v>080067063504</v>
      </c>
      <c r="F734" s="3">
        <v>45875</v>
      </c>
      <c r="G734">
        <v>202605</v>
      </c>
      <c r="H734" t="s">
        <v>75</v>
      </c>
      <c r="I734" t="s">
        <v>76</v>
      </c>
      <c r="J734" t="s">
        <v>77</v>
      </c>
      <c r="K734" t="s">
        <v>78</v>
      </c>
      <c r="L734" t="s">
        <v>1510</v>
      </c>
      <c r="M734" t="s">
        <v>1511</v>
      </c>
      <c r="N734" t="s">
        <v>1512</v>
      </c>
      <c r="O734" t="s">
        <v>82</v>
      </c>
      <c r="P734" t="str">
        <f>"4170053217                    "</f>
        <v xml:space="preserve">4170053217                    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23.09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1</v>
      </c>
      <c r="BI734">
        <v>1</v>
      </c>
      <c r="BJ734">
        <v>0.2</v>
      </c>
      <c r="BK734">
        <v>1</v>
      </c>
      <c r="BL734">
        <v>71.69</v>
      </c>
      <c r="BM734">
        <v>10.75</v>
      </c>
      <c r="BN734">
        <v>82.44</v>
      </c>
      <c r="BO734">
        <v>82.44</v>
      </c>
      <c r="BQ734" t="s">
        <v>1513</v>
      </c>
      <c r="BR734" t="s">
        <v>84</v>
      </c>
      <c r="BS734" s="3">
        <v>45876</v>
      </c>
      <c r="BT734" s="4">
        <v>0.52500000000000002</v>
      </c>
      <c r="BU734" t="s">
        <v>1514</v>
      </c>
      <c r="BV734" t="s">
        <v>86</v>
      </c>
      <c r="BY734">
        <v>1200</v>
      </c>
      <c r="BZ734" t="s">
        <v>330</v>
      </c>
      <c r="CC734" t="s">
        <v>1511</v>
      </c>
      <c r="CD734">
        <v>6529</v>
      </c>
      <c r="CE734" t="s">
        <v>109</v>
      </c>
      <c r="CF734" s="3">
        <v>45876</v>
      </c>
      <c r="CI734">
        <v>1</v>
      </c>
      <c r="CJ734">
        <v>1</v>
      </c>
      <c r="CK734">
        <v>21</v>
      </c>
      <c r="CL734" t="s">
        <v>90</v>
      </c>
    </row>
    <row r="735" spans="1:90" x14ac:dyDescent="0.3">
      <c r="A735" t="s">
        <v>72</v>
      </c>
      <c r="B735" t="s">
        <v>73</v>
      </c>
      <c r="C735" t="s">
        <v>74</v>
      </c>
      <c r="E735" t="str">
        <f>"080067063524"</f>
        <v>080067063524</v>
      </c>
      <c r="F735" s="3">
        <v>45875</v>
      </c>
      <c r="G735">
        <v>202605</v>
      </c>
      <c r="H735" t="s">
        <v>75</v>
      </c>
      <c r="I735" t="s">
        <v>76</v>
      </c>
      <c r="J735" t="s">
        <v>77</v>
      </c>
      <c r="K735" t="s">
        <v>78</v>
      </c>
      <c r="L735" t="s">
        <v>162</v>
      </c>
      <c r="M735" t="s">
        <v>163</v>
      </c>
      <c r="N735" t="s">
        <v>246</v>
      </c>
      <c r="O735" t="s">
        <v>82</v>
      </c>
      <c r="P735" t="str">
        <f>"4170053046                    "</f>
        <v xml:space="preserve">4170053046                    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23.09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1</v>
      </c>
      <c r="BI735">
        <v>1</v>
      </c>
      <c r="BJ735">
        <v>0.2</v>
      </c>
      <c r="BK735">
        <v>1</v>
      </c>
      <c r="BL735">
        <v>71.69</v>
      </c>
      <c r="BM735">
        <v>10.75</v>
      </c>
      <c r="BN735">
        <v>82.44</v>
      </c>
      <c r="BO735">
        <v>82.44</v>
      </c>
      <c r="BQ735" t="s">
        <v>247</v>
      </c>
      <c r="BR735" t="s">
        <v>84</v>
      </c>
      <c r="BS735" s="3">
        <v>45877</v>
      </c>
      <c r="BT735" s="4">
        <v>0.41666666666666669</v>
      </c>
      <c r="BU735" t="s">
        <v>1326</v>
      </c>
      <c r="BV735" t="s">
        <v>90</v>
      </c>
      <c r="BY735">
        <v>1200</v>
      </c>
      <c r="CC735" t="s">
        <v>163</v>
      </c>
      <c r="CD735">
        <v>3201</v>
      </c>
      <c r="CE735" t="s">
        <v>178</v>
      </c>
      <c r="CF735" s="3">
        <v>45880</v>
      </c>
      <c r="CI735">
        <v>1</v>
      </c>
      <c r="CJ735">
        <v>2</v>
      </c>
      <c r="CK735">
        <v>21</v>
      </c>
      <c r="CL735" t="s">
        <v>90</v>
      </c>
    </row>
    <row r="736" spans="1:90" x14ac:dyDescent="0.3">
      <c r="A736" t="s">
        <v>72</v>
      </c>
      <c r="B736" t="s">
        <v>73</v>
      </c>
      <c r="C736" t="s">
        <v>74</v>
      </c>
      <c r="E736" t="str">
        <f>"080067063559"</f>
        <v>080067063559</v>
      </c>
      <c r="F736" s="3">
        <v>45875</v>
      </c>
      <c r="G736">
        <v>202605</v>
      </c>
      <c r="H736" t="s">
        <v>75</v>
      </c>
      <c r="I736" t="s">
        <v>76</v>
      </c>
      <c r="J736" t="s">
        <v>77</v>
      </c>
      <c r="K736" t="s">
        <v>78</v>
      </c>
      <c r="L736" t="s">
        <v>137</v>
      </c>
      <c r="M736" t="s">
        <v>138</v>
      </c>
      <c r="N736" t="s">
        <v>1073</v>
      </c>
      <c r="O736" t="s">
        <v>82</v>
      </c>
      <c r="P736" t="str">
        <f>"4170053225                    "</f>
        <v xml:space="preserve">4170053225                    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23.09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1</v>
      </c>
      <c r="BI736">
        <v>1</v>
      </c>
      <c r="BJ736">
        <v>0.2</v>
      </c>
      <c r="BK736">
        <v>1</v>
      </c>
      <c r="BL736">
        <v>71.69</v>
      </c>
      <c r="BM736">
        <v>10.75</v>
      </c>
      <c r="BN736">
        <v>82.44</v>
      </c>
      <c r="BO736">
        <v>82.44</v>
      </c>
      <c r="BQ736" t="s">
        <v>1074</v>
      </c>
      <c r="BR736" t="s">
        <v>84</v>
      </c>
      <c r="BS736" s="3">
        <v>45876</v>
      </c>
      <c r="BT736" s="4">
        <v>0.48958333333333331</v>
      </c>
      <c r="BU736" t="s">
        <v>1310</v>
      </c>
      <c r="BV736" t="s">
        <v>86</v>
      </c>
      <c r="BY736">
        <v>1200</v>
      </c>
      <c r="BZ736" t="s">
        <v>330</v>
      </c>
      <c r="CA736" t="s">
        <v>953</v>
      </c>
      <c r="CC736" t="s">
        <v>138</v>
      </c>
      <c r="CD736">
        <v>3610</v>
      </c>
      <c r="CE736" t="s">
        <v>1515</v>
      </c>
      <c r="CF736" s="3">
        <v>45876</v>
      </c>
      <c r="CI736">
        <v>1</v>
      </c>
      <c r="CJ736">
        <v>1</v>
      </c>
      <c r="CK736">
        <v>21</v>
      </c>
      <c r="CL736" t="s">
        <v>90</v>
      </c>
    </row>
    <row r="737" spans="1:90" x14ac:dyDescent="0.3">
      <c r="A737" t="s">
        <v>72</v>
      </c>
      <c r="B737" t="s">
        <v>73</v>
      </c>
      <c r="C737" t="s">
        <v>74</v>
      </c>
      <c r="E737" t="str">
        <f>"080067063570"</f>
        <v>080067063570</v>
      </c>
      <c r="F737" s="3">
        <v>45875</v>
      </c>
      <c r="G737">
        <v>202605</v>
      </c>
      <c r="H737" t="s">
        <v>75</v>
      </c>
      <c r="I737" t="s">
        <v>76</v>
      </c>
      <c r="J737" t="s">
        <v>77</v>
      </c>
      <c r="K737" t="s">
        <v>78</v>
      </c>
      <c r="L737" t="s">
        <v>325</v>
      </c>
      <c r="M737" t="s">
        <v>326</v>
      </c>
      <c r="N737" t="s">
        <v>1465</v>
      </c>
      <c r="O737" t="s">
        <v>82</v>
      </c>
      <c r="P737" t="str">
        <f>"4170053370                    "</f>
        <v xml:space="preserve">4170053370                    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23.09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16.739999999999998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1</v>
      </c>
      <c r="BI737">
        <v>2</v>
      </c>
      <c r="BJ737">
        <v>2</v>
      </c>
      <c r="BK737">
        <v>2</v>
      </c>
      <c r="BL737">
        <v>88.43</v>
      </c>
      <c r="BM737">
        <v>13.26</v>
      </c>
      <c r="BN737">
        <v>101.69</v>
      </c>
      <c r="BO737">
        <v>101.69</v>
      </c>
      <c r="BQ737" t="s">
        <v>1466</v>
      </c>
      <c r="BR737" t="s">
        <v>84</v>
      </c>
      <c r="BS737" s="3">
        <v>45876</v>
      </c>
      <c r="BT737" s="4">
        <v>0.41249999999999998</v>
      </c>
      <c r="BU737" t="s">
        <v>1516</v>
      </c>
      <c r="BV737" t="s">
        <v>86</v>
      </c>
      <c r="BY737">
        <v>9900</v>
      </c>
      <c r="BZ737" t="s">
        <v>1517</v>
      </c>
      <c r="CA737" t="s">
        <v>1518</v>
      </c>
      <c r="CC737" t="s">
        <v>326</v>
      </c>
      <c r="CD737">
        <v>1832</v>
      </c>
      <c r="CE737" t="s">
        <v>89</v>
      </c>
      <c r="CF737" s="3">
        <v>45877</v>
      </c>
      <c r="CI737">
        <v>0</v>
      </c>
      <c r="CJ737">
        <v>0</v>
      </c>
      <c r="CK737">
        <v>21</v>
      </c>
      <c r="CL737" t="s">
        <v>90</v>
      </c>
    </row>
    <row r="738" spans="1:90" x14ac:dyDescent="0.3">
      <c r="A738" t="s">
        <v>72</v>
      </c>
      <c r="B738" t="s">
        <v>73</v>
      </c>
      <c r="C738" t="s">
        <v>74</v>
      </c>
      <c r="E738" t="str">
        <f>"080067063578"</f>
        <v>080067063578</v>
      </c>
      <c r="F738" s="3">
        <v>45875</v>
      </c>
      <c r="G738">
        <v>202605</v>
      </c>
      <c r="H738" t="s">
        <v>75</v>
      </c>
      <c r="I738" t="s">
        <v>76</v>
      </c>
      <c r="J738" t="s">
        <v>77</v>
      </c>
      <c r="K738" t="s">
        <v>78</v>
      </c>
      <c r="L738" t="s">
        <v>123</v>
      </c>
      <c r="M738" t="s">
        <v>124</v>
      </c>
      <c r="N738" t="s">
        <v>189</v>
      </c>
      <c r="O738" t="s">
        <v>82</v>
      </c>
      <c r="P738" t="str">
        <f>"4170053294                    "</f>
        <v xml:space="preserve">4170053294                    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23.09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1</v>
      </c>
      <c r="BI738">
        <v>1</v>
      </c>
      <c r="BJ738">
        <v>0.2</v>
      </c>
      <c r="BK738">
        <v>1</v>
      </c>
      <c r="BL738">
        <v>71.69</v>
      </c>
      <c r="BM738">
        <v>10.75</v>
      </c>
      <c r="BN738">
        <v>82.44</v>
      </c>
      <c r="BO738">
        <v>82.44</v>
      </c>
      <c r="BQ738" t="s">
        <v>190</v>
      </c>
      <c r="BR738" t="s">
        <v>84</v>
      </c>
      <c r="BS738" s="3">
        <v>45877</v>
      </c>
      <c r="BT738" s="4">
        <v>0.42430555555555555</v>
      </c>
      <c r="BU738" t="s">
        <v>1457</v>
      </c>
      <c r="BV738" t="s">
        <v>90</v>
      </c>
      <c r="BY738">
        <v>1200</v>
      </c>
      <c r="CA738" t="s">
        <v>192</v>
      </c>
      <c r="CC738" t="s">
        <v>124</v>
      </c>
      <c r="CD738">
        <v>8001</v>
      </c>
      <c r="CE738" t="s">
        <v>109</v>
      </c>
      <c r="CF738" s="3">
        <v>45880</v>
      </c>
      <c r="CI738">
        <v>1</v>
      </c>
      <c r="CJ738">
        <v>2</v>
      </c>
      <c r="CK738">
        <v>21</v>
      </c>
      <c r="CL738" t="s">
        <v>90</v>
      </c>
    </row>
    <row r="739" spans="1:90" x14ac:dyDescent="0.3">
      <c r="A739" t="s">
        <v>72</v>
      </c>
      <c r="B739" t="s">
        <v>73</v>
      </c>
      <c r="C739" t="s">
        <v>74</v>
      </c>
      <c r="E739" t="str">
        <f>"080067063591"</f>
        <v>080067063591</v>
      </c>
      <c r="F739" s="3">
        <v>45875</v>
      </c>
      <c r="G739">
        <v>202605</v>
      </c>
      <c r="H739" t="s">
        <v>75</v>
      </c>
      <c r="I739" t="s">
        <v>76</v>
      </c>
      <c r="J739" t="s">
        <v>77</v>
      </c>
      <c r="K739" t="s">
        <v>78</v>
      </c>
      <c r="L739" t="s">
        <v>123</v>
      </c>
      <c r="M739" t="s">
        <v>124</v>
      </c>
      <c r="N739" t="s">
        <v>406</v>
      </c>
      <c r="O739" t="s">
        <v>82</v>
      </c>
      <c r="P739" t="str">
        <f>"4170053316                    "</f>
        <v xml:space="preserve">4170053316                    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23.09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1</v>
      </c>
      <c r="BI739">
        <v>1</v>
      </c>
      <c r="BJ739">
        <v>0.9</v>
      </c>
      <c r="BK739">
        <v>1</v>
      </c>
      <c r="BL739">
        <v>71.69</v>
      </c>
      <c r="BM739">
        <v>10.75</v>
      </c>
      <c r="BN739">
        <v>82.44</v>
      </c>
      <c r="BO739">
        <v>82.44</v>
      </c>
      <c r="BQ739" t="s">
        <v>407</v>
      </c>
      <c r="BR739" t="s">
        <v>84</v>
      </c>
      <c r="BS739" s="3">
        <v>45877</v>
      </c>
      <c r="BT739" s="4">
        <v>0.4375</v>
      </c>
      <c r="BU739" t="s">
        <v>408</v>
      </c>
      <c r="BV739" t="s">
        <v>90</v>
      </c>
      <c r="BY739">
        <v>4256</v>
      </c>
      <c r="CA739" t="s">
        <v>192</v>
      </c>
      <c r="CC739" t="s">
        <v>124</v>
      </c>
      <c r="CD739">
        <v>7441</v>
      </c>
      <c r="CE739" t="s">
        <v>147</v>
      </c>
      <c r="CF739" s="3">
        <v>45880</v>
      </c>
      <c r="CI739">
        <v>1</v>
      </c>
      <c r="CJ739">
        <v>2</v>
      </c>
      <c r="CK739">
        <v>21</v>
      </c>
      <c r="CL739" t="s">
        <v>90</v>
      </c>
    </row>
    <row r="740" spans="1:90" x14ac:dyDescent="0.3">
      <c r="A740" t="s">
        <v>72</v>
      </c>
      <c r="B740" t="s">
        <v>73</v>
      </c>
      <c r="C740" t="s">
        <v>74</v>
      </c>
      <c r="E740" t="str">
        <f>"080067063613"</f>
        <v>080067063613</v>
      </c>
      <c r="F740" s="3">
        <v>45875</v>
      </c>
      <c r="G740">
        <v>202605</v>
      </c>
      <c r="H740" t="s">
        <v>75</v>
      </c>
      <c r="I740" t="s">
        <v>76</v>
      </c>
      <c r="J740" t="s">
        <v>77</v>
      </c>
      <c r="K740" t="s">
        <v>78</v>
      </c>
      <c r="L740" t="s">
        <v>325</v>
      </c>
      <c r="M740" t="s">
        <v>326</v>
      </c>
      <c r="N740" t="s">
        <v>852</v>
      </c>
      <c r="O740" t="s">
        <v>82</v>
      </c>
      <c r="P740" t="str">
        <f>"4170053336                    "</f>
        <v xml:space="preserve">4170053336                    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18.03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1</v>
      </c>
      <c r="BI740">
        <v>1</v>
      </c>
      <c r="BJ740">
        <v>1.7</v>
      </c>
      <c r="BK740">
        <v>2</v>
      </c>
      <c r="BL740">
        <v>55.99</v>
      </c>
      <c r="BM740">
        <v>8.4</v>
      </c>
      <c r="BN740">
        <v>64.39</v>
      </c>
      <c r="BO740">
        <v>64.39</v>
      </c>
      <c r="BQ740" t="s">
        <v>853</v>
      </c>
      <c r="BR740" t="s">
        <v>84</v>
      </c>
      <c r="BS740" s="3">
        <v>45876</v>
      </c>
      <c r="BT740" s="4">
        <v>0.39583333333333331</v>
      </c>
      <c r="BU740" t="s">
        <v>1445</v>
      </c>
      <c r="BV740" t="s">
        <v>86</v>
      </c>
      <c r="BY740">
        <v>8748</v>
      </c>
      <c r="CA740" t="s">
        <v>1351</v>
      </c>
      <c r="CC740" t="s">
        <v>326</v>
      </c>
      <c r="CD740">
        <v>2091</v>
      </c>
      <c r="CE740" t="s">
        <v>970</v>
      </c>
      <c r="CF740" s="3">
        <v>45877</v>
      </c>
      <c r="CI740">
        <v>1</v>
      </c>
      <c r="CJ740">
        <v>1</v>
      </c>
      <c r="CK740">
        <v>22</v>
      </c>
      <c r="CL740" t="s">
        <v>90</v>
      </c>
    </row>
    <row r="741" spans="1:90" x14ac:dyDescent="0.3">
      <c r="A741" t="s">
        <v>72</v>
      </c>
      <c r="B741" t="s">
        <v>73</v>
      </c>
      <c r="C741" t="s">
        <v>74</v>
      </c>
      <c r="E741" t="str">
        <f>"080067063641"</f>
        <v>080067063641</v>
      </c>
      <c r="F741" s="3">
        <v>45875</v>
      </c>
      <c r="G741">
        <v>202605</v>
      </c>
      <c r="H741" t="s">
        <v>75</v>
      </c>
      <c r="I741" t="s">
        <v>76</v>
      </c>
      <c r="J741" t="s">
        <v>77</v>
      </c>
      <c r="K741" t="s">
        <v>78</v>
      </c>
      <c r="L741" t="s">
        <v>123</v>
      </c>
      <c r="M741" t="s">
        <v>124</v>
      </c>
      <c r="N741" t="s">
        <v>677</v>
      </c>
      <c r="O741" t="s">
        <v>82</v>
      </c>
      <c r="P741" t="str">
        <f>"4170053253                    "</f>
        <v xml:space="preserve">4170053253                    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23.09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1</v>
      </c>
      <c r="BI741">
        <v>1</v>
      </c>
      <c r="BJ741">
        <v>0.9</v>
      </c>
      <c r="BK741">
        <v>1</v>
      </c>
      <c r="BL741">
        <v>71.69</v>
      </c>
      <c r="BM741">
        <v>10.75</v>
      </c>
      <c r="BN741">
        <v>82.44</v>
      </c>
      <c r="BO741">
        <v>82.44</v>
      </c>
      <c r="BQ741" t="s">
        <v>678</v>
      </c>
      <c r="BR741" t="s">
        <v>84</v>
      </c>
      <c r="BS741" s="3">
        <v>45877</v>
      </c>
      <c r="BT741" s="4">
        <v>0.41180555555555554</v>
      </c>
      <c r="BU741" t="s">
        <v>1424</v>
      </c>
      <c r="BV741" t="s">
        <v>90</v>
      </c>
      <c r="BY741">
        <v>4275</v>
      </c>
      <c r="CA741" t="s">
        <v>1425</v>
      </c>
      <c r="CC741" t="s">
        <v>124</v>
      </c>
      <c r="CD741">
        <v>7530</v>
      </c>
      <c r="CE741" t="s">
        <v>147</v>
      </c>
      <c r="CF741" s="3">
        <v>45880</v>
      </c>
      <c r="CI741">
        <v>1</v>
      </c>
      <c r="CJ741">
        <v>2</v>
      </c>
      <c r="CK741">
        <v>21</v>
      </c>
      <c r="CL741" t="s">
        <v>90</v>
      </c>
    </row>
    <row r="742" spans="1:90" x14ac:dyDescent="0.3">
      <c r="A742" t="s">
        <v>72</v>
      </c>
      <c r="B742" t="s">
        <v>73</v>
      </c>
      <c r="C742" t="s">
        <v>74</v>
      </c>
      <c r="E742" t="str">
        <f>"080067063679"</f>
        <v>080067063679</v>
      </c>
      <c r="F742" s="3">
        <v>45875</v>
      </c>
      <c r="G742">
        <v>202605</v>
      </c>
      <c r="H742" t="s">
        <v>75</v>
      </c>
      <c r="I742" t="s">
        <v>76</v>
      </c>
      <c r="J742" t="s">
        <v>77</v>
      </c>
      <c r="K742" t="s">
        <v>78</v>
      </c>
      <c r="L742" t="s">
        <v>1519</v>
      </c>
      <c r="M742" t="s">
        <v>1520</v>
      </c>
      <c r="N742" t="s">
        <v>1521</v>
      </c>
      <c r="O742" t="s">
        <v>82</v>
      </c>
      <c r="P742" t="str">
        <f>"4170053345                    "</f>
        <v xml:space="preserve">4170053345                    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44.73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1</v>
      </c>
      <c r="BI742">
        <v>1</v>
      </c>
      <c r="BJ742">
        <v>0.6</v>
      </c>
      <c r="BK742">
        <v>1</v>
      </c>
      <c r="BL742">
        <v>138.88999999999999</v>
      </c>
      <c r="BM742">
        <v>20.83</v>
      </c>
      <c r="BN742">
        <v>159.72</v>
      </c>
      <c r="BO742">
        <v>159.72</v>
      </c>
      <c r="BQ742" t="s">
        <v>1522</v>
      </c>
      <c r="BR742" t="s">
        <v>84</v>
      </c>
      <c r="BS742" s="3">
        <v>45877</v>
      </c>
      <c r="BT742" s="4">
        <v>0.68472222222222223</v>
      </c>
      <c r="BU742" t="s">
        <v>1523</v>
      </c>
      <c r="BV742" t="s">
        <v>86</v>
      </c>
      <c r="BY742">
        <v>3192</v>
      </c>
      <c r="CC742" t="s">
        <v>1520</v>
      </c>
      <c r="CD742">
        <v>6335</v>
      </c>
      <c r="CE742" t="s">
        <v>147</v>
      </c>
      <c r="CF742" s="3">
        <v>45881</v>
      </c>
      <c r="CI742">
        <v>2</v>
      </c>
      <c r="CJ742">
        <v>2</v>
      </c>
      <c r="CK742">
        <v>23</v>
      </c>
      <c r="CL742" t="s">
        <v>90</v>
      </c>
    </row>
    <row r="743" spans="1:90" x14ac:dyDescent="0.3">
      <c r="A743" t="s">
        <v>72</v>
      </c>
      <c r="B743" t="s">
        <v>73</v>
      </c>
      <c r="C743" t="s">
        <v>74</v>
      </c>
      <c r="E743" t="str">
        <f>"080067063707"</f>
        <v>080067063707</v>
      </c>
      <c r="F743" s="3">
        <v>45875</v>
      </c>
      <c r="G743">
        <v>202605</v>
      </c>
      <c r="H743" t="s">
        <v>75</v>
      </c>
      <c r="I743" t="s">
        <v>76</v>
      </c>
      <c r="J743" t="s">
        <v>77</v>
      </c>
      <c r="K743" t="s">
        <v>78</v>
      </c>
      <c r="L743" t="s">
        <v>179</v>
      </c>
      <c r="M743" t="s">
        <v>180</v>
      </c>
      <c r="N743" t="s">
        <v>181</v>
      </c>
      <c r="O743" t="s">
        <v>82</v>
      </c>
      <c r="P743" t="str">
        <f>"4170053355                    "</f>
        <v xml:space="preserve">4170053355                    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32.47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1</v>
      </c>
      <c r="BI743">
        <v>2</v>
      </c>
      <c r="BJ743">
        <v>1.7</v>
      </c>
      <c r="BK743">
        <v>2</v>
      </c>
      <c r="BL743">
        <v>100.82</v>
      </c>
      <c r="BM743">
        <v>15.12</v>
      </c>
      <c r="BN743">
        <v>115.94</v>
      </c>
      <c r="BO743">
        <v>115.94</v>
      </c>
      <c r="BQ743" t="s">
        <v>182</v>
      </c>
      <c r="BR743" t="s">
        <v>84</v>
      </c>
      <c r="BS743" s="3">
        <v>45876</v>
      </c>
      <c r="BT743" s="4">
        <v>0.41875000000000001</v>
      </c>
      <c r="BU743" t="s">
        <v>183</v>
      </c>
      <c r="BV743" t="s">
        <v>86</v>
      </c>
      <c r="BY743">
        <v>8512</v>
      </c>
      <c r="CA743" t="s">
        <v>184</v>
      </c>
      <c r="CC743" t="s">
        <v>180</v>
      </c>
      <c r="CD743">
        <v>1748</v>
      </c>
      <c r="CE743" t="s">
        <v>147</v>
      </c>
      <c r="CF743" s="3">
        <v>45877</v>
      </c>
      <c r="CI743">
        <v>1</v>
      </c>
      <c r="CJ743">
        <v>1</v>
      </c>
      <c r="CK743">
        <v>24</v>
      </c>
      <c r="CL743" t="s">
        <v>90</v>
      </c>
    </row>
    <row r="744" spans="1:90" x14ac:dyDescent="0.3">
      <c r="A744" t="s">
        <v>72</v>
      </c>
      <c r="B744" t="s">
        <v>73</v>
      </c>
      <c r="C744" t="s">
        <v>74</v>
      </c>
      <c r="E744" t="str">
        <f>"080067063735"</f>
        <v>080067063735</v>
      </c>
      <c r="F744" s="3">
        <v>45875</v>
      </c>
      <c r="G744">
        <v>202605</v>
      </c>
      <c r="H744" t="s">
        <v>75</v>
      </c>
      <c r="I744" t="s">
        <v>76</v>
      </c>
      <c r="J744" t="s">
        <v>77</v>
      </c>
      <c r="K744" t="s">
        <v>78</v>
      </c>
      <c r="L744" t="s">
        <v>234</v>
      </c>
      <c r="M744" t="s">
        <v>235</v>
      </c>
      <c r="N744" t="s">
        <v>236</v>
      </c>
      <c r="O744" t="s">
        <v>95</v>
      </c>
      <c r="P744" t="str">
        <f>"4170053364                    "</f>
        <v xml:space="preserve">4170053364                    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44.64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1</v>
      </c>
      <c r="BI744">
        <v>5</v>
      </c>
      <c r="BJ744">
        <v>3.4</v>
      </c>
      <c r="BK744">
        <v>5</v>
      </c>
      <c r="BL744">
        <v>144.49</v>
      </c>
      <c r="BM744">
        <v>21.67</v>
      </c>
      <c r="BN744">
        <v>166.16</v>
      </c>
      <c r="BO744">
        <v>166.16</v>
      </c>
      <c r="BQ744" t="s">
        <v>237</v>
      </c>
      <c r="BR744" t="s">
        <v>84</v>
      </c>
      <c r="BS744" s="3">
        <v>45876</v>
      </c>
      <c r="BT744" s="4">
        <v>0.36944444444444446</v>
      </c>
      <c r="BU744" t="s">
        <v>650</v>
      </c>
      <c r="BV744" t="s">
        <v>86</v>
      </c>
      <c r="BY744">
        <v>16965</v>
      </c>
      <c r="CA744" t="s">
        <v>239</v>
      </c>
      <c r="CC744" t="s">
        <v>235</v>
      </c>
      <c r="CD744" s="5" t="s">
        <v>240</v>
      </c>
      <c r="CE744" t="s">
        <v>147</v>
      </c>
      <c r="CF744" s="3">
        <v>45876</v>
      </c>
      <c r="CI744">
        <v>1</v>
      </c>
      <c r="CJ744">
        <v>1</v>
      </c>
      <c r="CK744">
        <v>41</v>
      </c>
      <c r="CL744" t="s">
        <v>90</v>
      </c>
    </row>
    <row r="745" spans="1:90" x14ac:dyDescent="0.3">
      <c r="A745" t="s">
        <v>72</v>
      </c>
      <c r="B745" t="s">
        <v>73</v>
      </c>
      <c r="C745" t="s">
        <v>74</v>
      </c>
      <c r="E745" t="str">
        <f>"080067063752"</f>
        <v>080067063752</v>
      </c>
      <c r="F745" s="3">
        <v>45875</v>
      </c>
      <c r="G745">
        <v>202605</v>
      </c>
      <c r="H745" t="s">
        <v>75</v>
      </c>
      <c r="I745" t="s">
        <v>76</v>
      </c>
      <c r="J745" t="s">
        <v>77</v>
      </c>
      <c r="K745" t="s">
        <v>78</v>
      </c>
      <c r="L745" t="s">
        <v>278</v>
      </c>
      <c r="M745" t="s">
        <v>279</v>
      </c>
      <c r="N745" t="s">
        <v>1524</v>
      </c>
      <c r="O745" t="s">
        <v>82</v>
      </c>
      <c r="P745" t="str">
        <f>"4170053362                    "</f>
        <v xml:space="preserve">4170053362                    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23.09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1</v>
      </c>
      <c r="BI745">
        <v>1</v>
      </c>
      <c r="BJ745">
        <v>1.9</v>
      </c>
      <c r="BK745">
        <v>2</v>
      </c>
      <c r="BL745">
        <v>71.69</v>
      </c>
      <c r="BM745">
        <v>10.75</v>
      </c>
      <c r="BN745">
        <v>82.44</v>
      </c>
      <c r="BO745">
        <v>82.44</v>
      </c>
      <c r="BQ745" t="s">
        <v>1525</v>
      </c>
      <c r="BR745" t="s">
        <v>84</v>
      </c>
      <c r="BS745" s="3">
        <v>45876</v>
      </c>
      <c r="BT745" s="4">
        <v>0.35347222222222224</v>
      </c>
      <c r="BU745" t="s">
        <v>1526</v>
      </c>
      <c r="BV745" t="s">
        <v>86</v>
      </c>
      <c r="BY745">
        <v>9600</v>
      </c>
      <c r="CA745" t="s">
        <v>1527</v>
      </c>
      <c r="CC745" t="s">
        <v>279</v>
      </c>
      <c r="CD745" s="5" t="s">
        <v>289</v>
      </c>
      <c r="CE745" t="s">
        <v>147</v>
      </c>
      <c r="CF745" s="3">
        <v>45876</v>
      </c>
      <c r="CI745">
        <v>1</v>
      </c>
      <c r="CJ745">
        <v>1</v>
      </c>
      <c r="CK745">
        <v>21</v>
      </c>
      <c r="CL745" t="s">
        <v>90</v>
      </c>
    </row>
    <row r="746" spans="1:90" x14ac:dyDescent="0.3">
      <c r="A746" t="s">
        <v>72</v>
      </c>
      <c r="B746" t="s">
        <v>73</v>
      </c>
      <c r="C746" t="s">
        <v>74</v>
      </c>
      <c r="E746" t="str">
        <f>"080067063913"</f>
        <v>080067063913</v>
      </c>
      <c r="F746" s="3">
        <v>45875</v>
      </c>
      <c r="G746">
        <v>202605</v>
      </c>
      <c r="H746" t="s">
        <v>75</v>
      </c>
      <c r="I746" t="s">
        <v>76</v>
      </c>
      <c r="J746" t="s">
        <v>77</v>
      </c>
      <c r="K746" t="s">
        <v>78</v>
      </c>
      <c r="L746" t="s">
        <v>198</v>
      </c>
      <c r="M746" t="s">
        <v>199</v>
      </c>
      <c r="N746" t="s">
        <v>680</v>
      </c>
      <c r="O746" t="s">
        <v>95</v>
      </c>
      <c r="P746" t="str">
        <f>"4170053313                    "</f>
        <v xml:space="preserve">4170053313                    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77.81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2</v>
      </c>
      <c r="BI746">
        <v>16</v>
      </c>
      <c r="BJ746">
        <v>32.6</v>
      </c>
      <c r="BK746">
        <v>33</v>
      </c>
      <c r="BL746">
        <v>247.5</v>
      </c>
      <c r="BM746">
        <v>37.130000000000003</v>
      </c>
      <c r="BN746">
        <v>284.63</v>
      </c>
      <c r="BO746">
        <v>284.63</v>
      </c>
      <c r="BQ746" t="s">
        <v>681</v>
      </c>
      <c r="BR746" t="s">
        <v>84</v>
      </c>
      <c r="BS746" s="3">
        <v>45877</v>
      </c>
      <c r="BT746" s="4">
        <v>0.375</v>
      </c>
      <c r="BU746" t="s">
        <v>1430</v>
      </c>
      <c r="BV746" t="s">
        <v>86</v>
      </c>
      <c r="BY746">
        <v>163200</v>
      </c>
      <c r="CA746" t="s">
        <v>413</v>
      </c>
      <c r="CC746" t="s">
        <v>199</v>
      </c>
      <c r="CD746">
        <v>6001</v>
      </c>
      <c r="CE746" t="s">
        <v>109</v>
      </c>
      <c r="CF746" s="3">
        <v>45880</v>
      </c>
      <c r="CI746">
        <v>3</v>
      </c>
      <c r="CJ746">
        <v>2</v>
      </c>
      <c r="CK746">
        <v>41</v>
      </c>
      <c r="CL746" t="s">
        <v>90</v>
      </c>
    </row>
    <row r="747" spans="1:90" x14ac:dyDescent="0.3">
      <c r="A747" t="s">
        <v>72</v>
      </c>
      <c r="B747" t="s">
        <v>73</v>
      </c>
      <c r="C747" t="s">
        <v>74</v>
      </c>
      <c r="E747" t="str">
        <f>"080067063928"</f>
        <v>080067063928</v>
      </c>
      <c r="F747" s="3">
        <v>45875</v>
      </c>
      <c r="G747">
        <v>202605</v>
      </c>
      <c r="H747" t="s">
        <v>75</v>
      </c>
      <c r="I747" t="s">
        <v>76</v>
      </c>
      <c r="J747" t="s">
        <v>77</v>
      </c>
      <c r="K747" t="s">
        <v>78</v>
      </c>
      <c r="L747" t="s">
        <v>79</v>
      </c>
      <c r="M747" t="s">
        <v>80</v>
      </c>
      <c r="N747" t="s">
        <v>81</v>
      </c>
      <c r="O747" t="s">
        <v>82</v>
      </c>
      <c r="P747" t="str">
        <f>"4170053071                    "</f>
        <v xml:space="preserve">4170053071                    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18.03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1</v>
      </c>
      <c r="BI747">
        <v>2</v>
      </c>
      <c r="BJ747">
        <v>1.4</v>
      </c>
      <c r="BK747">
        <v>2</v>
      </c>
      <c r="BL747">
        <v>55.99</v>
      </c>
      <c r="BM747">
        <v>8.4</v>
      </c>
      <c r="BN747">
        <v>64.39</v>
      </c>
      <c r="BO747">
        <v>64.39</v>
      </c>
      <c r="BQ747" t="s">
        <v>83</v>
      </c>
      <c r="BR747" t="s">
        <v>84</v>
      </c>
      <c r="BS747" s="3">
        <v>45876</v>
      </c>
      <c r="BT747" s="4">
        <v>0.37291666666666667</v>
      </c>
      <c r="BU747" t="s">
        <v>1528</v>
      </c>
      <c r="BV747" t="s">
        <v>86</v>
      </c>
      <c r="BY747">
        <v>7000</v>
      </c>
      <c r="CA747" t="s">
        <v>1069</v>
      </c>
      <c r="CC747" t="s">
        <v>80</v>
      </c>
      <c r="CD747">
        <v>1422</v>
      </c>
      <c r="CE747" t="s">
        <v>147</v>
      </c>
      <c r="CF747" s="3">
        <v>45876</v>
      </c>
      <c r="CI747">
        <v>1</v>
      </c>
      <c r="CJ747">
        <v>1</v>
      </c>
      <c r="CK747">
        <v>22</v>
      </c>
      <c r="CL747" t="s">
        <v>90</v>
      </c>
    </row>
    <row r="748" spans="1:90" x14ac:dyDescent="0.3">
      <c r="A748" t="s">
        <v>72</v>
      </c>
      <c r="B748" t="s">
        <v>73</v>
      </c>
      <c r="C748" t="s">
        <v>74</v>
      </c>
      <c r="E748" t="str">
        <f>"080067064276"</f>
        <v>080067064276</v>
      </c>
      <c r="F748" s="3">
        <v>45875</v>
      </c>
      <c r="G748">
        <v>202605</v>
      </c>
      <c r="H748" t="s">
        <v>75</v>
      </c>
      <c r="I748" t="s">
        <v>76</v>
      </c>
      <c r="J748" t="s">
        <v>77</v>
      </c>
      <c r="K748" t="s">
        <v>78</v>
      </c>
      <c r="L748" t="s">
        <v>75</v>
      </c>
      <c r="M748" t="s">
        <v>76</v>
      </c>
      <c r="N748" t="s">
        <v>1529</v>
      </c>
      <c r="O748" t="s">
        <v>82</v>
      </c>
      <c r="P748" t="str">
        <f>"4170053311                    "</f>
        <v xml:space="preserve">4170053311                    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18.03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1</v>
      </c>
      <c r="BI748">
        <v>1</v>
      </c>
      <c r="BJ748">
        <v>1.3</v>
      </c>
      <c r="BK748">
        <v>2</v>
      </c>
      <c r="BL748">
        <v>55.99</v>
      </c>
      <c r="BM748">
        <v>8.4</v>
      </c>
      <c r="BN748">
        <v>64.39</v>
      </c>
      <c r="BO748">
        <v>64.39</v>
      </c>
      <c r="BQ748" t="s">
        <v>1530</v>
      </c>
      <c r="BR748" t="s">
        <v>84</v>
      </c>
      <c r="BS748" s="3">
        <v>45876</v>
      </c>
      <c r="BT748" s="4">
        <v>0.36249999999999999</v>
      </c>
      <c r="BU748" t="s">
        <v>1531</v>
      </c>
      <c r="BV748" t="s">
        <v>86</v>
      </c>
      <c r="BY748">
        <v>6555</v>
      </c>
      <c r="BZ748" t="s">
        <v>330</v>
      </c>
      <c r="CA748" t="s">
        <v>1345</v>
      </c>
      <c r="CC748" t="s">
        <v>76</v>
      </c>
      <c r="CD748">
        <v>1600</v>
      </c>
      <c r="CE748" t="s">
        <v>89</v>
      </c>
      <c r="CF748" s="3">
        <v>45876</v>
      </c>
      <c r="CI748">
        <v>1</v>
      </c>
      <c r="CJ748">
        <v>1</v>
      </c>
      <c r="CK748">
        <v>22</v>
      </c>
      <c r="CL748" t="s">
        <v>90</v>
      </c>
    </row>
    <row r="749" spans="1:90" x14ac:dyDescent="0.3">
      <c r="A749" t="s">
        <v>72</v>
      </c>
      <c r="B749" t="s">
        <v>73</v>
      </c>
      <c r="C749" t="s">
        <v>74</v>
      </c>
      <c r="E749" t="str">
        <f>"080067064285"</f>
        <v>080067064285</v>
      </c>
      <c r="F749" s="3">
        <v>45875</v>
      </c>
      <c r="G749">
        <v>202605</v>
      </c>
      <c r="H749" t="s">
        <v>75</v>
      </c>
      <c r="I749" t="s">
        <v>76</v>
      </c>
      <c r="J749" t="s">
        <v>77</v>
      </c>
      <c r="K749" t="s">
        <v>78</v>
      </c>
      <c r="L749" t="s">
        <v>75</v>
      </c>
      <c r="M749" t="s">
        <v>76</v>
      </c>
      <c r="N749" t="s">
        <v>1126</v>
      </c>
      <c r="O749" t="s">
        <v>82</v>
      </c>
      <c r="P749" t="str">
        <f>"4170053249                    "</f>
        <v xml:space="preserve">4170053249                    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18.03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1</v>
      </c>
      <c r="BI749">
        <v>1</v>
      </c>
      <c r="BJ749">
        <v>0.9</v>
      </c>
      <c r="BK749">
        <v>1</v>
      </c>
      <c r="BL749">
        <v>55.99</v>
      </c>
      <c r="BM749">
        <v>8.4</v>
      </c>
      <c r="BN749">
        <v>64.39</v>
      </c>
      <c r="BO749">
        <v>64.39</v>
      </c>
      <c r="BQ749" t="s">
        <v>1127</v>
      </c>
      <c r="BR749" t="s">
        <v>84</v>
      </c>
      <c r="BS749" s="3">
        <v>45876</v>
      </c>
      <c r="BT749" s="4">
        <v>0.4284722222222222</v>
      </c>
      <c r="BU749" t="s">
        <v>1344</v>
      </c>
      <c r="BV749" t="s">
        <v>86</v>
      </c>
      <c r="BY749">
        <v>4275</v>
      </c>
      <c r="BZ749" t="s">
        <v>330</v>
      </c>
      <c r="CA749" t="s">
        <v>1345</v>
      </c>
      <c r="CC749" t="s">
        <v>76</v>
      </c>
      <c r="CD749">
        <v>1619</v>
      </c>
      <c r="CE749" t="s">
        <v>89</v>
      </c>
      <c r="CF749" s="3">
        <v>45876</v>
      </c>
      <c r="CI749">
        <v>1</v>
      </c>
      <c r="CJ749">
        <v>1</v>
      </c>
      <c r="CK749">
        <v>22</v>
      </c>
      <c r="CL749" t="s">
        <v>90</v>
      </c>
    </row>
    <row r="750" spans="1:90" x14ac:dyDescent="0.3">
      <c r="A750" t="s">
        <v>72</v>
      </c>
      <c r="B750" t="s">
        <v>73</v>
      </c>
      <c r="C750" t="s">
        <v>74</v>
      </c>
      <c r="E750" t="str">
        <f>"080067064303"</f>
        <v>080067064303</v>
      </c>
      <c r="F750" s="3">
        <v>45875</v>
      </c>
      <c r="G750">
        <v>202605</v>
      </c>
      <c r="H750" t="s">
        <v>75</v>
      </c>
      <c r="I750" t="s">
        <v>76</v>
      </c>
      <c r="J750" t="s">
        <v>77</v>
      </c>
      <c r="K750" t="s">
        <v>78</v>
      </c>
      <c r="L750" t="s">
        <v>217</v>
      </c>
      <c r="M750" t="s">
        <v>218</v>
      </c>
      <c r="N750" t="s">
        <v>219</v>
      </c>
      <c r="O750" t="s">
        <v>82</v>
      </c>
      <c r="P750" t="str">
        <f>"4170053188                    "</f>
        <v xml:space="preserve">4170053188                    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23.09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1</v>
      </c>
      <c r="BI750">
        <v>1</v>
      </c>
      <c r="BJ750">
        <v>0.2</v>
      </c>
      <c r="BK750">
        <v>1</v>
      </c>
      <c r="BL750">
        <v>71.69</v>
      </c>
      <c r="BM750">
        <v>10.75</v>
      </c>
      <c r="BN750">
        <v>82.44</v>
      </c>
      <c r="BO750">
        <v>82.44</v>
      </c>
      <c r="BQ750" t="s">
        <v>220</v>
      </c>
      <c r="BR750" t="s">
        <v>84</v>
      </c>
      <c r="BS750" s="3">
        <v>45876</v>
      </c>
      <c r="BT750" s="4">
        <v>0.33819444444444446</v>
      </c>
      <c r="BU750" t="s">
        <v>565</v>
      </c>
      <c r="BV750" t="s">
        <v>86</v>
      </c>
      <c r="BY750">
        <v>1200</v>
      </c>
      <c r="BZ750" t="s">
        <v>330</v>
      </c>
      <c r="CA750" t="s">
        <v>566</v>
      </c>
      <c r="CC750" t="s">
        <v>218</v>
      </c>
      <c r="CD750">
        <v>4051</v>
      </c>
      <c r="CE750" t="s">
        <v>1532</v>
      </c>
      <c r="CF750" s="3">
        <v>45876</v>
      </c>
      <c r="CI750">
        <v>1</v>
      </c>
      <c r="CJ750">
        <v>1</v>
      </c>
      <c r="CK750">
        <v>21</v>
      </c>
      <c r="CL750" t="s">
        <v>90</v>
      </c>
    </row>
    <row r="751" spans="1:90" x14ac:dyDescent="0.3">
      <c r="A751" t="s">
        <v>72</v>
      </c>
      <c r="B751" t="s">
        <v>73</v>
      </c>
      <c r="C751" t="s">
        <v>74</v>
      </c>
      <c r="E751" t="str">
        <f>"080067064311"</f>
        <v>080067064311</v>
      </c>
      <c r="F751" s="3">
        <v>45875</v>
      </c>
      <c r="G751">
        <v>202605</v>
      </c>
      <c r="H751" t="s">
        <v>75</v>
      </c>
      <c r="I751" t="s">
        <v>76</v>
      </c>
      <c r="J751" t="s">
        <v>77</v>
      </c>
      <c r="K751" t="s">
        <v>78</v>
      </c>
      <c r="L751" t="s">
        <v>198</v>
      </c>
      <c r="M751" t="s">
        <v>199</v>
      </c>
      <c r="N751" t="s">
        <v>200</v>
      </c>
      <c r="O751" t="s">
        <v>82</v>
      </c>
      <c r="P751" t="str">
        <f>"4170053314                    "</f>
        <v xml:space="preserve">4170053314                    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23.09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1</v>
      </c>
      <c r="BI751">
        <v>1</v>
      </c>
      <c r="BJ751">
        <v>2</v>
      </c>
      <c r="BK751">
        <v>2</v>
      </c>
      <c r="BL751">
        <v>71.69</v>
      </c>
      <c r="BM751">
        <v>10.75</v>
      </c>
      <c r="BN751">
        <v>82.44</v>
      </c>
      <c r="BO751">
        <v>82.44</v>
      </c>
      <c r="BQ751" t="s">
        <v>201</v>
      </c>
      <c r="BR751" t="s">
        <v>84</v>
      </c>
      <c r="BS751" s="3">
        <v>45876</v>
      </c>
      <c r="BT751" s="4">
        <v>0.40555555555555556</v>
      </c>
      <c r="BU751" t="s">
        <v>1533</v>
      </c>
      <c r="BV751" t="s">
        <v>86</v>
      </c>
      <c r="BY751">
        <v>9918</v>
      </c>
      <c r="BZ751" t="s">
        <v>330</v>
      </c>
      <c r="CA751" t="s">
        <v>345</v>
      </c>
      <c r="CC751" t="s">
        <v>199</v>
      </c>
      <c r="CD751">
        <v>6001</v>
      </c>
      <c r="CE751" t="s">
        <v>89</v>
      </c>
      <c r="CF751" s="3">
        <v>45876</v>
      </c>
      <c r="CI751">
        <v>1</v>
      </c>
      <c r="CJ751">
        <v>1</v>
      </c>
      <c r="CK751">
        <v>21</v>
      </c>
      <c r="CL751" t="s">
        <v>90</v>
      </c>
    </row>
    <row r="752" spans="1:90" x14ac:dyDescent="0.3">
      <c r="A752" t="s">
        <v>72</v>
      </c>
      <c r="B752" t="s">
        <v>73</v>
      </c>
      <c r="C752" t="s">
        <v>74</v>
      </c>
      <c r="E752" t="str">
        <f>"080067064321"</f>
        <v>080067064321</v>
      </c>
      <c r="F752" s="3">
        <v>45875</v>
      </c>
      <c r="G752">
        <v>202605</v>
      </c>
      <c r="H752" t="s">
        <v>75</v>
      </c>
      <c r="I752" t="s">
        <v>76</v>
      </c>
      <c r="J752" t="s">
        <v>77</v>
      </c>
      <c r="K752" t="s">
        <v>78</v>
      </c>
      <c r="L752" t="s">
        <v>217</v>
      </c>
      <c r="M752" t="s">
        <v>218</v>
      </c>
      <c r="N752" t="s">
        <v>219</v>
      </c>
      <c r="O752" t="s">
        <v>82</v>
      </c>
      <c r="P752" t="str">
        <f>"4170053189                    "</f>
        <v xml:space="preserve">4170053189                    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23.09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1</v>
      </c>
      <c r="BI752">
        <v>1</v>
      </c>
      <c r="BJ752">
        <v>0.2</v>
      </c>
      <c r="BK752">
        <v>1</v>
      </c>
      <c r="BL752">
        <v>71.69</v>
      </c>
      <c r="BM752">
        <v>10.75</v>
      </c>
      <c r="BN752">
        <v>82.44</v>
      </c>
      <c r="BO752">
        <v>82.44</v>
      </c>
      <c r="BQ752" t="s">
        <v>220</v>
      </c>
      <c r="BR752" t="s">
        <v>84</v>
      </c>
      <c r="BS752" s="3">
        <v>45876</v>
      </c>
      <c r="BT752" s="4">
        <v>0.33819444444444446</v>
      </c>
      <c r="BU752" t="s">
        <v>565</v>
      </c>
      <c r="BV752" t="s">
        <v>86</v>
      </c>
      <c r="BY752">
        <v>1200</v>
      </c>
      <c r="BZ752" t="s">
        <v>330</v>
      </c>
      <c r="CA752" t="s">
        <v>566</v>
      </c>
      <c r="CC752" t="s">
        <v>218</v>
      </c>
      <c r="CD752">
        <v>4051</v>
      </c>
      <c r="CE752" t="s">
        <v>597</v>
      </c>
      <c r="CF752" s="3">
        <v>45876</v>
      </c>
      <c r="CI752">
        <v>1</v>
      </c>
      <c r="CJ752">
        <v>1</v>
      </c>
      <c r="CK752">
        <v>21</v>
      </c>
      <c r="CL752" t="s">
        <v>90</v>
      </c>
    </row>
    <row r="753" spans="1:90" x14ac:dyDescent="0.3">
      <c r="A753" t="s">
        <v>72</v>
      </c>
      <c r="B753" t="s">
        <v>73</v>
      </c>
      <c r="C753" t="s">
        <v>74</v>
      </c>
      <c r="E753" t="str">
        <f>"080067064355"</f>
        <v>080067064355</v>
      </c>
      <c r="F753" s="3">
        <v>45875</v>
      </c>
      <c r="G753">
        <v>202605</v>
      </c>
      <c r="H753" t="s">
        <v>75</v>
      </c>
      <c r="I753" t="s">
        <v>76</v>
      </c>
      <c r="J753" t="s">
        <v>77</v>
      </c>
      <c r="K753" t="s">
        <v>78</v>
      </c>
      <c r="L753" t="s">
        <v>75</v>
      </c>
      <c r="M753" t="s">
        <v>76</v>
      </c>
      <c r="N753" t="s">
        <v>1126</v>
      </c>
      <c r="O753" t="s">
        <v>82</v>
      </c>
      <c r="P753" t="str">
        <f>"4170053172                    "</f>
        <v xml:space="preserve">4170053172                    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18.03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1</v>
      </c>
      <c r="BI753">
        <v>4</v>
      </c>
      <c r="BJ753">
        <v>2</v>
      </c>
      <c r="BK753">
        <v>4</v>
      </c>
      <c r="BL753">
        <v>55.99</v>
      </c>
      <c r="BM753">
        <v>8.4</v>
      </c>
      <c r="BN753">
        <v>64.39</v>
      </c>
      <c r="BO753">
        <v>64.39</v>
      </c>
      <c r="BQ753" t="s">
        <v>1127</v>
      </c>
      <c r="BR753" t="s">
        <v>84</v>
      </c>
      <c r="BS753" s="3">
        <v>45876</v>
      </c>
      <c r="BT753" s="4">
        <v>0.4284722222222222</v>
      </c>
      <c r="BU753" t="s">
        <v>1344</v>
      </c>
      <c r="BV753" t="s">
        <v>86</v>
      </c>
      <c r="BY753">
        <v>9918</v>
      </c>
      <c r="BZ753" t="s">
        <v>330</v>
      </c>
      <c r="CA753" t="s">
        <v>1345</v>
      </c>
      <c r="CC753" t="s">
        <v>76</v>
      </c>
      <c r="CD753">
        <v>1619</v>
      </c>
      <c r="CE753" t="s">
        <v>89</v>
      </c>
      <c r="CF753" s="3">
        <v>45876</v>
      </c>
      <c r="CI753">
        <v>1</v>
      </c>
      <c r="CJ753">
        <v>1</v>
      </c>
      <c r="CK753">
        <v>22</v>
      </c>
      <c r="CL753" t="s">
        <v>90</v>
      </c>
    </row>
    <row r="754" spans="1:90" x14ac:dyDescent="0.3">
      <c r="A754" t="s">
        <v>72</v>
      </c>
      <c r="B754" t="s">
        <v>73</v>
      </c>
      <c r="C754" t="s">
        <v>74</v>
      </c>
      <c r="E754" t="str">
        <f>"080067064367"</f>
        <v>080067064367</v>
      </c>
      <c r="F754" s="3">
        <v>45875</v>
      </c>
      <c r="G754">
        <v>202605</v>
      </c>
      <c r="H754" t="s">
        <v>75</v>
      </c>
      <c r="I754" t="s">
        <v>76</v>
      </c>
      <c r="J754" t="s">
        <v>77</v>
      </c>
      <c r="K754" t="s">
        <v>78</v>
      </c>
      <c r="L754" t="s">
        <v>137</v>
      </c>
      <c r="M754" t="s">
        <v>138</v>
      </c>
      <c r="N754" t="s">
        <v>1148</v>
      </c>
      <c r="O754" t="s">
        <v>82</v>
      </c>
      <c r="P754" t="str">
        <f>"4170053195                    "</f>
        <v xml:space="preserve">4170053195                    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23.09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1</v>
      </c>
      <c r="BI754">
        <v>1</v>
      </c>
      <c r="BJ754">
        <v>0.2</v>
      </c>
      <c r="BK754">
        <v>1</v>
      </c>
      <c r="BL754">
        <v>71.69</v>
      </c>
      <c r="BM754">
        <v>10.75</v>
      </c>
      <c r="BN754">
        <v>82.44</v>
      </c>
      <c r="BO754">
        <v>82.44</v>
      </c>
      <c r="BQ754" t="s">
        <v>1149</v>
      </c>
      <c r="BR754" t="s">
        <v>84</v>
      </c>
      <c r="BS754" s="3">
        <v>45876</v>
      </c>
      <c r="BT754" s="4">
        <v>0.41666666666666669</v>
      </c>
      <c r="BU754" t="s">
        <v>1534</v>
      </c>
      <c r="BV754" t="s">
        <v>86</v>
      </c>
      <c r="BY754">
        <v>1200</v>
      </c>
      <c r="BZ754" t="s">
        <v>330</v>
      </c>
      <c r="CA754" t="s">
        <v>953</v>
      </c>
      <c r="CC754" t="s">
        <v>138</v>
      </c>
      <c r="CD754">
        <v>3610</v>
      </c>
      <c r="CE754" t="s">
        <v>1532</v>
      </c>
      <c r="CF754" s="3">
        <v>45876</v>
      </c>
      <c r="CI754">
        <v>1</v>
      </c>
      <c r="CJ754">
        <v>1</v>
      </c>
      <c r="CK754">
        <v>21</v>
      </c>
      <c r="CL754" t="s">
        <v>90</v>
      </c>
    </row>
    <row r="755" spans="1:90" x14ac:dyDescent="0.3">
      <c r="A755" t="s">
        <v>72</v>
      </c>
      <c r="B755" t="s">
        <v>73</v>
      </c>
      <c r="C755" t="s">
        <v>74</v>
      </c>
      <c r="E755" t="str">
        <f>"080067064385"</f>
        <v>080067064385</v>
      </c>
      <c r="F755" s="3">
        <v>45875</v>
      </c>
      <c r="G755">
        <v>202605</v>
      </c>
      <c r="H755" t="s">
        <v>75</v>
      </c>
      <c r="I755" t="s">
        <v>76</v>
      </c>
      <c r="J755" t="s">
        <v>77</v>
      </c>
      <c r="K755" t="s">
        <v>78</v>
      </c>
      <c r="L755" t="s">
        <v>241</v>
      </c>
      <c r="M755" t="s">
        <v>242</v>
      </c>
      <c r="N755" t="s">
        <v>527</v>
      </c>
      <c r="O755" t="s">
        <v>82</v>
      </c>
      <c r="P755" t="str">
        <f>"4170053304                    "</f>
        <v xml:space="preserve">4170053304                    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18.03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1</v>
      </c>
      <c r="BI755">
        <v>1</v>
      </c>
      <c r="BJ755">
        <v>0.2</v>
      </c>
      <c r="BK755">
        <v>1</v>
      </c>
      <c r="BL755">
        <v>55.99</v>
      </c>
      <c r="BM755">
        <v>8.4</v>
      </c>
      <c r="BN755">
        <v>64.39</v>
      </c>
      <c r="BO755">
        <v>64.39</v>
      </c>
      <c r="BQ755" t="s">
        <v>528</v>
      </c>
      <c r="BR755" t="s">
        <v>84</v>
      </c>
      <c r="BS755" s="3">
        <v>45876</v>
      </c>
      <c r="BT755" s="4">
        <v>0.34444444444444444</v>
      </c>
      <c r="BU755" t="s">
        <v>1428</v>
      </c>
      <c r="BV755" t="s">
        <v>86</v>
      </c>
      <c r="BY755">
        <v>1200</v>
      </c>
      <c r="CA755" t="s">
        <v>720</v>
      </c>
      <c r="CC755" t="s">
        <v>242</v>
      </c>
      <c r="CD755">
        <v>1459</v>
      </c>
      <c r="CE755" t="s">
        <v>109</v>
      </c>
      <c r="CF755" s="3">
        <v>45876</v>
      </c>
      <c r="CI755">
        <v>1</v>
      </c>
      <c r="CJ755">
        <v>1</v>
      </c>
      <c r="CK755">
        <v>22</v>
      </c>
      <c r="CL755" t="s">
        <v>90</v>
      </c>
    </row>
    <row r="756" spans="1:90" x14ac:dyDescent="0.3">
      <c r="A756" t="s">
        <v>72</v>
      </c>
      <c r="B756" t="s">
        <v>73</v>
      </c>
      <c r="C756" t="s">
        <v>74</v>
      </c>
      <c r="E756" t="str">
        <f>"080067064387"</f>
        <v>080067064387</v>
      </c>
      <c r="F756" s="3">
        <v>45875</v>
      </c>
      <c r="G756">
        <v>202605</v>
      </c>
      <c r="H756" t="s">
        <v>75</v>
      </c>
      <c r="I756" t="s">
        <v>76</v>
      </c>
      <c r="J756" t="s">
        <v>77</v>
      </c>
      <c r="K756" t="s">
        <v>78</v>
      </c>
      <c r="L756" t="s">
        <v>123</v>
      </c>
      <c r="M756" t="s">
        <v>124</v>
      </c>
      <c r="N756" t="s">
        <v>887</v>
      </c>
      <c r="O756" t="s">
        <v>82</v>
      </c>
      <c r="P756" t="str">
        <f>"4170053361                    "</f>
        <v xml:space="preserve">4170053361                    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98.05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1</v>
      </c>
      <c r="BI756">
        <v>5</v>
      </c>
      <c r="BJ756">
        <v>8.3000000000000007</v>
      </c>
      <c r="BK756">
        <v>8.5</v>
      </c>
      <c r="BL756">
        <v>304.47000000000003</v>
      </c>
      <c r="BM756">
        <v>45.67</v>
      </c>
      <c r="BN756">
        <v>350.14</v>
      </c>
      <c r="BO756">
        <v>350.14</v>
      </c>
      <c r="BQ756" t="s">
        <v>888</v>
      </c>
      <c r="BR756" t="s">
        <v>84</v>
      </c>
      <c r="BS756" s="3">
        <v>45877</v>
      </c>
      <c r="BT756" s="4">
        <v>0.54861111111111116</v>
      </c>
      <c r="BU756" t="s">
        <v>1233</v>
      </c>
      <c r="BV756" t="s">
        <v>90</v>
      </c>
      <c r="BW756" t="s">
        <v>1045</v>
      </c>
      <c r="BX756" t="s">
        <v>1234</v>
      </c>
      <c r="BY756">
        <v>41616</v>
      </c>
      <c r="CC756" t="s">
        <v>124</v>
      </c>
      <c r="CD756">
        <v>7800</v>
      </c>
      <c r="CE756" t="s">
        <v>970</v>
      </c>
      <c r="CF756" s="3">
        <v>45880</v>
      </c>
      <c r="CI756">
        <v>1</v>
      </c>
      <c r="CJ756">
        <v>2</v>
      </c>
      <c r="CK756">
        <v>21</v>
      </c>
      <c r="CL756" t="s">
        <v>90</v>
      </c>
    </row>
    <row r="757" spans="1:90" x14ac:dyDescent="0.3">
      <c r="A757" t="s">
        <v>72</v>
      </c>
      <c r="B757" t="s">
        <v>73</v>
      </c>
      <c r="C757" t="s">
        <v>74</v>
      </c>
      <c r="E757" t="str">
        <f>"080067064410"</f>
        <v>080067064410</v>
      </c>
      <c r="F757" s="3">
        <v>45875</v>
      </c>
      <c r="G757">
        <v>202605</v>
      </c>
      <c r="H757" t="s">
        <v>75</v>
      </c>
      <c r="I757" t="s">
        <v>76</v>
      </c>
      <c r="J757" t="s">
        <v>77</v>
      </c>
      <c r="K757" t="s">
        <v>78</v>
      </c>
      <c r="L757" t="s">
        <v>319</v>
      </c>
      <c r="M757" t="s">
        <v>320</v>
      </c>
      <c r="N757" t="s">
        <v>321</v>
      </c>
      <c r="O757" t="s">
        <v>82</v>
      </c>
      <c r="P757" t="str">
        <f>"4170053341                    "</f>
        <v xml:space="preserve">4170053341                    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44.73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1</v>
      </c>
      <c r="BI757">
        <v>1</v>
      </c>
      <c r="BJ757">
        <v>0.2</v>
      </c>
      <c r="BK757">
        <v>1</v>
      </c>
      <c r="BL757">
        <v>138.88999999999999</v>
      </c>
      <c r="BM757">
        <v>20.83</v>
      </c>
      <c r="BN757">
        <v>159.72</v>
      </c>
      <c r="BO757">
        <v>159.72</v>
      </c>
      <c r="BQ757" t="s">
        <v>322</v>
      </c>
      <c r="BR757" t="s">
        <v>84</v>
      </c>
      <c r="BS757" s="3">
        <v>45876</v>
      </c>
      <c r="BT757" s="4">
        <v>0.4375</v>
      </c>
      <c r="BU757" t="s">
        <v>1044</v>
      </c>
      <c r="BV757" t="s">
        <v>86</v>
      </c>
      <c r="BY757">
        <v>1200</v>
      </c>
      <c r="CA757" t="s">
        <v>324</v>
      </c>
      <c r="CC757" t="s">
        <v>320</v>
      </c>
      <c r="CD757">
        <v>2531</v>
      </c>
      <c r="CE757" t="s">
        <v>290</v>
      </c>
      <c r="CF757" s="3">
        <v>45877</v>
      </c>
      <c r="CI757">
        <v>1</v>
      </c>
      <c r="CJ757">
        <v>1</v>
      </c>
      <c r="CK757">
        <v>23</v>
      </c>
      <c r="CL757" t="s">
        <v>90</v>
      </c>
    </row>
    <row r="758" spans="1:90" x14ac:dyDescent="0.3">
      <c r="A758" t="s">
        <v>72</v>
      </c>
      <c r="B758" t="s">
        <v>73</v>
      </c>
      <c r="C758" t="s">
        <v>74</v>
      </c>
      <c r="E758" t="str">
        <f>"080067064429"</f>
        <v>080067064429</v>
      </c>
      <c r="F758" s="3">
        <v>45875</v>
      </c>
      <c r="G758">
        <v>202605</v>
      </c>
      <c r="H758" t="s">
        <v>75</v>
      </c>
      <c r="I758" t="s">
        <v>76</v>
      </c>
      <c r="J758" t="s">
        <v>77</v>
      </c>
      <c r="K758" t="s">
        <v>78</v>
      </c>
      <c r="L758" t="s">
        <v>110</v>
      </c>
      <c r="M758" t="s">
        <v>111</v>
      </c>
      <c r="N758" t="s">
        <v>770</v>
      </c>
      <c r="O758" t="s">
        <v>82</v>
      </c>
      <c r="P758" t="str">
        <f>"4170053148                    "</f>
        <v xml:space="preserve">4170053148                    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18.03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1</v>
      </c>
      <c r="BI758">
        <v>1</v>
      </c>
      <c r="BJ758">
        <v>2</v>
      </c>
      <c r="BK758">
        <v>2</v>
      </c>
      <c r="BL758">
        <v>55.99</v>
      </c>
      <c r="BM758">
        <v>8.4</v>
      </c>
      <c r="BN758">
        <v>64.39</v>
      </c>
      <c r="BO758">
        <v>64.39</v>
      </c>
      <c r="BQ758" t="s">
        <v>771</v>
      </c>
      <c r="BR758" t="s">
        <v>84</v>
      </c>
      <c r="BS758" s="3">
        <v>45876</v>
      </c>
      <c r="BT758" s="4">
        <v>0.42638888888888887</v>
      </c>
      <c r="BU758" t="s">
        <v>1053</v>
      </c>
      <c r="BV758" t="s">
        <v>86</v>
      </c>
      <c r="BY758">
        <v>9900</v>
      </c>
      <c r="CA758" t="s">
        <v>1267</v>
      </c>
      <c r="CC758" t="s">
        <v>111</v>
      </c>
      <c r="CD758">
        <v>2163</v>
      </c>
      <c r="CE758" t="s">
        <v>147</v>
      </c>
      <c r="CF758" s="3">
        <v>45877</v>
      </c>
      <c r="CI758">
        <v>1</v>
      </c>
      <c r="CJ758">
        <v>1</v>
      </c>
      <c r="CK758">
        <v>22</v>
      </c>
      <c r="CL758" t="s">
        <v>90</v>
      </c>
    </row>
    <row r="759" spans="1:90" x14ac:dyDescent="0.3">
      <c r="A759" t="s">
        <v>72</v>
      </c>
      <c r="B759" t="s">
        <v>73</v>
      </c>
      <c r="C759" t="s">
        <v>74</v>
      </c>
      <c r="E759" t="str">
        <f>"080067064439"</f>
        <v>080067064439</v>
      </c>
      <c r="F759" s="3">
        <v>45875</v>
      </c>
      <c r="G759">
        <v>202605</v>
      </c>
      <c r="H759" t="s">
        <v>75</v>
      </c>
      <c r="I759" t="s">
        <v>76</v>
      </c>
      <c r="J759" t="s">
        <v>77</v>
      </c>
      <c r="K759" t="s">
        <v>78</v>
      </c>
      <c r="L759" t="s">
        <v>1157</v>
      </c>
      <c r="M759" t="s">
        <v>1158</v>
      </c>
      <c r="N759" t="s">
        <v>1535</v>
      </c>
      <c r="O759" t="s">
        <v>82</v>
      </c>
      <c r="P759" t="str">
        <f>"4170053320                    "</f>
        <v xml:space="preserve">4170053320                    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44.73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1</v>
      </c>
      <c r="BI759">
        <v>1</v>
      </c>
      <c r="BJ759">
        <v>0.2</v>
      </c>
      <c r="BK759">
        <v>1</v>
      </c>
      <c r="BL759">
        <v>138.88999999999999</v>
      </c>
      <c r="BM759">
        <v>20.83</v>
      </c>
      <c r="BN759">
        <v>159.72</v>
      </c>
      <c r="BO759">
        <v>159.72</v>
      </c>
      <c r="BQ759" t="s">
        <v>1536</v>
      </c>
      <c r="BR759" t="s">
        <v>84</v>
      </c>
      <c r="BS759" s="3">
        <v>45877</v>
      </c>
      <c r="BT759" s="4">
        <v>0.39652777777777776</v>
      </c>
      <c r="BU759" t="s">
        <v>1537</v>
      </c>
      <c r="BV759" t="s">
        <v>90</v>
      </c>
      <c r="BY759">
        <v>1200</v>
      </c>
      <c r="CA759" t="s">
        <v>1162</v>
      </c>
      <c r="CC759" t="s">
        <v>1158</v>
      </c>
      <c r="CD759">
        <v>2302</v>
      </c>
      <c r="CE759" t="s">
        <v>109</v>
      </c>
      <c r="CF759" s="3">
        <v>45880</v>
      </c>
      <c r="CI759">
        <v>1</v>
      </c>
      <c r="CJ759">
        <v>2</v>
      </c>
      <c r="CK759">
        <v>23</v>
      </c>
      <c r="CL759" t="s">
        <v>90</v>
      </c>
    </row>
    <row r="760" spans="1:90" x14ac:dyDescent="0.3">
      <c r="A760" t="s">
        <v>72</v>
      </c>
      <c r="B760" t="s">
        <v>73</v>
      </c>
      <c r="C760" t="s">
        <v>74</v>
      </c>
      <c r="E760" t="str">
        <f>"080067064466"</f>
        <v>080067064466</v>
      </c>
      <c r="F760" s="3">
        <v>45875</v>
      </c>
      <c r="G760">
        <v>202605</v>
      </c>
      <c r="H760" t="s">
        <v>75</v>
      </c>
      <c r="I760" t="s">
        <v>76</v>
      </c>
      <c r="J760" t="s">
        <v>77</v>
      </c>
      <c r="K760" t="s">
        <v>78</v>
      </c>
      <c r="L760" t="s">
        <v>217</v>
      </c>
      <c r="M760" t="s">
        <v>218</v>
      </c>
      <c r="N760" t="s">
        <v>861</v>
      </c>
      <c r="O760" t="s">
        <v>82</v>
      </c>
      <c r="P760" t="str">
        <f>"4170053335                    "</f>
        <v xml:space="preserve">4170053335                    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23.09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1</v>
      </c>
      <c r="BI760">
        <v>1</v>
      </c>
      <c r="BJ760">
        <v>0.2</v>
      </c>
      <c r="BK760">
        <v>1</v>
      </c>
      <c r="BL760">
        <v>71.69</v>
      </c>
      <c r="BM760">
        <v>10.75</v>
      </c>
      <c r="BN760">
        <v>82.44</v>
      </c>
      <c r="BO760">
        <v>82.44</v>
      </c>
      <c r="BQ760" t="s">
        <v>862</v>
      </c>
      <c r="BR760" t="s">
        <v>84</v>
      </c>
      <c r="BS760" s="3">
        <v>45876</v>
      </c>
      <c r="BT760" s="4">
        <v>0.4236111111111111</v>
      </c>
      <c r="BU760" t="s">
        <v>863</v>
      </c>
      <c r="BV760" t="s">
        <v>86</v>
      </c>
      <c r="BY760">
        <v>1200</v>
      </c>
      <c r="CA760" t="s">
        <v>864</v>
      </c>
      <c r="CC760" t="s">
        <v>218</v>
      </c>
      <c r="CD760">
        <v>4001</v>
      </c>
      <c r="CE760" t="s">
        <v>1538</v>
      </c>
      <c r="CF760" s="3">
        <v>45876</v>
      </c>
      <c r="CI760">
        <v>1</v>
      </c>
      <c r="CJ760">
        <v>1</v>
      </c>
      <c r="CK760">
        <v>21</v>
      </c>
      <c r="CL760" t="s">
        <v>90</v>
      </c>
    </row>
    <row r="761" spans="1:90" x14ac:dyDescent="0.3">
      <c r="A761" t="s">
        <v>72</v>
      </c>
      <c r="B761" t="s">
        <v>73</v>
      </c>
      <c r="C761" t="s">
        <v>74</v>
      </c>
      <c r="E761" t="str">
        <f>"080067064472"</f>
        <v>080067064472</v>
      </c>
      <c r="F761" s="3">
        <v>45875</v>
      </c>
      <c r="G761">
        <v>202605</v>
      </c>
      <c r="H761" t="s">
        <v>75</v>
      </c>
      <c r="I761" t="s">
        <v>76</v>
      </c>
      <c r="J761" t="s">
        <v>77</v>
      </c>
      <c r="K761" t="s">
        <v>78</v>
      </c>
      <c r="L761" t="s">
        <v>75</v>
      </c>
      <c r="M761" t="s">
        <v>76</v>
      </c>
      <c r="N761" t="s">
        <v>152</v>
      </c>
      <c r="O761" t="s">
        <v>82</v>
      </c>
      <c r="P761" t="str">
        <f>"4170053359                    "</f>
        <v xml:space="preserve">4170053359                    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18.03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1</v>
      </c>
      <c r="BI761">
        <v>5</v>
      </c>
      <c r="BJ761">
        <v>7.3</v>
      </c>
      <c r="BK761">
        <v>8</v>
      </c>
      <c r="BL761">
        <v>55.99</v>
      </c>
      <c r="BM761">
        <v>8.4</v>
      </c>
      <c r="BN761">
        <v>64.39</v>
      </c>
      <c r="BO761">
        <v>64.39</v>
      </c>
      <c r="BQ761" t="s">
        <v>153</v>
      </c>
      <c r="BR761" t="s">
        <v>84</v>
      </c>
      <c r="BS761" s="3">
        <v>45876</v>
      </c>
      <c r="BT761" s="4">
        <v>0.31805555555555554</v>
      </c>
      <c r="BU761" t="s">
        <v>995</v>
      </c>
      <c r="BV761" t="s">
        <v>86</v>
      </c>
      <c r="BY761">
        <v>36288</v>
      </c>
      <c r="CA761" t="s">
        <v>155</v>
      </c>
      <c r="CC761" t="s">
        <v>76</v>
      </c>
      <c r="CD761">
        <v>1600</v>
      </c>
      <c r="CE761" t="s">
        <v>970</v>
      </c>
      <c r="CF761" s="3">
        <v>45876</v>
      </c>
      <c r="CI761">
        <v>1</v>
      </c>
      <c r="CJ761">
        <v>1</v>
      </c>
      <c r="CK761">
        <v>22</v>
      </c>
      <c r="CL761" t="s">
        <v>90</v>
      </c>
    </row>
    <row r="762" spans="1:90" x14ac:dyDescent="0.3">
      <c r="A762" t="s">
        <v>72</v>
      </c>
      <c r="B762" t="s">
        <v>73</v>
      </c>
      <c r="C762" t="s">
        <v>74</v>
      </c>
      <c r="E762" t="str">
        <f>"080067064489"</f>
        <v>080067064489</v>
      </c>
      <c r="F762" s="3">
        <v>45875</v>
      </c>
      <c r="G762">
        <v>202605</v>
      </c>
      <c r="H762" t="s">
        <v>75</v>
      </c>
      <c r="I762" t="s">
        <v>76</v>
      </c>
      <c r="J762" t="s">
        <v>77</v>
      </c>
      <c r="K762" t="s">
        <v>78</v>
      </c>
      <c r="L762" t="s">
        <v>198</v>
      </c>
      <c r="M762" t="s">
        <v>199</v>
      </c>
      <c r="N762" t="s">
        <v>598</v>
      </c>
      <c r="O762" t="s">
        <v>82</v>
      </c>
      <c r="P762" t="str">
        <f>"4170053263                    "</f>
        <v xml:space="preserve">4170053263                    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23.09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1</v>
      </c>
      <c r="BI762">
        <v>1</v>
      </c>
      <c r="BJ762">
        <v>0.2</v>
      </c>
      <c r="BK762">
        <v>1</v>
      </c>
      <c r="BL762">
        <v>71.69</v>
      </c>
      <c r="BM762">
        <v>10.75</v>
      </c>
      <c r="BN762">
        <v>82.44</v>
      </c>
      <c r="BO762">
        <v>82.44</v>
      </c>
      <c r="BQ762" t="s">
        <v>599</v>
      </c>
      <c r="BR762" t="s">
        <v>84</v>
      </c>
      <c r="BS762" s="3">
        <v>45876</v>
      </c>
      <c r="BT762" s="4">
        <v>0.69305555555555554</v>
      </c>
      <c r="BU762" t="s">
        <v>1539</v>
      </c>
      <c r="BV762" t="s">
        <v>90</v>
      </c>
      <c r="BY762">
        <v>1200</v>
      </c>
      <c r="CA762" t="s">
        <v>601</v>
      </c>
      <c r="CC762" t="s">
        <v>199</v>
      </c>
      <c r="CD762">
        <v>6001</v>
      </c>
      <c r="CE762" t="s">
        <v>109</v>
      </c>
      <c r="CF762" s="3">
        <v>45876</v>
      </c>
      <c r="CI762">
        <v>1</v>
      </c>
      <c r="CJ762">
        <v>1</v>
      </c>
      <c r="CK762">
        <v>21</v>
      </c>
      <c r="CL762" t="s">
        <v>90</v>
      </c>
    </row>
    <row r="763" spans="1:90" x14ac:dyDescent="0.3">
      <c r="A763" t="s">
        <v>72</v>
      </c>
      <c r="B763" t="s">
        <v>73</v>
      </c>
      <c r="C763" t="s">
        <v>74</v>
      </c>
      <c r="E763" t="str">
        <f>"080067064515"</f>
        <v>080067064515</v>
      </c>
      <c r="F763" s="3">
        <v>45875</v>
      </c>
      <c r="G763">
        <v>202605</v>
      </c>
      <c r="H763" t="s">
        <v>75</v>
      </c>
      <c r="I763" t="s">
        <v>76</v>
      </c>
      <c r="J763" t="s">
        <v>77</v>
      </c>
      <c r="K763" t="s">
        <v>78</v>
      </c>
      <c r="L763" t="s">
        <v>325</v>
      </c>
      <c r="M763" t="s">
        <v>326</v>
      </c>
      <c r="N763" t="s">
        <v>1540</v>
      </c>
      <c r="O763" t="s">
        <v>82</v>
      </c>
      <c r="P763" t="str">
        <f>"4170053220                    "</f>
        <v xml:space="preserve">4170053220                    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23.09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16.739999999999998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1</v>
      </c>
      <c r="BI763">
        <v>1</v>
      </c>
      <c r="BJ763">
        <v>2</v>
      </c>
      <c r="BK763">
        <v>2</v>
      </c>
      <c r="BL763">
        <v>88.43</v>
      </c>
      <c r="BM763">
        <v>13.26</v>
      </c>
      <c r="BN763">
        <v>101.69</v>
      </c>
      <c r="BO763">
        <v>101.69</v>
      </c>
      <c r="BQ763" t="s">
        <v>1541</v>
      </c>
      <c r="BR763" t="s">
        <v>84</v>
      </c>
      <c r="BS763" s="3">
        <v>45876</v>
      </c>
      <c r="BT763" s="4">
        <v>0.67361111111111116</v>
      </c>
      <c r="BU763" t="s">
        <v>1542</v>
      </c>
      <c r="BV763" t="s">
        <v>86</v>
      </c>
      <c r="BY763">
        <v>9918</v>
      </c>
      <c r="BZ763" t="s">
        <v>30</v>
      </c>
      <c r="CA763" t="s">
        <v>1543</v>
      </c>
      <c r="CC763" t="s">
        <v>326</v>
      </c>
      <c r="CD763">
        <v>1821</v>
      </c>
      <c r="CE763" t="s">
        <v>147</v>
      </c>
      <c r="CF763" s="3">
        <v>45877</v>
      </c>
      <c r="CI763">
        <v>0</v>
      </c>
      <c r="CJ763">
        <v>0</v>
      </c>
      <c r="CK763">
        <v>21</v>
      </c>
      <c r="CL763" t="s">
        <v>90</v>
      </c>
    </row>
    <row r="764" spans="1:90" x14ac:dyDescent="0.3">
      <c r="A764" t="s">
        <v>72</v>
      </c>
      <c r="B764" t="s">
        <v>73</v>
      </c>
      <c r="C764" t="s">
        <v>74</v>
      </c>
      <c r="E764" t="str">
        <f>"080067064525"</f>
        <v>080067064525</v>
      </c>
      <c r="F764" s="3">
        <v>45875</v>
      </c>
      <c r="G764">
        <v>202605</v>
      </c>
      <c r="H764" t="s">
        <v>75</v>
      </c>
      <c r="I764" t="s">
        <v>76</v>
      </c>
      <c r="J764" t="s">
        <v>77</v>
      </c>
      <c r="K764" t="s">
        <v>78</v>
      </c>
      <c r="L764" t="s">
        <v>123</v>
      </c>
      <c r="M764" t="s">
        <v>124</v>
      </c>
      <c r="N764" t="s">
        <v>1544</v>
      </c>
      <c r="O764" t="s">
        <v>82</v>
      </c>
      <c r="P764" t="str">
        <f>"4170053156                    "</f>
        <v xml:space="preserve">4170053156                    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23.09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1</v>
      </c>
      <c r="BI764">
        <v>1</v>
      </c>
      <c r="BJ764">
        <v>0.2</v>
      </c>
      <c r="BK764">
        <v>1</v>
      </c>
      <c r="BL764">
        <v>71.69</v>
      </c>
      <c r="BM764">
        <v>10.75</v>
      </c>
      <c r="BN764">
        <v>82.44</v>
      </c>
      <c r="BO764">
        <v>82.44</v>
      </c>
      <c r="BQ764" t="s">
        <v>1545</v>
      </c>
      <c r="BR764" t="s">
        <v>84</v>
      </c>
      <c r="BS764" s="3">
        <v>45877</v>
      </c>
      <c r="BT764" s="4">
        <v>0.36944444444444446</v>
      </c>
      <c r="BU764" t="s">
        <v>1546</v>
      </c>
      <c r="BV764" t="s">
        <v>90</v>
      </c>
      <c r="BY764">
        <v>1200</v>
      </c>
      <c r="CA764" t="s">
        <v>1483</v>
      </c>
      <c r="CC764" t="s">
        <v>124</v>
      </c>
      <c r="CD764">
        <v>7965</v>
      </c>
      <c r="CE764" t="s">
        <v>109</v>
      </c>
      <c r="CF764" s="3">
        <v>45880</v>
      </c>
      <c r="CI764">
        <v>1</v>
      </c>
      <c r="CJ764">
        <v>2</v>
      </c>
      <c r="CK764">
        <v>21</v>
      </c>
      <c r="CL764" t="s">
        <v>90</v>
      </c>
    </row>
    <row r="765" spans="1:90" x14ac:dyDescent="0.3">
      <c r="A765" t="s">
        <v>72</v>
      </c>
      <c r="B765" t="s">
        <v>73</v>
      </c>
      <c r="C765" t="s">
        <v>74</v>
      </c>
      <c r="E765" t="str">
        <f>"080067064552"</f>
        <v>080067064552</v>
      </c>
      <c r="F765" s="3">
        <v>45875</v>
      </c>
      <c r="G765">
        <v>202605</v>
      </c>
      <c r="H765" t="s">
        <v>75</v>
      </c>
      <c r="I765" t="s">
        <v>76</v>
      </c>
      <c r="J765" t="s">
        <v>77</v>
      </c>
      <c r="K765" t="s">
        <v>78</v>
      </c>
      <c r="L765" t="s">
        <v>75</v>
      </c>
      <c r="M765" t="s">
        <v>76</v>
      </c>
      <c r="N765" t="s">
        <v>761</v>
      </c>
      <c r="O765" t="s">
        <v>82</v>
      </c>
      <c r="P765" t="str">
        <f>"4170053185                    "</f>
        <v xml:space="preserve">4170053185                    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18.03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1</v>
      </c>
      <c r="BI765">
        <v>1</v>
      </c>
      <c r="BJ765">
        <v>0.2</v>
      </c>
      <c r="BK765">
        <v>1</v>
      </c>
      <c r="BL765">
        <v>55.99</v>
      </c>
      <c r="BM765">
        <v>8.4</v>
      </c>
      <c r="BN765">
        <v>64.39</v>
      </c>
      <c r="BO765">
        <v>64.39</v>
      </c>
      <c r="BQ765" t="s">
        <v>762</v>
      </c>
      <c r="BR765" t="s">
        <v>84</v>
      </c>
      <c r="BS765" s="3">
        <v>45876</v>
      </c>
      <c r="BT765" s="4">
        <v>0.42708333333333331</v>
      </c>
      <c r="BU765" t="s">
        <v>763</v>
      </c>
      <c r="BV765" t="s">
        <v>86</v>
      </c>
      <c r="BY765">
        <v>1200</v>
      </c>
      <c r="CA765" t="s">
        <v>155</v>
      </c>
      <c r="CC765" t="s">
        <v>76</v>
      </c>
      <c r="CD765">
        <v>1618</v>
      </c>
      <c r="CE765" t="s">
        <v>109</v>
      </c>
      <c r="CF765" s="3">
        <v>45876</v>
      </c>
      <c r="CI765">
        <v>1</v>
      </c>
      <c r="CJ765">
        <v>1</v>
      </c>
      <c r="CK765">
        <v>22</v>
      </c>
      <c r="CL765" t="s">
        <v>90</v>
      </c>
    </row>
    <row r="766" spans="1:90" x14ac:dyDescent="0.3">
      <c r="A766" t="s">
        <v>72</v>
      </c>
      <c r="B766" t="s">
        <v>73</v>
      </c>
      <c r="C766" t="s">
        <v>74</v>
      </c>
      <c r="E766" t="str">
        <f>"080067064564"</f>
        <v>080067064564</v>
      </c>
      <c r="F766" s="3">
        <v>45875</v>
      </c>
      <c r="G766">
        <v>202605</v>
      </c>
      <c r="H766" t="s">
        <v>75</v>
      </c>
      <c r="I766" t="s">
        <v>76</v>
      </c>
      <c r="J766" t="s">
        <v>77</v>
      </c>
      <c r="K766" t="s">
        <v>78</v>
      </c>
      <c r="L766" t="s">
        <v>278</v>
      </c>
      <c r="M766" t="s">
        <v>279</v>
      </c>
      <c r="N766" t="s">
        <v>723</v>
      </c>
      <c r="O766" t="s">
        <v>95</v>
      </c>
      <c r="P766" t="str">
        <f>"4170053344                    "</f>
        <v xml:space="preserve">4170053344                    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44.64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1</v>
      </c>
      <c r="BI766">
        <v>4</v>
      </c>
      <c r="BJ766">
        <v>2</v>
      </c>
      <c r="BK766">
        <v>4</v>
      </c>
      <c r="BL766">
        <v>144.49</v>
      </c>
      <c r="BM766">
        <v>21.67</v>
      </c>
      <c r="BN766">
        <v>166.16</v>
      </c>
      <c r="BO766">
        <v>166.16</v>
      </c>
      <c r="BQ766" t="s">
        <v>1547</v>
      </c>
      <c r="BR766" t="s">
        <v>84</v>
      </c>
      <c r="BS766" s="3">
        <v>45876</v>
      </c>
      <c r="BT766" s="4">
        <v>0.39513888888888887</v>
      </c>
      <c r="BU766" t="s">
        <v>1548</v>
      </c>
      <c r="BV766" t="s">
        <v>86</v>
      </c>
      <c r="BY766">
        <v>9918</v>
      </c>
      <c r="BZ766" t="s">
        <v>100</v>
      </c>
      <c r="CA766" t="s">
        <v>511</v>
      </c>
      <c r="CC766" t="s">
        <v>279</v>
      </c>
      <c r="CD766" s="5" t="s">
        <v>512</v>
      </c>
      <c r="CE766" t="s">
        <v>89</v>
      </c>
      <c r="CF766" s="3">
        <v>45876</v>
      </c>
      <c r="CI766">
        <v>1</v>
      </c>
      <c r="CJ766">
        <v>1</v>
      </c>
      <c r="CK766">
        <v>41</v>
      </c>
      <c r="CL766" t="s">
        <v>90</v>
      </c>
    </row>
    <row r="767" spans="1:90" x14ac:dyDescent="0.3">
      <c r="A767" t="s">
        <v>72</v>
      </c>
      <c r="B767" t="s">
        <v>73</v>
      </c>
      <c r="C767" t="s">
        <v>74</v>
      </c>
      <c r="E767" t="str">
        <f>"080067064580"</f>
        <v>080067064580</v>
      </c>
      <c r="F767" s="3">
        <v>45875</v>
      </c>
      <c r="G767">
        <v>202605</v>
      </c>
      <c r="H767" t="s">
        <v>75</v>
      </c>
      <c r="I767" t="s">
        <v>76</v>
      </c>
      <c r="J767" t="s">
        <v>77</v>
      </c>
      <c r="K767" t="s">
        <v>78</v>
      </c>
      <c r="L767" t="s">
        <v>325</v>
      </c>
      <c r="M767" t="s">
        <v>326</v>
      </c>
      <c r="N767" t="s">
        <v>616</v>
      </c>
      <c r="O767" t="s">
        <v>82</v>
      </c>
      <c r="P767" t="str">
        <f>"4170053287                    "</f>
        <v xml:space="preserve">4170053287                    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18.03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1</v>
      </c>
      <c r="BI767">
        <v>1</v>
      </c>
      <c r="BJ767">
        <v>0.2</v>
      </c>
      <c r="BK767">
        <v>1</v>
      </c>
      <c r="BL767">
        <v>55.99</v>
      </c>
      <c r="BM767">
        <v>8.4</v>
      </c>
      <c r="BN767">
        <v>64.39</v>
      </c>
      <c r="BO767">
        <v>64.39</v>
      </c>
      <c r="BQ767" t="s">
        <v>617</v>
      </c>
      <c r="BR767" t="s">
        <v>84</v>
      </c>
      <c r="BS767" s="3">
        <v>45876</v>
      </c>
      <c r="BT767" s="4">
        <v>0.39583333333333331</v>
      </c>
      <c r="BU767" t="s">
        <v>1549</v>
      </c>
      <c r="BV767" t="s">
        <v>86</v>
      </c>
      <c r="BY767">
        <v>1200</v>
      </c>
      <c r="CA767" t="s">
        <v>619</v>
      </c>
      <c r="CC767" t="s">
        <v>326</v>
      </c>
      <c r="CD767">
        <v>2169</v>
      </c>
      <c r="CE767" t="s">
        <v>109</v>
      </c>
      <c r="CF767" s="3">
        <v>45877</v>
      </c>
      <c r="CI767">
        <v>1</v>
      </c>
      <c r="CJ767">
        <v>1</v>
      </c>
      <c r="CK767">
        <v>22</v>
      </c>
      <c r="CL767" t="s">
        <v>90</v>
      </c>
    </row>
    <row r="768" spans="1:90" x14ac:dyDescent="0.3">
      <c r="A768" t="s">
        <v>72</v>
      </c>
      <c r="B768" t="s">
        <v>73</v>
      </c>
      <c r="C768" t="s">
        <v>74</v>
      </c>
      <c r="E768" t="str">
        <f>"080067064608"</f>
        <v>080067064608</v>
      </c>
      <c r="F768" s="3">
        <v>45875</v>
      </c>
      <c r="G768">
        <v>202605</v>
      </c>
      <c r="H768" t="s">
        <v>75</v>
      </c>
      <c r="I768" t="s">
        <v>76</v>
      </c>
      <c r="J768" t="s">
        <v>77</v>
      </c>
      <c r="K768" t="s">
        <v>78</v>
      </c>
      <c r="L768" t="s">
        <v>234</v>
      </c>
      <c r="M768" t="s">
        <v>235</v>
      </c>
      <c r="N768" t="s">
        <v>236</v>
      </c>
      <c r="O768" t="s">
        <v>82</v>
      </c>
      <c r="P768" t="str">
        <f>"4170053212                    "</f>
        <v xml:space="preserve">4170053212                    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23.09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1</v>
      </c>
      <c r="BI768">
        <v>1</v>
      </c>
      <c r="BJ768">
        <v>0.2</v>
      </c>
      <c r="BK768">
        <v>1</v>
      </c>
      <c r="BL768">
        <v>71.69</v>
      </c>
      <c r="BM768">
        <v>10.75</v>
      </c>
      <c r="BN768">
        <v>82.44</v>
      </c>
      <c r="BO768">
        <v>82.44</v>
      </c>
      <c r="BQ768" t="s">
        <v>237</v>
      </c>
      <c r="BR768" t="s">
        <v>84</v>
      </c>
      <c r="BS768" s="3">
        <v>45876</v>
      </c>
      <c r="BT768" s="4">
        <v>0.37152777777777779</v>
      </c>
      <c r="BU768" t="s">
        <v>650</v>
      </c>
      <c r="BV768" t="s">
        <v>86</v>
      </c>
      <c r="BY768">
        <v>1200</v>
      </c>
      <c r="CA768" t="s">
        <v>239</v>
      </c>
      <c r="CC768" t="s">
        <v>235</v>
      </c>
      <c r="CD768" s="5" t="s">
        <v>240</v>
      </c>
      <c r="CE768" t="s">
        <v>109</v>
      </c>
      <c r="CF768" s="3">
        <v>45876</v>
      </c>
      <c r="CI768">
        <v>1</v>
      </c>
      <c r="CJ768">
        <v>1</v>
      </c>
      <c r="CK768">
        <v>21</v>
      </c>
      <c r="CL768" t="s">
        <v>90</v>
      </c>
    </row>
    <row r="769" spans="1:90" x14ac:dyDescent="0.3">
      <c r="A769" t="s">
        <v>72</v>
      </c>
      <c r="B769" t="s">
        <v>73</v>
      </c>
      <c r="C769" t="s">
        <v>74</v>
      </c>
      <c r="E769" t="str">
        <f>"080067064620"</f>
        <v>080067064620</v>
      </c>
      <c r="F769" s="3">
        <v>45875</v>
      </c>
      <c r="G769">
        <v>202605</v>
      </c>
      <c r="H769" t="s">
        <v>75</v>
      </c>
      <c r="I769" t="s">
        <v>76</v>
      </c>
      <c r="J769" t="s">
        <v>77</v>
      </c>
      <c r="K769" t="s">
        <v>78</v>
      </c>
      <c r="L769" t="s">
        <v>137</v>
      </c>
      <c r="M769" t="s">
        <v>138</v>
      </c>
      <c r="N769" t="s">
        <v>261</v>
      </c>
      <c r="O769" t="s">
        <v>82</v>
      </c>
      <c r="P769" t="str">
        <f>"4170053283                    "</f>
        <v xml:space="preserve">4170053283                    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92.28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1</v>
      </c>
      <c r="BI769">
        <v>8</v>
      </c>
      <c r="BJ769">
        <v>4.0999999999999996</v>
      </c>
      <c r="BK769">
        <v>8</v>
      </c>
      <c r="BL769">
        <v>286.56</v>
      </c>
      <c r="BM769">
        <v>42.98</v>
      </c>
      <c r="BN769">
        <v>329.54</v>
      </c>
      <c r="BO769">
        <v>329.54</v>
      </c>
      <c r="BQ769" t="s">
        <v>262</v>
      </c>
      <c r="BR769" t="s">
        <v>84</v>
      </c>
      <c r="BS769" s="3">
        <v>45876</v>
      </c>
      <c r="BT769" s="4">
        <v>0.3659722222222222</v>
      </c>
      <c r="BU769" t="s">
        <v>263</v>
      </c>
      <c r="BV769" t="s">
        <v>86</v>
      </c>
      <c r="BY769">
        <v>20358</v>
      </c>
      <c r="CA769" t="s">
        <v>264</v>
      </c>
      <c r="CC769" t="s">
        <v>138</v>
      </c>
      <c r="CD769">
        <v>3608</v>
      </c>
      <c r="CE769" t="s">
        <v>147</v>
      </c>
      <c r="CF769" s="3">
        <v>45877</v>
      </c>
      <c r="CI769">
        <v>1</v>
      </c>
      <c r="CJ769">
        <v>1</v>
      </c>
      <c r="CK769">
        <v>21</v>
      </c>
      <c r="CL769" t="s">
        <v>90</v>
      </c>
    </row>
    <row r="770" spans="1:90" x14ac:dyDescent="0.3">
      <c r="A770" t="s">
        <v>72</v>
      </c>
      <c r="B770" t="s">
        <v>73</v>
      </c>
      <c r="C770" t="s">
        <v>74</v>
      </c>
      <c r="E770" t="str">
        <f>"080067064632"</f>
        <v>080067064632</v>
      </c>
      <c r="F770" s="3">
        <v>45875</v>
      </c>
      <c r="G770">
        <v>202605</v>
      </c>
      <c r="H770" t="s">
        <v>75</v>
      </c>
      <c r="I770" t="s">
        <v>76</v>
      </c>
      <c r="J770" t="s">
        <v>77</v>
      </c>
      <c r="K770" t="s">
        <v>78</v>
      </c>
      <c r="L770" t="s">
        <v>75</v>
      </c>
      <c r="M770" t="s">
        <v>76</v>
      </c>
      <c r="N770" t="s">
        <v>1550</v>
      </c>
      <c r="O770" t="s">
        <v>82</v>
      </c>
      <c r="P770" t="str">
        <f>"4170053417                    "</f>
        <v xml:space="preserve">4170053417                    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18.03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1</v>
      </c>
      <c r="BI770">
        <v>1</v>
      </c>
      <c r="BJ770">
        <v>0.2</v>
      </c>
      <c r="BK770">
        <v>1</v>
      </c>
      <c r="BL770">
        <v>55.99</v>
      </c>
      <c r="BM770">
        <v>8.4</v>
      </c>
      <c r="BN770">
        <v>64.39</v>
      </c>
      <c r="BO770">
        <v>64.39</v>
      </c>
      <c r="BQ770" t="s">
        <v>1551</v>
      </c>
      <c r="BR770" t="s">
        <v>84</v>
      </c>
      <c r="BS770" s="3">
        <v>45876</v>
      </c>
      <c r="BT770" s="4">
        <v>0.32708333333333334</v>
      </c>
      <c r="BU770" t="s">
        <v>1552</v>
      </c>
      <c r="BV770" t="s">
        <v>86</v>
      </c>
      <c r="BY770">
        <v>1200</v>
      </c>
      <c r="BZ770" t="s">
        <v>330</v>
      </c>
      <c r="CA770" t="s">
        <v>1345</v>
      </c>
      <c r="CC770" t="s">
        <v>76</v>
      </c>
      <c r="CD770">
        <v>1601</v>
      </c>
      <c r="CE770" t="s">
        <v>1553</v>
      </c>
      <c r="CF770" s="3">
        <v>45876</v>
      </c>
      <c r="CI770">
        <v>1</v>
      </c>
      <c r="CJ770">
        <v>1</v>
      </c>
      <c r="CK770">
        <v>22</v>
      </c>
      <c r="CL770" t="s">
        <v>90</v>
      </c>
    </row>
    <row r="771" spans="1:90" x14ac:dyDescent="0.3">
      <c r="A771" t="s">
        <v>72</v>
      </c>
      <c r="B771" t="s">
        <v>73</v>
      </c>
      <c r="C771" t="s">
        <v>74</v>
      </c>
      <c r="E771" t="str">
        <f>"080067064650"</f>
        <v>080067064650</v>
      </c>
      <c r="F771" s="3">
        <v>45875</v>
      </c>
      <c r="G771">
        <v>202605</v>
      </c>
      <c r="H771" t="s">
        <v>75</v>
      </c>
      <c r="I771" t="s">
        <v>76</v>
      </c>
      <c r="J771" t="s">
        <v>77</v>
      </c>
      <c r="K771" t="s">
        <v>78</v>
      </c>
      <c r="L771" t="s">
        <v>520</v>
      </c>
      <c r="M771" t="s">
        <v>521</v>
      </c>
      <c r="N771" t="s">
        <v>1554</v>
      </c>
      <c r="O771" t="s">
        <v>82</v>
      </c>
      <c r="P771" t="str">
        <f>"4170053269                    "</f>
        <v xml:space="preserve">4170053269                    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44.73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1</v>
      </c>
      <c r="BI771">
        <v>1</v>
      </c>
      <c r="BJ771">
        <v>0.2</v>
      </c>
      <c r="BK771">
        <v>1</v>
      </c>
      <c r="BL771">
        <v>138.88999999999999</v>
      </c>
      <c r="BM771">
        <v>20.83</v>
      </c>
      <c r="BN771">
        <v>159.72</v>
      </c>
      <c r="BO771">
        <v>159.72</v>
      </c>
      <c r="BQ771" t="s">
        <v>1555</v>
      </c>
      <c r="BR771" t="s">
        <v>84</v>
      </c>
      <c r="BS771" s="3">
        <v>45876</v>
      </c>
      <c r="BT771" s="4">
        <v>0.4375</v>
      </c>
      <c r="BU771" t="s">
        <v>1556</v>
      </c>
      <c r="BV771" t="s">
        <v>86</v>
      </c>
      <c r="BY771">
        <v>1200</v>
      </c>
      <c r="CA771" t="s">
        <v>525</v>
      </c>
      <c r="CC771" t="s">
        <v>521</v>
      </c>
      <c r="CD771">
        <v>1871</v>
      </c>
      <c r="CE771" t="s">
        <v>1557</v>
      </c>
      <c r="CF771" s="3">
        <v>45876</v>
      </c>
      <c r="CI771">
        <v>1</v>
      </c>
      <c r="CJ771">
        <v>1</v>
      </c>
      <c r="CK771">
        <v>23</v>
      </c>
      <c r="CL771" t="s">
        <v>90</v>
      </c>
    </row>
    <row r="772" spans="1:90" x14ac:dyDescent="0.3">
      <c r="A772" t="s">
        <v>72</v>
      </c>
      <c r="B772" t="s">
        <v>73</v>
      </c>
      <c r="C772" t="s">
        <v>74</v>
      </c>
      <c r="E772" t="str">
        <f>"080067064690"</f>
        <v>080067064690</v>
      </c>
      <c r="F772" s="3">
        <v>45875</v>
      </c>
      <c r="G772">
        <v>202605</v>
      </c>
      <c r="H772" t="s">
        <v>75</v>
      </c>
      <c r="I772" t="s">
        <v>76</v>
      </c>
      <c r="J772" t="s">
        <v>77</v>
      </c>
      <c r="K772" t="s">
        <v>78</v>
      </c>
      <c r="L772" t="s">
        <v>297</v>
      </c>
      <c r="M772" t="s">
        <v>298</v>
      </c>
      <c r="N772" t="s">
        <v>299</v>
      </c>
      <c r="O772" t="s">
        <v>82</v>
      </c>
      <c r="P772" t="str">
        <f>"4170053093                    "</f>
        <v xml:space="preserve">4170053093                    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46.15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1</v>
      </c>
      <c r="BI772">
        <v>4</v>
      </c>
      <c r="BJ772">
        <v>2</v>
      </c>
      <c r="BK772">
        <v>4</v>
      </c>
      <c r="BL772">
        <v>143.31</v>
      </c>
      <c r="BM772">
        <v>21.5</v>
      </c>
      <c r="BN772">
        <v>164.81</v>
      </c>
      <c r="BO772">
        <v>164.81</v>
      </c>
      <c r="BQ772" t="s">
        <v>300</v>
      </c>
      <c r="BR772" t="s">
        <v>84</v>
      </c>
      <c r="BS772" s="3">
        <v>45876</v>
      </c>
      <c r="BT772" s="4">
        <v>0.40277777777777779</v>
      </c>
      <c r="BU772" t="s">
        <v>1558</v>
      </c>
      <c r="BV772" t="s">
        <v>86</v>
      </c>
      <c r="BY772">
        <v>9900</v>
      </c>
      <c r="BZ772" t="s">
        <v>330</v>
      </c>
      <c r="CA772" t="s">
        <v>302</v>
      </c>
      <c r="CC772" t="s">
        <v>298</v>
      </c>
      <c r="CD772">
        <v>4302</v>
      </c>
      <c r="CE772" t="s">
        <v>89</v>
      </c>
      <c r="CF772" s="3">
        <v>45876</v>
      </c>
      <c r="CI772">
        <v>1</v>
      </c>
      <c r="CJ772">
        <v>1</v>
      </c>
      <c r="CK772">
        <v>21</v>
      </c>
      <c r="CL772" t="s">
        <v>90</v>
      </c>
    </row>
    <row r="773" spans="1:90" x14ac:dyDescent="0.3">
      <c r="A773" t="s">
        <v>72</v>
      </c>
      <c r="B773" t="s">
        <v>73</v>
      </c>
      <c r="C773" t="s">
        <v>74</v>
      </c>
      <c r="E773" t="str">
        <f>"080067064706"</f>
        <v>080067064706</v>
      </c>
      <c r="F773" s="3">
        <v>45875</v>
      </c>
      <c r="G773">
        <v>202605</v>
      </c>
      <c r="H773" t="s">
        <v>75</v>
      </c>
      <c r="I773" t="s">
        <v>76</v>
      </c>
      <c r="J773" t="s">
        <v>77</v>
      </c>
      <c r="K773" t="s">
        <v>78</v>
      </c>
      <c r="L773" t="s">
        <v>137</v>
      </c>
      <c r="M773" t="s">
        <v>138</v>
      </c>
      <c r="N773" t="s">
        <v>1073</v>
      </c>
      <c r="O773" t="s">
        <v>82</v>
      </c>
      <c r="P773" t="str">
        <f>"4170053328                    "</f>
        <v xml:space="preserve">4170053328                    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23.09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1</v>
      </c>
      <c r="BI773">
        <v>1</v>
      </c>
      <c r="BJ773">
        <v>0.2</v>
      </c>
      <c r="BK773">
        <v>1</v>
      </c>
      <c r="BL773">
        <v>71.69</v>
      </c>
      <c r="BM773">
        <v>10.75</v>
      </c>
      <c r="BN773">
        <v>82.44</v>
      </c>
      <c r="BO773">
        <v>82.44</v>
      </c>
      <c r="BQ773" t="s">
        <v>1074</v>
      </c>
      <c r="BR773" t="s">
        <v>84</v>
      </c>
      <c r="BS773" s="3">
        <v>45876</v>
      </c>
      <c r="BT773" s="4">
        <v>0.50416666666666665</v>
      </c>
      <c r="BU773" t="s">
        <v>1310</v>
      </c>
      <c r="BV773" t="s">
        <v>86</v>
      </c>
      <c r="BY773">
        <v>1200</v>
      </c>
      <c r="BZ773" t="s">
        <v>330</v>
      </c>
      <c r="CA773" t="s">
        <v>953</v>
      </c>
      <c r="CC773" t="s">
        <v>138</v>
      </c>
      <c r="CD773">
        <v>3610</v>
      </c>
      <c r="CE773" t="s">
        <v>1559</v>
      </c>
      <c r="CF773" s="3">
        <v>45876</v>
      </c>
      <c r="CI773">
        <v>1</v>
      </c>
      <c r="CJ773">
        <v>1</v>
      </c>
      <c r="CK773">
        <v>21</v>
      </c>
      <c r="CL773" t="s">
        <v>90</v>
      </c>
    </row>
    <row r="774" spans="1:90" x14ac:dyDescent="0.3">
      <c r="A774" t="s">
        <v>72</v>
      </c>
      <c r="B774" t="s">
        <v>73</v>
      </c>
      <c r="C774" t="s">
        <v>74</v>
      </c>
      <c r="E774" t="str">
        <f>"080067064737"</f>
        <v>080067064737</v>
      </c>
      <c r="F774" s="3">
        <v>45875</v>
      </c>
      <c r="G774">
        <v>202605</v>
      </c>
      <c r="H774" t="s">
        <v>75</v>
      </c>
      <c r="I774" t="s">
        <v>76</v>
      </c>
      <c r="J774" t="s">
        <v>77</v>
      </c>
      <c r="K774" t="s">
        <v>78</v>
      </c>
      <c r="L774" t="s">
        <v>137</v>
      </c>
      <c r="M774" t="s">
        <v>138</v>
      </c>
      <c r="N774" t="s">
        <v>1073</v>
      </c>
      <c r="O774" t="s">
        <v>82</v>
      </c>
      <c r="P774" t="str">
        <f>"4170053331                    "</f>
        <v xml:space="preserve">4170053331                    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23.09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1</v>
      </c>
      <c r="BI774">
        <v>1</v>
      </c>
      <c r="BJ774">
        <v>0.2</v>
      </c>
      <c r="BK774">
        <v>1</v>
      </c>
      <c r="BL774">
        <v>71.69</v>
      </c>
      <c r="BM774">
        <v>10.75</v>
      </c>
      <c r="BN774">
        <v>82.44</v>
      </c>
      <c r="BO774">
        <v>82.44</v>
      </c>
      <c r="BQ774" t="s">
        <v>1074</v>
      </c>
      <c r="BR774" t="s">
        <v>84</v>
      </c>
      <c r="BS774" s="3">
        <v>45876</v>
      </c>
      <c r="BT774" s="4">
        <v>0.50763888888888886</v>
      </c>
      <c r="BU774" t="s">
        <v>1310</v>
      </c>
      <c r="BV774" t="s">
        <v>86</v>
      </c>
      <c r="BY774">
        <v>1200</v>
      </c>
      <c r="BZ774" t="s">
        <v>330</v>
      </c>
      <c r="CA774" t="s">
        <v>953</v>
      </c>
      <c r="CC774" t="s">
        <v>138</v>
      </c>
      <c r="CD774">
        <v>3610</v>
      </c>
      <c r="CE774" t="s">
        <v>1560</v>
      </c>
      <c r="CF774" s="3">
        <v>45876</v>
      </c>
      <c r="CI774">
        <v>1</v>
      </c>
      <c r="CJ774">
        <v>1</v>
      </c>
      <c r="CK774">
        <v>21</v>
      </c>
      <c r="CL774" t="s">
        <v>90</v>
      </c>
    </row>
    <row r="775" spans="1:90" x14ac:dyDescent="0.3">
      <c r="A775" t="s">
        <v>72</v>
      </c>
      <c r="B775" t="s">
        <v>73</v>
      </c>
      <c r="C775" t="s">
        <v>74</v>
      </c>
      <c r="E775" t="str">
        <f>"080067064749"</f>
        <v>080067064749</v>
      </c>
      <c r="F775" s="3">
        <v>45875</v>
      </c>
      <c r="G775">
        <v>202605</v>
      </c>
      <c r="H775" t="s">
        <v>75</v>
      </c>
      <c r="I775" t="s">
        <v>76</v>
      </c>
      <c r="J775" t="s">
        <v>77</v>
      </c>
      <c r="K775" t="s">
        <v>78</v>
      </c>
      <c r="L775" t="s">
        <v>162</v>
      </c>
      <c r="M775" t="s">
        <v>163</v>
      </c>
      <c r="N775" t="s">
        <v>164</v>
      </c>
      <c r="O775" t="s">
        <v>95</v>
      </c>
      <c r="P775" t="str">
        <f>"4170053308                    "</f>
        <v xml:space="preserve">4170053308                    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57.54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3</v>
      </c>
      <c r="BI775">
        <v>22</v>
      </c>
      <c r="BJ775">
        <v>19.5</v>
      </c>
      <c r="BK775">
        <v>22</v>
      </c>
      <c r="BL775">
        <v>184.55</v>
      </c>
      <c r="BM775">
        <v>27.68</v>
      </c>
      <c r="BN775">
        <v>212.23</v>
      </c>
      <c r="BO775">
        <v>212.23</v>
      </c>
      <c r="BQ775" t="s">
        <v>165</v>
      </c>
      <c r="BR775" t="s">
        <v>84</v>
      </c>
      <c r="BS775" s="3">
        <v>45877</v>
      </c>
      <c r="BT775" s="4">
        <v>0.625</v>
      </c>
      <c r="BU775" t="s">
        <v>1378</v>
      </c>
      <c r="BV775" t="s">
        <v>86</v>
      </c>
      <c r="BY775">
        <v>51680</v>
      </c>
      <c r="CC775" t="s">
        <v>163</v>
      </c>
      <c r="CD775">
        <v>3212</v>
      </c>
      <c r="CE775" t="s">
        <v>117</v>
      </c>
      <c r="CF775" s="3">
        <v>45877</v>
      </c>
      <c r="CI775">
        <v>3</v>
      </c>
      <c r="CJ775">
        <v>2</v>
      </c>
      <c r="CK775">
        <v>41</v>
      </c>
      <c r="CL775" t="s">
        <v>90</v>
      </c>
    </row>
    <row r="776" spans="1:90" x14ac:dyDescent="0.3">
      <c r="A776" t="s">
        <v>72</v>
      </c>
      <c r="B776" t="s">
        <v>73</v>
      </c>
      <c r="C776" t="s">
        <v>74</v>
      </c>
      <c r="E776" t="str">
        <f>"080067064758"</f>
        <v>080067064758</v>
      </c>
      <c r="F776" s="3">
        <v>45875</v>
      </c>
      <c r="G776">
        <v>202605</v>
      </c>
      <c r="H776" t="s">
        <v>75</v>
      </c>
      <c r="I776" t="s">
        <v>76</v>
      </c>
      <c r="J776" t="s">
        <v>77</v>
      </c>
      <c r="K776" t="s">
        <v>78</v>
      </c>
      <c r="L776" t="s">
        <v>137</v>
      </c>
      <c r="M776" t="s">
        <v>138</v>
      </c>
      <c r="N776" t="s">
        <v>1073</v>
      </c>
      <c r="O776" t="s">
        <v>82</v>
      </c>
      <c r="P776" t="str">
        <f>"4170053323                    "</f>
        <v xml:space="preserve">4170053323                    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23.09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1</v>
      </c>
      <c r="BI776">
        <v>1</v>
      </c>
      <c r="BJ776">
        <v>0.2</v>
      </c>
      <c r="BK776">
        <v>1</v>
      </c>
      <c r="BL776">
        <v>71.69</v>
      </c>
      <c r="BM776">
        <v>10.75</v>
      </c>
      <c r="BN776">
        <v>82.44</v>
      </c>
      <c r="BO776">
        <v>82.44</v>
      </c>
      <c r="BQ776" t="s">
        <v>1074</v>
      </c>
      <c r="BR776" t="s">
        <v>84</v>
      </c>
      <c r="BS776" s="3">
        <v>45876</v>
      </c>
      <c r="BT776" s="4">
        <v>0.6069444444444444</v>
      </c>
      <c r="BU776" t="s">
        <v>389</v>
      </c>
      <c r="BV776" t="s">
        <v>90</v>
      </c>
      <c r="BY776">
        <v>1200</v>
      </c>
      <c r="BZ776" t="s">
        <v>330</v>
      </c>
      <c r="CA776" t="s">
        <v>953</v>
      </c>
      <c r="CC776" t="s">
        <v>138</v>
      </c>
      <c r="CD776">
        <v>3610</v>
      </c>
      <c r="CE776" t="s">
        <v>1561</v>
      </c>
      <c r="CF776" s="3">
        <v>45876</v>
      </c>
      <c r="CI776">
        <v>1</v>
      </c>
      <c r="CJ776">
        <v>1</v>
      </c>
      <c r="CK776">
        <v>21</v>
      </c>
      <c r="CL776" t="s">
        <v>90</v>
      </c>
    </row>
    <row r="777" spans="1:90" x14ac:dyDescent="0.3">
      <c r="A777" t="s">
        <v>72</v>
      </c>
      <c r="B777" t="s">
        <v>73</v>
      </c>
      <c r="C777" t="s">
        <v>74</v>
      </c>
      <c r="E777" t="str">
        <f>"080067064787"</f>
        <v>080067064787</v>
      </c>
      <c r="F777" s="3">
        <v>45875</v>
      </c>
      <c r="G777">
        <v>202605</v>
      </c>
      <c r="H777" t="s">
        <v>75</v>
      </c>
      <c r="I777" t="s">
        <v>76</v>
      </c>
      <c r="J777" t="s">
        <v>77</v>
      </c>
      <c r="K777" t="s">
        <v>78</v>
      </c>
      <c r="L777" t="s">
        <v>137</v>
      </c>
      <c r="M777" t="s">
        <v>138</v>
      </c>
      <c r="N777" t="s">
        <v>1073</v>
      </c>
      <c r="O777" t="s">
        <v>82</v>
      </c>
      <c r="P777" t="str">
        <f>"4170053321                    "</f>
        <v xml:space="preserve">4170053321                    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23.09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1</v>
      </c>
      <c r="BI777">
        <v>1</v>
      </c>
      <c r="BJ777">
        <v>0.2</v>
      </c>
      <c r="BK777">
        <v>1</v>
      </c>
      <c r="BL777">
        <v>71.69</v>
      </c>
      <c r="BM777">
        <v>10.75</v>
      </c>
      <c r="BN777">
        <v>82.44</v>
      </c>
      <c r="BO777">
        <v>82.44</v>
      </c>
      <c r="BQ777" t="s">
        <v>1074</v>
      </c>
      <c r="BR777" t="s">
        <v>84</v>
      </c>
      <c r="BS777" s="3">
        <v>45876</v>
      </c>
      <c r="BT777" s="4">
        <v>0.48958333333333331</v>
      </c>
      <c r="BU777" t="s">
        <v>1310</v>
      </c>
      <c r="BV777" t="s">
        <v>86</v>
      </c>
      <c r="BY777">
        <v>1200</v>
      </c>
      <c r="BZ777" t="s">
        <v>330</v>
      </c>
      <c r="CA777" t="s">
        <v>953</v>
      </c>
      <c r="CC777" t="s">
        <v>138</v>
      </c>
      <c r="CD777">
        <v>3610</v>
      </c>
      <c r="CE777" t="s">
        <v>1560</v>
      </c>
      <c r="CF777" s="3">
        <v>45876</v>
      </c>
      <c r="CI777">
        <v>1</v>
      </c>
      <c r="CJ777">
        <v>1</v>
      </c>
      <c r="CK777">
        <v>21</v>
      </c>
      <c r="CL777" t="s">
        <v>90</v>
      </c>
    </row>
    <row r="778" spans="1:90" x14ac:dyDescent="0.3">
      <c r="A778" t="s">
        <v>72</v>
      </c>
      <c r="B778" t="s">
        <v>73</v>
      </c>
      <c r="C778" t="s">
        <v>74</v>
      </c>
      <c r="E778" t="str">
        <f>"080067064814"</f>
        <v>080067064814</v>
      </c>
      <c r="F778" s="3">
        <v>45875</v>
      </c>
      <c r="G778">
        <v>202605</v>
      </c>
      <c r="H778" t="s">
        <v>75</v>
      </c>
      <c r="I778" t="s">
        <v>76</v>
      </c>
      <c r="J778" t="s">
        <v>77</v>
      </c>
      <c r="K778" t="s">
        <v>78</v>
      </c>
      <c r="L778" t="s">
        <v>137</v>
      </c>
      <c r="M778" t="s">
        <v>138</v>
      </c>
      <c r="N778" t="s">
        <v>1073</v>
      </c>
      <c r="O778" t="s">
        <v>82</v>
      </c>
      <c r="P778" t="str">
        <f>"4170053326                    "</f>
        <v xml:space="preserve">4170053326                    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23.09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1</v>
      </c>
      <c r="BI778">
        <v>1</v>
      </c>
      <c r="BJ778">
        <v>0.2</v>
      </c>
      <c r="BK778">
        <v>1</v>
      </c>
      <c r="BL778">
        <v>71.69</v>
      </c>
      <c r="BM778">
        <v>10.75</v>
      </c>
      <c r="BN778">
        <v>82.44</v>
      </c>
      <c r="BO778">
        <v>82.44</v>
      </c>
      <c r="BQ778" t="s">
        <v>1074</v>
      </c>
      <c r="BR778" t="s">
        <v>84</v>
      </c>
      <c r="BS778" s="3">
        <v>45876</v>
      </c>
      <c r="BT778" s="4">
        <v>0.48958333333333331</v>
      </c>
      <c r="BU778" t="s">
        <v>1562</v>
      </c>
      <c r="BV778" t="s">
        <v>86</v>
      </c>
      <c r="BY778">
        <v>1200</v>
      </c>
      <c r="BZ778" t="s">
        <v>330</v>
      </c>
      <c r="CA778" t="s">
        <v>953</v>
      </c>
      <c r="CC778" t="s">
        <v>138</v>
      </c>
      <c r="CD778">
        <v>3610</v>
      </c>
      <c r="CE778" t="s">
        <v>1563</v>
      </c>
      <c r="CF778" s="3">
        <v>45876</v>
      </c>
      <c r="CI778">
        <v>1</v>
      </c>
      <c r="CJ778">
        <v>1</v>
      </c>
      <c r="CK778">
        <v>21</v>
      </c>
      <c r="CL778" t="s">
        <v>90</v>
      </c>
    </row>
    <row r="779" spans="1:90" x14ac:dyDescent="0.3">
      <c r="A779" t="s">
        <v>72</v>
      </c>
      <c r="B779" t="s">
        <v>73</v>
      </c>
      <c r="C779" t="s">
        <v>74</v>
      </c>
      <c r="E779" t="str">
        <f>"080067064836"</f>
        <v>080067064836</v>
      </c>
      <c r="F779" s="3">
        <v>45875</v>
      </c>
      <c r="G779">
        <v>202605</v>
      </c>
      <c r="H779" t="s">
        <v>75</v>
      </c>
      <c r="I779" t="s">
        <v>76</v>
      </c>
      <c r="J779" t="s">
        <v>77</v>
      </c>
      <c r="K779" t="s">
        <v>78</v>
      </c>
      <c r="L779" t="s">
        <v>137</v>
      </c>
      <c r="M779" t="s">
        <v>138</v>
      </c>
      <c r="N779" t="s">
        <v>1073</v>
      </c>
      <c r="O779" t="s">
        <v>82</v>
      </c>
      <c r="P779" t="str">
        <f>"4170053334                    "</f>
        <v xml:space="preserve">4170053334                    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23.09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1</v>
      </c>
      <c r="BI779">
        <v>1</v>
      </c>
      <c r="BJ779">
        <v>0.2</v>
      </c>
      <c r="BK779">
        <v>1</v>
      </c>
      <c r="BL779">
        <v>71.69</v>
      </c>
      <c r="BM779">
        <v>10.75</v>
      </c>
      <c r="BN779">
        <v>82.44</v>
      </c>
      <c r="BO779">
        <v>82.44</v>
      </c>
      <c r="BQ779" t="s">
        <v>1074</v>
      </c>
      <c r="BR779" t="s">
        <v>84</v>
      </c>
      <c r="BS779" s="3">
        <v>45876</v>
      </c>
      <c r="BT779" s="4">
        <v>0.5</v>
      </c>
      <c r="BU779" t="s">
        <v>1310</v>
      </c>
      <c r="BV779" t="s">
        <v>86</v>
      </c>
      <c r="BY779">
        <v>1200</v>
      </c>
      <c r="BZ779" t="s">
        <v>330</v>
      </c>
      <c r="CA779" t="s">
        <v>953</v>
      </c>
      <c r="CC779" t="s">
        <v>138</v>
      </c>
      <c r="CD779">
        <v>3610</v>
      </c>
      <c r="CE779" t="s">
        <v>1560</v>
      </c>
      <c r="CF779" s="3">
        <v>45876</v>
      </c>
      <c r="CI779">
        <v>1</v>
      </c>
      <c r="CJ779">
        <v>1</v>
      </c>
      <c r="CK779">
        <v>21</v>
      </c>
      <c r="CL779" t="s">
        <v>90</v>
      </c>
    </row>
    <row r="780" spans="1:90" x14ac:dyDescent="0.3">
      <c r="A780" t="s">
        <v>72</v>
      </c>
      <c r="B780" t="s">
        <v>73</v>
      </c>
      <c r="C780" t="s">
        <v>74</v>
      </c>
      <c r="E780" t="str">
        <f>"080067064846"</f>
        <v>080067064846</v>
      </c>
      <c r="F780" s="3">
        <v>45875</v>
      </c>
      <c r="G780">
        <v>202605</v>
      </c>
      <c r="H780" t="s">
        <v>75</v>
      </c>
      <c r="I780" t="s">
        <v>76</v>
      </c>
      <c r="J780" t="s">
        <v>77</v>
      </c>
      <c r="K780" t="s">
        <v>78</v>
      </c>
      <c r="L780" t="s">
        <v>137</v>
      </c>
      <c r="M780" t="s">
        <v>138</v>
      </c>
      <c r="N780" t="s">
        <v>1073</v>
      </c>
      <c r="O780" t="s">
        <v>82</v>
      </c>
      <c r="P780" t="str">
        <f>"4170053330                    "</f>
        <v xml:space="preserve">4170053330                    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23.09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1</v>
      </c>
      <c r="BI780">
        <v>1</v>
      </c>
      <c r="BJ780">
        <v>0.2</v>
      </c>
      <c r="BK780">
        <v>1</v>
      </c>
      <c r="BL780">
        <v>71.69</v>
      </c>
      <c r="BM780">
        <v>10.75</v>
      </c>
      <c r="BN780">
        <v>82.44</v>
      </c>
      <c r="BO780">
        <v>82.44</v>
      </c>
      <c r="BQ780" t="s">
        <v>1074</v>
      </c>
      <c r="BR780" t="s">
        <v>84</v>
      </c>
      <c r="BS780" s="3">
        <v>45876</v>
      </c>
      <c r="BT780" s="4">
        <v>0.50138888888888888</v>
      </c>
      <c r="BU780" t="s">
        <v>1310</v>
      </c>
      <c r="BV780" t="s">
        <v>86</v>
      </c>
      <c r="BY780">
        <v>1200</v>
      </c>
      <c r="BZ780" t="s">
        <v>330</v>
      </c>
      <c r="CA780" t="s">
        <v>953</v>
      </c>
      <c r="CC780" t="s">
        <v>138</v>
      </c>
      <c r="CD780">
        <v>3610</v>
      </c>
      <c r="CE780" t="s">
        <v>597</v>
      </c>
      <c r="CF780" s="3">
        <v>45876</v>
      </c>
      <c r="CI780">
        <v>1</v>
      </c>
      <c r="CJ780">
        <v>1</v>
      </c>
      <c r="CK780">
        <v>21</v>
      </c>
      <c r="CL780" t="s">
        <v>90</v>
      </c>
    </row>
    <row r="781" spans="1:90" x14ac:dyDescent="0.3">
      <c r="A781" t="s">
        <v>72</v>
      </c>
      <c r="B781" t="s">
        <v>73</v>
      </c>
      <c r="C781" t="s">
        <v>74</v>
      </c>
      <c r="E781" t="str">
        <f>"080067064853"</f>
        <v>080067064853</v>
      </c>
      <c r="F781" s="3">
        <v>45875</v>
      </c>
      <c r="G781">
        <v>202605</v>
      </c>
      <c r="H781" t="s">
        <v>75</v>
      </c>
      <c r="I781" t="s">
        <v>76</v>
      </c>
      <c r="J781" t="s">
        <v>77</v>
      </c>
      <c r="K781" t="s">
        <v>78</v>
      </c>
      <c r="L781" t="s">
        <v>137</v>
      </c>
      <c r="M781" t="s">
        <v>138</v>
      </c>
      <c r="N781" t="s">
        <v>1073</v>
      </c>
      <c r="O781" t="s">
        <v>82</v>
      </c>
      <c r="P781" t="str">
        <f>"4170053325                    "</f>
        <v xml:space="preserve">4170053325                    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23.09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1</v>
      </c>
      <c r="BI781">
        <v>1</v>
      </c>
      <c r="BJ781">
        <v>0.2</v>
      </c>
      <c r="BK781">
        <v>1</v>
      </c>
      <c r="BL781">
        <v>71.69</v>
      </c>
      <c r="BM781">
        <v>10.75</v>
      </c>
      <c r="BN781">
        <v>82.44</v>
      </c>
      <c r="BO781">
        <v>82.44</v>
      </c>
      <c r="BQ781" t="s">
        <v>1074</v>
      </c>
      <c r="BR781" t="s">
        <v>84</v>
      </c>
      <c r="BS781" s="3">
        <v>45876</v>
      </c>
      <c r="BT781" s="4">
        <v>0.48958333333333331</v>
      </c>
      <c r="BU781" t="s">
        <v>1310</v>
      </c>
      <c r="BV781" t="s">
        <v>86</v>
      </c>
      <c r="BY781">
        <v>1200</v>
      </c>
      <c r="BZ781" t="s">
        <v>330</v>
      </c>
      <c r="CA781" t="s">
        <v>953</v>
      </c>
      <c r="CC781" t="s">
        <v>138</v>
      </c>
      <c r="CD781">
        <v>3610</v>
      </c>
      <c r="CE781" t="s">
        <v>1560</v>
      </c>
      <c r="CF781" s="3">
        <v>45884</v>
      </c>
      <c r="CI781">
        <v>1</v>
      </c>
      <c r="CJ781">
        <v>1</v>
      </c>
      <c r="CK781">
        <v>21</v>
      </c>
      <c r="CL781" t="s">
        <v>90</v>
      </c>
    </row>
    <row r="782" spans="1:90" x14ac:dyDescent="0.3">
      <c r="A782" t="s">
        <v>72</v>
      </c>
      <c r="B782" t="s">
        <v>73</v>
      </c>
      <c r="C782" t="s">
        <v>74</v>
      </c>
      <c r="E782" t="str">
        <f>"080067064872"</f>
        <v>080067064872</v>
      </c>
      <c r="F782" s="3">
        <v>45875</v>
      </c>
      <c r="G782">
        <v>202605</v>
      </c>
      <c r="H782" t="s">
        <v>75</v>
      </c>
      <c r="I782" t="s">
        <v>76</v>
      </c>
      <c r="J782" t="s">
        <v>77</v>
      </c>
      <c r="K782" t="s">
        <v>78</v>
      </c>
      <c r="L782" t="s">
        <v>137</v>
      </c>
      <c r="M782" t="s">
        <v>138</v>
      </c>
      <c r="N782" t="s">
        <v>1073</v>
      </c>
      <c r="O782" t="s">
        <v>82</v>
      </c>
      <c r="P782" t="str">
        <f>"4170053228                    "</f>
        <v xml:space="preserve">4170053228                    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23.09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1</v>
      </c>
      <c r="BI782">
        <v>1</v>
      </c>
      <c r="BJ782">
        <v>0.2</v>
      </c>
      <c r="BK782">
        <v>1</v>
      </c>
      <c r="BL782">
        <v>71.69</v>
      </c>
      <c r="BM782">
        <v>10.75</v>
      </c>
      <c r="BN782">
        <v>82.44</v>
      </c>
      <c r="BO782">
        <v>82.44</v>
      </c>
      <c r="BQ782" t="s">
        <v>1074</v>
      </c>
      <c r="BR782" t="s">
        <v>84</v>
      </c>
      <c r="BS782" s="3">
        <v>45876</v>
      </c>
      <c r="BT782" s="4">
        <v>0.5083333333333333</v>
      </c>
      <c r="BU782" t="s">
        <v>1310</v>
      </c>
      <c r="BV782" t="s">
        <v>86</v>
      </c>
      <c r="BY782">
        <v>1200</v>
      </c>
      <c r="BZ782" t="s">
        <v>330</v>
      </c>
      <c r="CA782" t="s">
        <v>953</v>
      </c>
      <c r="CC782" t="s">
        <v>138</v>
      </c>
      <c r="CD782">
        <v>3610</v>
      </c>
      <c r="CE782" t="s">
        <v>597</v>
      </c>
      <c r="CF782" s="3">
        <v>45876</v>
      </c>
      <c r="CI782">
        <v>1</v>
      </c>
      <c r="CJ782">
        <v>1</v>
      </c>
      <c r="CK782">
        <v>21</v>
      </c>
      <c r="CL782" t="s">
        <v>90</v>
      </c>
    </row>
    <row r="783" spans="1:90" x14ac:dyDescent="0.3">
      <c r="A783" t="s">
        <v>72</v>
      </c>
      <c r="B783" t="s">
        <v>73</v>
      </c>
      <c r="C783" t="s">
        <v>74</v>
      </c>
      <c r="E783" t="str">
        <f>"080067064877"</f>
        <v>080067064877</v>
      </c>
      <c r="F783" s="3">
        <v>45875</v>
      </c>
      <c r="G783">
        <v>202605</v>
      </c>
      <c r="H783" t="s">
        <v>75</v>
      </c>
      <c r="I783" t="s">
        <v>76</v>
      </c>
      <c r="J783" t="s">
        <v>77</v>
      </c>
      <c r="K783" t="s">
        <v>78</v>
      </c>
      <c r="L783" t="s">
        <v>137</v>
      </c>
      <c r="M783" t="s">
        <v>138</v>
      </c>
      <c r="N783" t="s">
        <v>1073</v>
      </c>
      <c r="O783" t="s">
        <v>82</v>
      </c>
      <c r="P783" t="str">
        <f>"4170053333                    "</f>
        <v xml:space="preserve">4170053333                    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23.09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1</v>
      </c>
      <c r="BI783">
        <v>1</v>
      </c>
      <c r="BJ783">
        <v>0.2</v>
      </c>
      <c r="BK783">
        <v>1</v>
      </c>
      <c r="BL783">
        <v>71.69</v>
      </c>
      <c r="BM783">
        <v>10.75</v>
      </c>
      <c r="BN783">
        <v>82.44</v>
      </c>
      <c r="BO783">
        <v>82.44</v>
      </c>
      <c r="BQ783" t="s">
        <v>1074</v>
      </c>
      <c r="BR783" t="s">
        <v>84</v>
      </c>
      <c r="BS783" s="3">
        <v>45876</v>
      </c>
      <c r="BT783" s="4">
        <v>0.50555555555555554</v>
      </c>
      <c r="BU783" t="s">
        <v>1310</v>
      </c>
      <c r="BV783" t="s">
        <v>86</v>
      </c>
      <c r="BY783">
        <v>1200</v>
      </c>
      <c r="BZ783" t="s">
        <v>330</v>
      </c>
      <c r="CA783" t="s">
        <v>953</v>
      </c>
      <c r="CC783" t="s">
        <v>138</v>
      </c>
      <c r="CD783">
        <v>3610</v>
      </c>
      <c r="CE783" t="s">
        <v>1559</v>
      </c>
      <c r="CF783" s="3">
        <v>45876</v>
      </c>
      <c r="CI783">
        <v>1</v>
      </c>
      <c r="CJ783">
        <v>1</v>
      </c>
      <c r="CK783">
        <v>21</v>
      </c>
      <c r="CL783" t="s">
        <v>90</v>
      </c>
    </row>
    <row r="784" spans="1:90" x14ac:dyDescent="0.3">
      <c r="A784" t="s">
        <v>72</v>
      </c>
      <c r="B784" t="s">
        <v>73</v>
      </c>
      <c r="C784" t="s">
        <v>74</v>
      </c>
      <c r="E784" t="str">
        <f>"080067064894"</f>
        <v>080067064894</v>
      </c>
      <c r="F784" s="3">
        <v>45875</v>
      </c>
      <c r="G784">
        <v>202605</v>
      </c>
      <c r="H784" t="s">
        <v>75</v>
      </c>
      <c r="I784" t="s">
        <v>76</v>
      </c>
      <c r="J784" t="s">
        <v>77</v>
      </c>
      <c r="K784" t="s">
        <v>78</v>
      </c>
      <c r="L784" t="s">
        <v>137</v>
      </c>
      <c r="M784" t="s">
        <v>138</v>
      </c>
      <c r="N784" t="s">
        <v>1073</v>
      </c>
      <c r="O784" t="s">
        <v>82</v>
      </c>
      <c r="P784" t="str">
        <f>"4170053230                    "</f>
        <v xml:space="preserve">4170053230                    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23.09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1</v>
      </c>
      <c r="BI784">
        <v>1</v>
      </c>
      <c r="BJ784">
        <v>0.2</v>
      </c>
      <c r="BK784">
        <v>1</v>
      </c>
      <c r="BL784">
        <v>71.69</v>
      </c>
      <c r="BM784">
        <v>10.75</v>
      </c>
      <c r="BN784">
        <v>82.44</v>
      </c>
      <c r="BO784">
        <v>82.44</v>
      </c>
      <c r="BQ784" t="s">
        <v>1074</v>
      </c>
      <c r="BR784" t="s">
        <v>84</v>
      </c>
      <c r="BS784" s="3">
        <v>45876</v>
      </c>
      <c r="BT784" s="4">
        <v>0.48958333333333331</v>
      </c>
      <c r="BU784" t="s">
        <v>1310</v>
      </c>
      <c r="BV784" t="s">
        <v>86</v>
      </c>
      <c r="BY784">
        <v>1200</v>
      </c>
      <c r="BZ784" t="s">
        <v>330</v>
      </c>
      <c r="CA784" t="s">
        <v>953</v>
      </c>
      <c r="CC784" t="s">
        <v>138</v>
      </c>
      <c r="CD784">
        <v>3610</v>
      </c>
      <c r="CE784" t="s">
        <v>597</v>
      </c>
      <c r="CF784" s="3">
        <v>45876</v>
      </c>
      <c r="CI784">
        <v>1</v>
      </c>
      <c r="CJ784">
        <v>1</v>
      </c>
      <c r="CK784">
        <v>21</v>
      </c>
      <c r="CL784" t="s">
        <v>90</v>
      </c>
    </row>
    <row r="785" spans="1:90" x14ac:dyDescent="0.3">
      <c r="A785" t="s">
        <v>72</v>
      </c>
      <c r="B785" t="s">
        <v>73</v>
      </c>
      <c r="C785" t="s">
        <v>74</v>
      </c>
      <c r="E785" t="str">
        <f>"080067064898"</f>
        <v>080067064898</v>
      </c>
      <c r="F785" s="3">
        <v>45875</v>
      </c>
      <c r="G785">
        <v>202605</v>
      </c>
      <c r="H785" t="s">
        <v>75</v>
      </c>
      <c r="I785" t="s">
        <v>76</v>
      </c>
      <c r="J785" t="s">
        <v>77</v>
      </c>
      <c r="K785" t="s">
        <v>78</v>
      </c>
      <c r="L785" t="s">
        <v>137</v>
      </c>
      <c r="M785" t="s">
        <v>138</v>
      </c>
      <c r="N785" t="s">
        <v>1073</v>
      </c>
      <c r="O785" t="s">
        <v>82</v>
      </c>
      <c r="P785" t="str">
        <f>"4170053329                    "</f>
        <v xml:space="preserve">4170053329                    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23.09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1</v>
      </c>
      <c r="BI785">
        <v>1</v>
      </c>
      <c r="BJ785">
        <v>0.2</v>
      </c>
      <c r="BK785">
        <v>1</v>
      </c>
      <c r="BL785">
        <v>71.69</v>
      </c>
      <c r="BM785">
        <v>10.75</v>
      </c>
      <c r="BN785">
        <v>82.44</v>
      </c>
      <c r="BO785">
        <v>82.44</v>
      </c>
      <c r="BQ785" t="s">
        <v>1074</v>
      </c>
      <c r="BR785" t="s">
        <v>84</v>
      </c>
      <c r="BS785" s="3">
        <v>45876</v>
      </c>
      <c r="BT785" s="4">
        <v>0.5</v>
      </c>
      <c r="BU785" t="s">
        <v>1310</v>
      </c>
      <c r="BV785" t="s">
        <v>86</v>
      </c>
      <c r="BY785">
        <v>1200</v>
      </c>
      <c r="BZ785" t="s">
        <v>330</v>
      </c>
      <c r="CC785" t="s">
        <v>138</v>
      </c>
      <c r="CD785">
        <v>3610</v>
      </c>
      <c r="CE785" t="s">
        <v>1560</v>
      </c>
      <c r="CF785" s="3">
        <v>45876</v>
      </c>
      <c r="CI785">
        <v>1</v>
      </c>
      <c r="CJ785">
        <v>1</v>
      </c>
      <c r="CK785">
        <v>21</v>
      </c>
      <c r="CL785" t="s">
        <v>90</v>
      </c>
    </row>
    <row r="786" spans="1:90" x14ac:dyDescent="0.3">
      <c r="A786" t="s">
        <v>72</v>
      </c>
      <c r="B786" t="s">
        <v>73</v>
      </c>
      <c r="C786" t="s">
        <v>74</v>
      </c>
      <c r="E786" t="str">
        <f>"080067064919"</f>
        <v>080067064919</v>
      </c>
      <c r="F786" s="3">
        <v>45875</v>
      </c>
      <c r="G786">
        <v>202605</v>
      </c>
      <c r="H786" t="s">
        <v>75</v>
      </c>
      <c r="I786" t="s">
        <v>76</v>
      </c>
      <c r="J786" t="s">
        <v>77</v>
      </c>
      <c r="K786" t="s">
        <v>78</v>
      </c>
      <c r="L786" t="s">
        <v>137</v>
      </c>
      <c r="M786" t="s">
        <v>138</v>
      </c>
      <c r="N786" t="s">
        <v>1073</v>
      </c>
      <c r="O786" t="s">
        <v>82</v>
      </c>
      <c r="P786" t="str">
        <f>"4170053227                    "</f>
        <v xml:space="preserve">4170053227                    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23.09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1</v>
      </c>
      <c r="BI786">
        <v>1</v>
      </c>
      <c r="BJ786">
        <v>0.2</v>
      </c>
      <c r="BK786">
        <v>1</v>
      </c>
      <c r="BL786">
        <v>71.69</v>
      </c>
      <c r="BM786">
        <v>10.75</v>
      </c>
      <c r="BN786">
        <v>82.44</v>
      </c>
      <c r="BO786">
        <v>82.44</v>
      </c>
      <c r="BQ786" t="s">
        <v>1074</v>
      </c>
      <c r="BR786" t="s">
        <v>84</v>
      </c>
      <c r="BS786" s="3">
        <v>45876</v>
      </c>
      <c r="BT786" s="4">
        <v>0.60972222222222228</v>
      </c>
      <c r="BU786" t="s">
        <v>389</v>
      </c>
      <c r="BV786" t="s">
        <v>90</v>
      </c>
      <c r="BY786">
        <v>1200</v>
      </c>
      <c r="BZ786" t="s">
        <v>330</v>
      </c>
      <c r="CA786" t="s">
        <v>953</v>
      </c>
      <c r="CC786" t="s">
        <v>138</v>
      </c>
      <c r="CD786">
        <v>3610</v>
      </c>
      <c r="CE786" t="s">
        <v>597</v>
      </c>
      <c r="CF786" s="3">
        <v>45876</v>
      </c>
      <c r="CI786">
        <v>1</v>
      </c>
      <c r="CJ786">
        <v>1</v>
      </c>
      <c r="CK786">
        <v>21</v>
      </c>
      <c r="CL786" t="s">
        <v>90</v>
      </c>
    </row>
    <row r="787" spans="1:90" x14ac:dyDescent="0.3">
      <c r="A787" t="s">
        <v>72</v>
      </c>
      <c r="B787" t="s">
        <v>73</v>
      </c>
      <c r="C787" t="s">
        <v>74</v>
      </c>
      <c r="E787" t="str">
        <f>"080067064923"</f>
        <v>080067064923</v>
      </c>
      <c r="F787" s="3">
        <v>45875</v>
      </c>
      <c r="G787">
        <v>202605</v>
      </c>
      <c r="H787" t="s">
        <v>75</v>
      </c>
      <c r="I787" t="s">
        <v>76</v>
      </c>
      <c r="J787" t="s">
        <v>77</v>
      </c>
      <c r="K787" t="s">
        <v>78</v>
      </c>
      <c r="L787" t="s">
        <v>137</v>
      </c>
      <c r="M787" t="s">
        <v>138</v>
      </c>
      <c r="N787" t="s">
        <v>1073</v>
      </c>
      <c r="O787" t="s">
        <v>82</v>
      </c>
      <c r="P787" t="str">
        <f>"4170053327                    "</f>
        <v xml:space="preserve">4170053327                    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23.09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1</v>
      </c>
      <c r="BI787">
        <v>1</v>
      </c>
      <c r="BJ787">
        <v>0.2</v>
      </c>
      <c r="BK787">
        <v>1</v>
      </c>
      <c r="BL787">
        <v>71.69</v>
      </c>
      <c r="BM787">
        <v>10.75</v>
      </c>
      <c r="BN787">
        <v>82.44</v>
      </c>
      <c r="BO787">
        <v>82.44</v>
      </c>
      <c r="BQ787" t="s">
        <v>1074</v>
      </c>
      <c r="BR787" t="s">
        <v>84</v>
      </c>
      <c r="BS787" s="3">
        <v>45876</v>
      </c>
      <c r="BT787" s="4">
        <v>0.5</v>
      </c>
      <c r="BU787" t="s">
        <v>1310</v>
      </c>
      <c r="BV787" t="s">
        <v>86</v>
      </c>
      <c r="BY787">
        <v>1200</v>
      </c>
      <c r="BZ787" t="s">
        <v>330</v>
      </c>
      <c r="CC787" t="s">
        <v>138</v>
      </c>
      <c r="CD787">
        <v>3610</v>
      </c>
      <c r="CE787" t="s">
        <v>597</v>
      </c>
      <c r="CF787" s="3">
        <v>45876</v>
      </c>
      <c r="CI787">
        <v>1</v>
      </c>
      <c r="CJ787">
        <v>1</v>
      </c>
      <c r="CK787">
        <v>21</v>
      </c>
      <c r="CL787" t="s">
        <v>90</v>
      </c>
    </row>
    <row r="788" spans="1:90" x14ac:dyDescent="0.3">
      <c r="A788" t="s">
        <v>72</v>
      </c>
      <c r="B788" t="s">
        <v>73</v>
      </c>
      <c r="C788" t="s">
        <v>74</v>
      </c>
      <c r="E788" t="str">
        <f>"080067064943"</f>
        <v>080067064943</v>
      </c>
      <c r="F788" s="3">
        <v>45875</v>
      </c>
      <c r="G788">
        <v>202605</v>
      </c>
      <c r="H788" t="s">
        <v>75</v>
      </c>
      <c r="I788" t="s">
        <v>76</v>
      </c>
      <c r="J788" t="s">
        <v>77</v>
      </c>
      <c r="K788" t="s">
        <v>78</v>
      </c>
      <c r="L788" t="s">
        <v>137</v>
      </c>
      <c r="M788" t="s">
        <v>138</v>
      </c>
      <c r="N788" t="s">
        <v>1073</v>
      </c>
      <c r="O788" t="s">
        <v>82</v>
      </c>
      <c r="P788" t="str">
        <f>"4170053324                    "</f>
        <v xml:space="preserve">4170053324                    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23.09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1</v>
      </c>
      <c r="BI788">
        <v>1</v>
      </c>
      <c r="BJ788">
        <v>0.2</v>
      </c>
      <c r="BK788">
        <v>1</v>
      </c>
      <c r="BL788">
        <v>71.69</v>
      </c>
      <c r="BM788">
        <v>10.75</v>
      </c>
      <c r="BN788">
        <v>82.44</v>
      </c>
      <c r="BO788">
        <v>82.44</v>
      </c>
      <c r="BQ788" t="s">
        <v>1074</v>
      </c>
      <c r="BR788" t="s">
        <v>84</v>
      </c>
      <c r="BS788" s="3">
        <v>45876</v>
      </c>
      <c r="BT788" s="4">
        <v>0.50694444444444442</v>
      </c>
      <c r="BU788" t="s">
        <v>1310</v>
      </c>
      <c r="BV788" t="s">
        <v>86</v>
      </c>
      <c r="BY788">
        <v>1200</v>
      </c>
      <c r="BZ788" t="s">
        <v>330</v>
      </c>
      <c r="CA788" t="s">
        <v>953</v>
      </c>
      <c r="CC788" t="s">
        <v>138</v>
      </c>
      <c r="CD788">
        <v>3610</v>
      </c>
      <c r="CE788" t="s">
        <v>597</v>
      </c>
      <c r="CF788" s="3">
        <v>45876</v>
      </c>
      <c r="CI788">
        <v>1</v>
      </c>
      <c r="CJ788">
        <v>1</v>
      </c>
      <c r="CK788">
        <v>21</v>
      </c>
      <c r="CL788" t="s">
        <v>90</v>
      </c>
    </row>
    <row r="789" spans="1:90" x14ac:dyDescent="0.3">
      <c r="A789" t="s">
        <v>72</v>
      </c>
      <c r="B789" t="s">
        <v>73</v>
      </c>
      <c r="C789" t="s">
        <v>74</v>
      </c>
      <c r="E789" t="str">
        <f>"080067064952"</f>
        <v>080067064952</v>
      </c>
      <c r="F789" s="3">
        <v>45875</v>
      </c>
      <c r="G789">
        <v>202605</v>
      </c>
      <c r="H789" t="s">
        <v>75</v>
      </c>
      <c r="I789" t="s">
        <v>76</v>
      </c>
      <c r="J789" t="s">
        <v>77</v>
      </c>
      <c r="K789" t="s">
        <v>78</v>
      </c>
      <c r="L789" t="s">
        <v>234</v>
      </c>
      <c r="M789" t="s">
        <v>235</v>
      </c>
      <c r="N789" t="s">
        <v>236</v>
      </c>
      <c r="O789" t="s">
        <v>82</v>
      </c>
      <c r="P789" t="str">
        <f>"4170053257                    "</f>
        <v xml:space="preserve">4170053257                    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23.09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1</v>
      </c>
      <c r="BJ789">
        <v>0.2</v>
      </c>
      <c r="BK789">
        <v>1</v>
      </c>
      <c r="BL789">
        <v>71.69</v>
      </c>
      <c r="BM789">
        <v>10.75</v>
      </c>
      <c r="BN789">
        <v>82.44</v>
      </c>
      <c r="BO789">
        <v>82.44</v>
      </c>
      <c r="BQ789" t="s">
        <v>237</v>
      </c>
      <c r="BR789" t="s">
        <v>84</v>
      </c>
      <c r="BS789" s="3">
        <v>45876</v>
      </c>
      <c r="BT789" s="4">
        <v>0.37083333333333335</v>
      </c>
      <c r="BU789" t="s">
        <v>650</v>
      </c>
      <c r="BV789" t="s">
        <v>86</v>
      </c>
      <c r="BY789">
        <v>1200</v>
      </c>
      <c r="CA789" t="s">
        <v>239</v>
      </c>
      <c r="CC789" t="s">
        <v>235</v>
      </c>
      <c r="CD789" s="5" t="s">
        <v>240</v>
      </c>
      <c r="CE789" t="s">
        <v>290</v>
      </c>
      <c r="CF789" s="3">
        <v>45876</v>
      </c>
      <c r="CI789">
        <v>1</v>
      </c>
      <c r="CJ789">
        <v>1</v>
      </c>
      <c r="CK789">
        <v>21</v>
      </c>
      <c r="CL789" t="s">
        <v>90</v>
      </c>
    </row>
    <row r="790" spans="1:90" x14ac:dyDescent="0.3">
      <c r="A790" t="s">
        <v>72</v>
      </c>
      <c r="B790" t="s">
        <v>73</v>
      </c>
      <c r="C790" t="s">
        <v>74</v>
      </c>
      <c r="E790" t="str">
        <f>"080067064962"</f>
        <v>080067064962</v>
      </c>
      <c r="F790" s="3">
        <v>45875</v>
      </c>
      <c r="G790">
        <v>202605</v>
      </c>
      <c r="H790" t="s">
        <v>75</v>
      </c>
      <c r="I790" t="s">
        <v>76</v>
      </c>
      <c r="J790" t="s">
        <v>77</v>
      </c>
      <c r="K790" t="s">
        <v>78</v>
      </c>
      <c r="L790" t="s">
        <v>137</v>
      </c>
      <c r="M790" t="s">
        <v>138</v>
      </c>
      <c r="N790" t="s">
        <v>1073</v>
      </c>
      <c r="O790" t="s">
        <v>82</v>
      </c>
      <c r="P790" t="str">
        <f>"4170053322                    "</f>
        <v xml:space="preserve">4170053322                    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23.09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1</v>
      </c>
      <c r="BI790">
        <v>1</v>
      </c>
      <c r="BJ790">
        <v>0.2</v>
      </c>
      <c r="BK790">
        <v>1</v>
      </c>
      <c r="BL790">
        <v>71.69</v>
      </c>
      <c r="BM790">
        <v>10.75</v>
      </c>
      <c r="BN790">
        <v>82.44</v>
      </c>
      <c r="BO790">
        <v>82.44</v>
      </c>
      <c r="BQ790" t="s">
        <v>1074</v>
      </c>
      <c r="BR790" t="s">
        <v>84</v>
      </c>
      <c r="BS790" s="3">
        <v>45876</v>
      </c>
      <c r="BT790" s="4">
        <v>0.5</v>
      </c>
      <c r="BU790" t="s">
        <v>389</v>
      </c>
      <c r="BV790" t="s">
        <v>86</v>
      </c>
      <c r="BY790">
        <v>1200</v>
      </c>
      <c r="BZ790" t="s">
        <v>330</v>
      </c>
      <c r="CC790" t="s">
        <v>138</v>
      </c>
      <c r="CD790">
        <v>3610</v>
      </c>
      <c r="CE790" t="s">
        <v>597</v>
      </c>
      <c r="CF790" s="3">
        <v>45876</v>
      </c>
      <c r="CI790">
        <v>1</v>
      </c>
      <c r="CJ790">
        <v>1</v>
      </c>
      <c r="CK790">
        <v>21</v>
      </c>
      <c r="CL790" t="s">
        <v>90</v>
      </c>
    </row>
    <row r="791" spans="1:90" x14ac:dyDescent="0.3">
      <c r="A791" t="s">
        <v>72</v>
      </c>
      <c r="B791" t="s">
        <v>73</v>
      </c>
      <c r="C791" t="s">
        <v>74</v>
      </c>
      <c r="E791" t="str">
        <f>"080067064973"</f>
        <v>080067064973</v>
      </c>
      <c r="F791" s="3">
        <v>45875</v>
      </c>
      <c r="G791">
        <v>202605</v>
      </c>
      <c r="H791" t="s">
        <v>75</v>
      </c>
      <c r="I791" t="s">
        <v>76</v>
      </c>
      <c r="J791" t="s">
        <v>77</v>
      </c>
      <c r="K791" t="s">
        <v>78</v>
      </c>
      <c r="L791" t="s">
        <v>137</v>
      </c>
      <c r="M791" t="s">
        <v>138</v>
      </c>
      <c r="N791" t="s">
        <v>1073</v>
      </c>
      <c r="O791" t="s">
        <v>82</v>
      </c>
      <c r="P791" t="str">
        <f>"4170053226                    "</f>
        <v xml:space="preserve">4170053226                    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23.09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1</v>
      </c>
      <c r="BI791">
        <v>1</v>
      </c>
      <c r="BJ791">
        <v>0.2</v>
      </c>
      <c r="BK791">
        <v>1</v>
      </c>
      <c r="BL791">
        <v>71.69</v>
      </c>
      <c r="BM791">
        <v>10.75</v>
      </c>
      <c r="BN791">
        <v>82.44</v>
      </c>
      <c r="BO791">
        <v>82.44</v>
      </c>
      <c r="BQ791" t="s">
        <v>1074</v>
      </c>
      <c r="BR791" t="s">
        <v>84</v>
      </c>
      <c r="BS791" s="3">
        <v>45876</v>
      </c>
      <c r="BT791" s="4">
        <v>0.48958333333333331</v>
      </c>
      <c r="BU791" t="s">
        <v>1310</v>
      </c>
      <c r="BV791" t="s">
        <v>86</v>
      </c>
      <c r="BY791">
        <v>1200</v>
      </c>
      <c r="BZ791" t="s">
        <v>330</v>
      </c>
      <c r="CA791" t="s">
        <v>953</v>
      </c>
      <c r="CC791" t="s">
        <v>138</v>
      </c>
      <c r="CD791">
        <v>3610</v>
      </c>
      <c r="CE791" t="s">
        <v>597</v>
      </c>
      <c r="CF791" s="3">
        <v>45876</v>
      </c>
      <c r="CI791">
        <v>1</v>
      </c>
      <c r="CJ791">
        <v>1</v>
      </c>
      <c r="CK791">
        <v>21</v>
      </c>
      <c r="CL791" t="s">
        <v>90</v>
      </c>
    </row>
    <row r="792" spans="1:90" x14ac:dyDescent="0.3">
      <c r="A792" t="s">
        <v>72</v>
      </c>
      <c r="B792" t="s">
        <v>73</v>
      </c>
      <c r="C792" t="s">
        <v>74</v>
      </c>
      <c r="E792" t="str">
        <f>"080067064987"</f>
        <v>080067064987</v>
      </c>
      <c r="F792" s="3">
        <v>45875</v>
      </c>
      <c r="G792">
        <v>202605</v>
      </c>
      <c r="H792" t="s">
        <v>75</v>
      </c>
      <c r="I792" t="s">
        <v>76</v>
      </c>
      <c r="J792" t="s">
        <v>77</v>
      </c>
      <c r="K792" t="s">
        <v>78</v>
      </c>
      <c r="L792" t="s">
        <v>137</v>
      </c>
      <c r="M792" t="s">
        <v>138</v>
      </c>
      <c r="N792" t="s">
        <v>1073</v>
      </c>
      <c r="O792" t="s">
        <v>82</v>
      </c>
      <c r="P792" t="str">
        <f>"4170053223                    "</f>
        <v xml:space="preserve">4170053223                    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23.09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0</v>
      </c>
      <c r="BG792">
        <v>0</v>
      </c>
      <c r="BH792">
        <v>1</v>
      </c>
      <c r="BI792">
        <v>1</v>
      </c>
      <c r="BJ792">
        <v>0.2</v>
      </c>
      <c r="BK792">
        <v>1</v>
      </c>
      <c r="BL792">
        <v>71.69</v>
      </c>
      <c r="BM792">
        <v>10.75</v>
      </c>
      <c r="BN792">
        <v>82.44</v>
      </c>
      <c r="BO792">
        <v>82.44</v>
      </c>
      <c r="BQ792" t="s">
        <v>1074</v>
      </c>
      <c r="BR792" t="s">
        <v>84</v>
      </c>
      <c r="BS792" s="3">
        <v>45876</v>
      </c>
      <c r="BT792" s="4">
        <v>0.50208333333333333</v>
      </c>
      <c r="BU792" t="s">
        <v>1310</v>
      </c>
      <c r="BV792" t="s">
        <v>86</v>
      </c>
      <c r="BY792">
        <v>1200</v>
      </c>
      <c r="BZ792" t="s">
        <v>330</v>
      </c>
      <c r="CA792" t="s">
        <v>953</v>
      </c>
      <c r="CC792" t="s">
        <v>138</v>
      </c>
      <c r="CD792">
        <v>3610</v>
      </c>
      <c r="CE792" t="s">
        <v>597</v>
      </c>
      <c r="CF792" s="3">
        <v>45876</v>
      </c>
      <c r="CI792">
        <v>1</v>
      </c>
      <c r="CJ792">
        <v>1</v>
      </c>
      <c r="CK792">
        <v>21</v>
      </c>
      <c r="CL792" t="s">
        <v>90</v>
      </c>
    </row>
    <row r="793" spans="1:90" x14ac:dyDescent="0.3">
      <c r="A793" t="s">
        <v>72</v>
      </c>
      <c r="B793" t="s">
        <v>73</v>
      </c>
      <c r="C793" t="s">
        <v>74</v>
      </c>
      <c r="E793" t="str">
        <f>"080067065026"</f>
        <v>080067065026</v>
      </c>
      <c r="F793" s="3">
        <v>45875</v>
      </c>
      <c r="G793">
        <v>202605</v>
      </c>
      <c r="H793" t="s">
        <v>75</v>
      </c>
      <c r="I793" t="s">
        <v>76</v>
      </c>
      <c r="J793" t="s">
        <v>77</v>
      </c>
      <c r="K793" t="s">
        <v>78</v>
      </c>
      <c r="L793" t="s">
        <v>137</v>
      </c>
      <c r="M793" t="s">
        <v>138</v>
      </c>
      <c r="N793" t="s">
        <v>1073</v>
      </c>
      <c r="O793" t="s">
        <v>82</v>
      </c>
      <c r="P793" t="str">
        <f>"4170053229                    "</f>
        <v xml:space="preserve">4170053229                    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23.09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1</v>
      </c>
      <c r="BI793">
        <v>1</v>
      </c>
      <c r="BJ793">
        <v>0.2</v>
      </c>
      <c r="BK793">
        <v>1</v>
      </c>
      <c r="BL793">
        <v>71.69</v>
      </c>
      <c r="BM793">
        <v>10.75</v>
      </c>
      <c r="BN793">
        <v>82.44</v>
      </c>
      <c r="BO793">
        <v>82.44</v>
      </c>
      <c r="BQ793" t="s">
        <v>1074</v>
      </c>
      <c r="BR793" t="s">
        <v>84</v>
      </c>
      <c r="BS793" s="3">
        <v>45876</v>
      </c>
      <c r="BT793" s="4">
        <v>0.5083333333333333</v>
      </c>
      <c r="BU793" t="s">
        <v>1310</v>
      </c>
      <c r="BV793" t="s">
        <v>86</v>
      </c>
      <c r="BY793">
        <v>1200</v>
      </c>
      <c r="BZ793" t="s">
        <v>330</v>
      </c>
      <c r="CA793" t="s">
        <v>953</v>
      </c>
      <c r="CC793" t="s">
        <v>138</v>
      </c>
      <c r="CD793">
        <v>3610</v>
      </c>
      <c r="CE793" t="s">
        <v>597</v>
      </c>
      <c r="CF793" s="3">
        <v>45876</v>
      </c>
      <c r="CI793">
        <v>1</v>
      </c>
      <c r="CJ793">
        <v>1</v>
      </c>
      <c r="CK793">
        <v>21</v>
      </c>
      <c r="CL793" t="s">
        <v>90</v>
      </c>
    </row>
    <row r="794" spans="1:90" x14ac:dyDescent="0.3">
      <c r="A794" t="s">
        <v>72</v>
      </c>
      <c r="B794" t="s">
        <v>73</v>
      </c>
      <c r="C794" t="s">
        <v>74</v>
      </c>
      <c r="E794" t="str">
        <f>"R080067027765"</f>
        <v>R080067027765</v>
      </c>
      <c r="F794" s="3">
        <v>45876</v>
      </c>
      <c r="G794">
        <v>202605</v>
      </c>
      <c r="H794" t="s">
        <v>217</v>
      </c>
      <c r="I794" t="s">
        <v>218</v>
      </c>
      <c r="J794" t="s">
        <v>1104</v>
      </c>
      <c r="K794" t="s">
        <v>78</v>
      </c>
      <c r="L794" t="s">
        <v>137</v>
      </c>
      <c r="M794" t="s">
        <v>138</v>
      </c>
      <c r="N794" t="s">
        <v>1104</v>
      </c>
      <c r="O794" t="s">
        <v>95</v>
      </c>
      <c r="P794" t="str">
        <f>"4170052898                    "</f>
        <v xml:space="preserve">4170052898                    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34.450000000000003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1</v>
      </c>
      <c r="BI794">
        <v>1</v>
      </c>
      <c r="BJ794">
        <v>0.2</v>
      </c>
      <c r="BK794">
        <v>1</v>
      </c>
      <c r="BL794">
        <v>112.84</v>
      </c>
      <c r="BM794">
        <v>16.93</v>
      </c>
      <c r="BN794">
        <v>129.77000000000001</v>
      </c>
      <c r="BO794">
        <v>129.77000000000001</v>
      </c>
      <c r="BQ794" t="s">
        <v>1564</v>
      </c>
      <c r="BR794" t="s">
        <v>1105</v>
      </c>
      <c r="BS794" s="3">
        <v>45876</v>
      </c>
      <c r="BT794" s="4">
        <v>0.41180555555555554</v>
      </c>
      <c r="BU794" t="s">
        <v>1565</v>
      </c>
      <c r="BV794" t="s">
        <v>86</v>
      </c>
      <c r="BY794">
        <v>1200</v>
      </c>
      <c r="BZ794" t="s">
        <v>100</v>
      </c>
      <c r="CA794" t="s">
        <v>264</v>
      </c>
      <c r="CC794" t="s">
        <v>138</v>
      </c>
      <c r="CD794">
        <v>3610</v>
      </c>
      <c r="CE794" t="s">
        <v>109</v>
      </c>
      <c r="CF794" s="3">
        <v>45877</v>
      </c>
      <c r="CI794">
        <v>1</v>
      </c>
      <c r="CJ794">
        <v>0</v>
      </c>
      <c r="CK794">
        <v>42</v>
      </c>
      <c r="CL794" t="s">
        <v>90</v>
      </c>
    </row>
    <row r="795" spans="1:90" x14ac:dyDescent="0.3">
      <c r="A795" t="s">
        <v>72</v>
      </c>
      <c r="B795" t="s">
        <v>73</v>
      </c>
      <c r="C795" t="s">
        <v>74</v>
      </c>
      <c r="E795" t="str">
        <f>"080067078839"</f>
        <v>080067078839</v>
      </c>
      <c r="F795" s="3">
        <v>45876</v>
      </c>
      <c r="G795">
        <v>202605</v>
      </c>
      <c r="H795" t="s">
        <v>75</v>
      </c>
      <c r="I795" t="s">
        <v>76</v>
      </c>
      <c r="J795" t="s">
        <v>77</v>
      </c>
      <c r="K795" t="s">
        <v>78</v>
      </c>
      <c r="L795" t="s">
        <v>241</v>
      </c>
      <c r="M795" t="s">
        <v>242</v>
      </c>
      <c r="N795" t="s">
        <v>1566</v>
      </c>
      <c r="O795" t="s">
        <v>113</v>
      </c>
      <c r="P795" t="str">
        <f>"4170053303                    "</f>
        <v xml:space="preserve">4170053303                    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18.04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1</v>
      </c>
      <c r="BI795">
        <v>3</v>
      </c>
      <c r="BJ795">
        <v>4.5</v>
      </c>
      <c r="BK795">
        <v>5</v>
      </c>
      <c r="BL795">
        <v>56.01</v>
      </c>
      <c r="BM795">
        <v>8.4</v>
      </c>
      <c r="BN795">
        <v>64.41</v>
      </c>
      <c r="BO795">
        <v>64.41</v>
      </c>
      <c r="BQ795" t="s">
        <v>1567</v>
      </c>
      <c r="BR795" t="s">
        <v>84</v>
      </c>
      <c r="BS795" s="3">
        <v>45877</v>
      </c>
      <c r="BT795" s="4">
        <v>0.39930555555555558</v>
      </c>
      <c r="BU795" t="s">
        <v>1568</v>
      </c>
      <c r="BV795" t="s">
        <v>86</v>
      </c>
      <c r="BY795">
        <v>22620</v>
      </c>
      <c r="CA795" t="s">
        <v>720</v>
      </c>
      <c r="CC795" t="s">
        <v>242</v>
      </c>
      <c r="CD795">
        <v>1459</v>
      </c>
      <c r="CE795" t="s">
        <v>147</v>
      </c>
      <c r="CF795" s="3">
        <v>45877</v>
      </c>
      <c r="CI795">
        <v>1</v>
      </c>
      <c r="CJ795">
        <v>1</v>
      </c>
      <c r="CK795">
        <v>32</v>
      </c>
      <c r="CL795" t="s">
        <v>90</v>
      </c>
    </row>
    <row r="796" spans="1:90" x14ac:dyDescent="0.3">
      <c r="A796" t="s">
        <v>72</v>
      </c>
      <c r="B796" t="s">
        <v>73</v>
      </c>
      <c r="C796" t="s">
        <v>74</v>
      </c>
      <c r="E796" t="str">
        <f>"080067078866"</f>
        <v>080067078866</v>
      </c>
      <c r="F796" s="3">
        <v>45876</v>
      </c>
      <c r="G796">
        <v>202605</v>
      </c>
      <c r="H796" t="s">
        <v>75</v>
      </c>
      <c r="I796" t="s">
        <v>76</v>
      </c>
      <c r="J796" t="s">
        <v>77</v>
      </c>
      <c r="K796" t="s">
        <v>78</v>
      </c>
      <c r="L796" t="s">
        <v>123</v>
      </c>
      <c r="M796" t="s">
        <v>124</v>
      </c>
      <c r="N796" t="s">
        <v>406</v>
      </c>
      <c r="O796" t="s">
        <v>82</v>
      </c>
      <c r="P796" t="str">
        <f>"4170053205                    "</f>
        <v xml:space="preserve">4170053205                    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23.09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1</v>
      </c>
      <c r="BI796">
        <v>2</v>
      </c>
      <c r="BJ796">
        <v>2</v>
      </c>
      <c r="BK796">
        <v>2</v>
      </c>
      <c r="BL796">
        <v>71.69</v>
      </c>
      <c r="BM796">
        <v>10.75</v>
      </c>
      <c r="BN796">
        <v>82.44</v>
      </c>
      <c r="BO796">
        <v>82.44</v>
      </c>
      <c r="BQ796" t="s">
        <v>407</v>
      </c>
      <c r="BR796" t="s">
        <v>84</v>
      </c>
      <c r="BS796" s="3">
        <v>45877</v>
      </c>
      <c r="BT796" s="4">
        <v>0.4375</v>
      </c>
      <c r="BU796" t="s">
        <v>408</v>
      </c>
      <c r="BV796" t="s">
        <v>86</v>
      </c>
      <c r="BY796">
        <v>10108</v>
      </c>
      <c r="CA796" t="s">
        <v>192</v>
      </c>
      <c r="CC796" t="s">
        <v>124</v>
      </c>
      <c r="CD796">
        <v>7441</v>
      </c>
      <c r="CE796" t="s">
        <v>147</v>
      </c>
      <c r="CF796" s="3">
        <v>45880</v>
      </c>
      <c r="CI796">
        <v>1</v>
      </c>
      <c r="CJ796">
        <v>1</v>
      </c>
      <c r="CK796">
        <v>21</v>
      </c>
      <c r="CL796" t="s">
        <v>90</v>
      </c>
    </row>
    <row r="797" spans="1:90" x14ac:dyDescent="0.3">
      <c r="A797" t="s">
        <v>72</v>
      </c>
      <c r="B797" t="s">
        <v>73</v>
      </c>
      <c r="C797" t="s">
        <v>74</v>
      </c>
      <c r="E797" t="str">
        <f>"080067078909"</f>
        <v>080067078909</v>
      </c>
      <c r="F797" s="3">
        <v>45876</v>
      </c>
      <c r="G797">
        <v>202605</v>
      </c>
      <c r="H797" t="s">
        <v>75</v>
      </c>
      <c r="I797" t="s">
        <v>76</v>
      </c>
      <c r="J797" t="s">
        <v>77</v>
      </c>
      <c r="K797" t="s">
        <v>78</v>
      </c>
      <c r="L797" t="s">
        <v>241</v>
      </c>
      <c r="M797" t="s">
        <v>242</v>
      </c>
      <c r="N797" t="s">
        <v>1566</v>
      </c>
      <c r="O797" t="s">
        <v>82</v>
      </c>
      <c r="P797" t="str">
        <f>"4170053154                    "</f>
        <v xml:space="preserve">4170053154                    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18.03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1</v>
      </c>
      <c r="BI797">
        <v>1</v>
      </c>
      <c r="BJ797">
        <v>0.9</v>
      </c>
      <c r="BK797">
        <v>1</v>
      </c>
      <c r="BL797">
        <v>55.99</v>
      </c>
      <c r="BM797">
        <v>8.4</v>
      </c>
      <c r="BN797">
        <v>64.39</v>
      </c>
      <c r="BO797">
        <v>64.39</v>
      </c>
      <c r="BQ797" t="s">
        <v>1567</v>
      </c>
      <c r="BR797" t="s">
        <v>84</v>
      </c>
      <c r="BS797" s="3">
        <v>45877</v>
      </c>
      <c r="BT797" s="4">
        <v>0.39930555555555558</v>
      </c>
      <c r="BU797" t="s">
        <v>1568</v>
      </c>
      <c r="BV797" t="s">
        <v>86</v>
      </c>
      <c r="BY797">
        <v>4275</v>
      </c>
      <c r="CA797" t="s">
        <v>720</v>
      </c>
      <c r="CC797" t="s">
        <v>242</v>
      </c>
      <c r="CD797">
        <v>1459</v>
      </c>
      <c r="CE797" t="s">
        <v>147</v>
      </c>
      <c r="CF797" s="3">
        <v>45877</v>
      </c>
      <c r="CI797">
        <v>1</v>
      </c>
      <c r="CJ797">
        <v>1</v>
      </c>
      <c r="CK797">
        <v>22</v>
      </c>
      <c r="CL797" t="s">
        <v>90</v>
      </c>
    </row>
    <row r="798" spans="1:90" x14ac:dyDescent="0.3">
      <c r="A798" t="s">
        <v>72</v>
      </c>
      <c r="B798" t="s">
        <v>73</v>
      </c>
      <c r="C798" t="s">
        <v>74</v>
      </c>
      <c r="E798" t="str">
        <f>"080067078916"</f>
        <v>080067078916</v>
      </c>
      <c r="F798" s="3">
        <v>45876</v>
      </c>
      <c r="G798">
        <v>202605</v>
      </c>
      <c r="H798" t="s">
        <v>75</v>
      </c>
      <c r="I798" t="s">
        <v>76</v>
      </c>
      <c r="J798" t="s">
        <v>77</v>
      </c>
      <c r="K798" t="s">
        <v>78</v>
      </c>
      <c r="L798" t="s">
        <v>198</v>
      </c>
      <c r="M798" t="s">
        <v>199</v>
      </c>
      <c r="N798" t="s">
        <v>667</v>
      </c>
      <c r="O798" t="s">
        <v>82</v>
      </c>
      <c r="P798" t="str">
        <f>"4170053394                    "</f>
        <v xml:space="preserve">4170053394                    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23.09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1</v>
      </c>
      <c r="BI798">
        <v>1</v>
      </c>
      <c r="BJ798">
        <v>0.2</v>
      </c>
      <c r="BK798">
        <v>1</v>
      </c>
      <c r="BL798">
        <v>71.69</v>
      </c>
      <c r="BM798">
        <v>10.75</v>
      </c>
      <c r="BN798">
        <v>82.44</v>
      </c>
      <c r="BO798">
        <v>82.44</v>
      </c>
      <c r="BQ798" t="s">
        <v>668</v>
      </c>
      <c r="BR798" t="s">
        <v>84</v>
      </c>
      <c r="BS798" s="3">
        <v>45877</v>
      </c>
      <c r="BT798" s="4">
        <v>0.35833333333333334</v>
      </c>
      <c r="BU798" t="s">
        <v>432</v>
      </c>
      <c r="BV798" t="s">
        <v>86</v>
      </c>
      <c r="BY798">
        <v>1200</v>
      </c>
      <c r="CA798" t="s">
        <v>433</v>
      </c>
      <c r="CC798" t="s">
        <v>199</v>
      </c>
      <c r="CD798">
        <v>6001</v>
      </c>
      <c r="CE798" t="s">
        <v>109</v>
      </c>
      <c r="CF798" s="3">
        <v>45877</v>
      </c>
      <c r="CI798">
        <v>1</v>
      </c>
      <c r="CJ798">
        <v>1</v>
      </c>
      <c r="CK798">
        <v>21</v>
      </c>
      <c r="CL798" t="s">
        <v>90</v>
      </c>
    </row>
    <row r="799" spans="1:90" x14ac:dyDescent="0.3">
      <c r="A799" t="s">
        <v>72</v>
      </c>
      <c r="B799" t="s">
        <v>73</v>
      </c>
      <c r="C799" t="s">
        <v>74</v>
      </c>
      <c r="E799" t="str">
        <f>"080067078990"</f>
        <v>080067078990</v>
      </c>
      <c r="F799" s="3">
        <v>45876</v>
      </c>
      <c r="G799">
        <v>202605</v>
      </c>
      <c r="H799" t="s">
        <v>75</v>
      </c>
      <c r="I799" t="s">
        <v>76</v>
      </c>
      <c r="J799" t="s">
        <v>77</v>
      </c>
      <c r="K799" t="s">
        <v>78</v>
      </c>
      <c r="L799" t="s">
        <v>198</v>
      </c>
      <c r="M799" t="s">
        <v>199</v>
      </c>
      <c r="N799" t="s">
        <v>1070</v>
      </c>
      <c r="O799" t="s">
        <v>82</v>
      </c>
      <c r="P799" t="str">
        <f>"4170053390                    "</f>
        <v xml:space="preserve">4170053390                    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23.09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1</v>
      </c>
      <c r="BJ799">
        <v>0.2</v>
      </c>
      <c r="BK799">
        <v>1</v>
      </c>
      <c r="BL799">
        <v>71.69</v>
      </c>
      <c r="BM799">
        <v>10.75</v>
      </c>
      <c r="BN799">
        <v>82.44</v>
      </c>
      <c r="BO799">
        <v>82.44</v>
      </c>
      <c r="BQ799" t="s">
        <v>1071</v>
      </c>
      <c r="BR799" t="s">
        <v>84</v>
      </c>
      <c r="BS799" s="3">
        <v>45877</v>
      </c>
      <c r="BT799" s="4">
        <v>0.34027777777777779</v>
      </c>
      <c r="BU799" t="s">
        <v>1569</v>
      </c>
      <c r="BV799" t="s">
        <v>86</v>
      </c>
      <c r="BY799">
        <v>1200</v>
      </c>
      <c r="CA799" t="s">
        <v>1570</v>
      </c>
      <c r="CC799" t="s">
        <v>199</v>
      </c>
      <c r="CD799">
        <v>6045</v>
      </c>
      <c r="CE799" t="s">
        <v>109</v>
      </c>
      <c r="CF799" s="3">
        <v>45877</v>
      </c>
      <c r="CI799">
        <v>1</v>
      </c>
      <c r="CJ799">
        <v>1</v>
      </c>
      <c r="CK799">
        <v>21</v>
      </c>
      <c r="CL799" t="s">
        <v>90</v>
      </c>
    </row>
    <row r="800" spans="1:90" x14ac:dyDescent="0.3">
      <c r="A800" t="s">
        <v>72</v>
      </c>
      <c r="B800" t="s">
        <v>73</v>
      </c>
      <c r="C800" t="s">
        <v>74</v>
      </c>
      <c r="E800" t="str">
        <f>"080067079008"</f>
        <v>080067079008</v>
      </c>
      <c r="F800" s="3">
        <v>45876</v>
      </c>
      <c r="G800">
        <v>202605</v>
      </c>
      <c r="H800" t="s">
        <v>75</v>
      </c>
      <c r="I800" t="s">
        <v>76</v>
      </c>
      <c r="J800" t="s">
        <v>77</v>
      </c>
      <c r="K800" t="s">
        <v>78</v>
      </c>
      <c r="L800" t="s">
        <v>217</v>
      </c>
      <c r="M800" t="s">
        <v>218</v>
      </c>
      <c r="N800" t="s">
        <v>544</v>
      </c>
      <c r="O800" t="s">
        <v>82</v>
      </c>
      <c r="P800" t="str">
        <f>"4170053289                    "</f>
        <v xml:space="preserve">4170053289                    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23.09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0</v>
      </c>
      <c r="BG800">
        <v>0</v>
      </c>
      <c r="BH800">
        <v>1</v>
      </c>
      <c r="BI800">
        <v>2</v>
      </c>
      <c r="BJ800">
        <v>0.6</v>
      </c>
      <c r="BK800">
        <v>2</v>
      </c>
      <c r="BL800">
        <v>71.69</v>
      </c>
      <c r="BM800">
        <v>10.75</v>
      </c>
      <c r="BN800">
        <v>82.44</v>
      </c>
      <c r="BO800">
        <v>82.44</v>
      </c>
      <c r="BQ800" t="s">
        <v>545</v>
      </c>
      <c r="BR800" t="s">
        <v>84</v>
      </c>
      <c r="BS800" s="3">
        <v>45877</v>
      </c>
      <c r="BT800" s="4">
        <v>0.50694444444444442</v>
      </c>
      <c r="BU800" t="s">
        <v>1571</v>
      </c>
      <c r="BV800" t="s">
        <v>90</v>
      </c>
      <c r="BW800" t="s">
        <v>134</v>
      </c>
      <c r="BX800" t="s">
        <v>135</v>
      </c>
      <c r="BY800">
        <v>3192</v>
      </c>
      <c r="CA800" t="s">
        <v>953</v>
      </c>
      <c r="CC800" t="s">
        <v>218</v>
      </c>
      <c r="CD800">
        <v>4000</v>
      </c>
      <c r="CE800" t="s">
        <v>147</v>
      </c>
      <c r="CF800" s="3">
        <v>45877</v>
      </c>
      <c r="CI800">
        <v>1</v>
      </c>
      <c r="CJ800">
        <v>1</v>
      </c>
      <c r="CK800">
        <v>21</v>
      </c>
      <c r="CL800" t="s">
        <v>90</v>
      </c>
    </row>
    <row r="801" spans="1:90" x14ac:dyDescent="0.3">
      <c r="A801" t="s">
        <v>72</v>
      </c>
      <c r="B801" t="s">
        <v>73</v>
      </c>
      <c r="C801" t="s">
        <v>74</v>
      </c>
      <c r="E801" t="str">
        <f>"080067079019"</f>
        <v>080067079019</v>
      </c>
      <c r="F801" s="3">
        <v>45876</v>
      </c>
      <c r="G801">
        <v>202605</v>
      </c>
      <c r="H801" t="s">
        <v>75</v>
      </c>
      <c r="I801" t="s">
        <v>76</v>
      </c>
      <c r="J801" t="s">
        <v>77</v>
      </c>
      <c r="K801" t="s">
        <v>78</v>
      </c>
      <c r="L801" t="s">
        <v>278</v>
      </c>
      <c r="M801" t="s">
        <v>279</v>
      </c>
      <c r="N801" t="s">
        <v>1199</v>
      </c>
      <c r="O801" t="s">
        <v>82</v>
      </c>
      <c r="P801" t="str">
        <f>"4170053346                    "</f>
        <v xml:space="preserve">4170053346                    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23.09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1</v>
      </c>
      <c r="BI801">
        <v>1</v>
      </c>
      <c r="BJ801">
        <v>0.2</v>
      </c>
      <c r="BK801">
        <v>1</v>
      </c>
      <c r="BL801">
        <v>71.69</v>
      </c>
      <c r="BM801">
        <v>10.75</v>
      </c>
      <c r="BN801">
        <v>82.44</v>
      </c>
      <c r="BO801">
        <v>82.44</v>
      </c>
      <c r="BQ801" t="s">
        <v>1200</v>
      </c>
      <c r="BR801" t="s">
        <v>84</v>
      </c>
      <c r="BS801" s="3">
        <v>45877</v>
      </c>
      <c r="BT801" s="4">
        <v>0.39166666666666666</v>
      </c>
      <c r="BU801" t="s">
        <v>1572</v>
      </c>
      <c r="BV801" t="s">
        <v>86</v>
      </c>
      <c r="BY801">
        <v>1200</v>
      </c>
      <c r="CA801" t="s">
        <v>239</v>
      </c>
      <c r="CC801" t="s">
        <v>279</v>
      </c>
      <c r="CD801" s="5" t="s">
        <v>289</v>
      </c>
      <c r="CE801" t="s">
        <v>109</v>
      </c>
      <c r="CF801" s="3">
        <v>45877</v>
      </c>
      <c r="CI801">
        <v>1</v>
      </c>
      <c r="CJ801">
        <v>1</v>
      </c>
      <c r="CK801">
        <v>21</v>
      </c>
      <c r="CL801" t="s">
        <v>90</v>
      </c>
    </row>
    <row r="802" spans="1:90" x14ac:dyDescent="0.3">
      <c r="A802" t="s">
        <v>72</v>
      </c>
      <c r="B802" t="s">
        <v>73</v>
      </c>
      <c r="C802" t="s">
        <v>74</v>
      </c>
      <c r="E802" t="str">
        <f>"080067079046"</f>
        <v>080067079046</v>
      </c>
      <c r="F802" s="3">
        <v>45876</v>
      </c>
      <c r="G802">
        <v>202605</v>
      </c>
      <c r="H802" t="s">
        <v>75</v>
      </c>
      <c r="I802" t="s">
        <v>76</v>
      </c>
      <c r="J802" t="s">
        <v>77</v>
      </c>
      <c r="K802" t="s">
        <v>78</v>
      </c>
      <c r="L802" t="s">
        <v>373</v>
      </c>
      <c r="M802" t="s">
        <v>374</v>
      </c>
      <c r="N802" t="s">
        <v>1084</v>
      </c>
      <c r="O802" t="s">
        <v>82</v>
      </c>
      <c r="P802" t="str">
        <f>"4170053053                    "</f>
        <v xml:space="preserve">4170053053                    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23.09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1</v>
      </c>
      <c r="BI802">
        <v>1</v>
      </c>
      <c r="BJ802">
        <v>0.2</v>
      </c>
      <c r="BK802">
        <v>1</v>
      </c>
      <c r="BL802">
        <v>71.69</v>
      </c>
      <c r="BM802">
        <v>10.75</v>
      </c>
      <c r="BN802">
        <v>82.44</v>
      </c>
      <c r="BO802">
        <v>82.44</v>
      </c>
      <c r="BQ802" t="s">
        <v>1085</v>
      </c>
      <c r="BR802" t="s">
        <v>84</v>
      </c>
      <c r="BS802" s="3">
        <v>45877</v>
      </c>
      <c r="BT802" s="4">
        <v>0.4375</v>
      </c>
      <c r="BU802" t="s">
        <v>1312</v>
      </c>
      <c r="BV802" t="s">
        <v>86</v>
      </c>
      <c r="BY802">
        <v>1200</v>
      </c>
      <c r="CA802" t="s">
        <v>203</v>
      </c>
      <c r="CC802" t="s">
        <v>374</v>
      </c>
      <c r="CD802">
        <v>6220</v>
      </c>
      <c r="CE802" t="s">
        <v>109</v>
      </c>
      <c r="CF802" s="3">
        <v>45877</v>
      </c>
      <c r="CI802">
        <v>1</v>
      </c>
      <c r="CJ802">
        <v>1</v>
      </c>
      <c r="CK802">
        <v>21</v>
      </c>
      <c r="CL802" t="s">
        <v>90</v>
      </c>
    </row>
    <row r="803" spans="1:90" x14ac:dyDescent="0.3">
      <c r="A803" t="s">
        <v>72</v>
      </c>
      <c r="B803" t="s">
        <v>73</v>
      </c>
      <c r="C803" t="s">
        <v>74</v>
      </c>
      <c r="E803" t="str">
        <f>"080067079049"</f>
        <v>080067079049</v>
      </c>
      <c r="F803" s="3">
        <v>45876</v>
      </c>
      <c r="G803">
        <v>202605</v>
      </c>
      <c r="H803" t="s">
        <v>75</v>
      </c>
      <c r="I803" t="s">
        <v>76</v>
      </c>
      <c r="J803" t="s">
        <v>77</v>
      </c>
      <c r="K803" t="s">
        <v>78</v>
      </c>
      <c r="L803" t="s">
        <v>123</v>
      </c>
      <c r="M803" t="s">
        <v>124</v>
      </c>
      <c r="N803" t="s">
        <v>406</v>
      </c>
      <c r="O803" t="s">
        <v>82</v>
      </c>
      <c r="P803" t="str">
        <f>"4170053173                    "</f>
        <v xml:space="preserve">4170053173                    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80.75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1</v>
      </c>
      <c r="BI803">
        <v>7</v>
      </c>
      <c r="BJ803">
        <v>3.4</v>
      </c>
      <c r="BK803">
        <v>7</v>
      </c>
      <c r="BL803">
        <v>250.75</v>
      </c>
      <c r="BM803">
        <v>37.61</v>
      </c>
      <c r="BN803">
        <v>288.36</v>
      </c>
      <c r="BO803">
        <v>288.36</v>
      </c>
      <c r="BQ803" t="s">
        <v>407</v>
      </c>
      <c r="BR803" t="s">
        <v>84</v>
      </c>
      <c r="BS803" s="3">
        <v>45877</v>
      </c>
      <c r="BT803" s="4">
        <v>0.4375</v>
      </c>
      <c r="BU803" t="s">
        <v>408</v>
      </c>
      <c r="BV803" t="s">
        <v>86</v>
      </c>
      <c r="BY803">
        <v>16965</v>
      </c>
      <c r="CA803" t="s">
        <v>192</v>
      </c>
      <c r="CC803" t="s">
        <v>124</v>
      </c>
      <c r="CD803">
        <v>7441</v>
      </c>
      <c r="CE803" t="s">
        <v>147</v>
      </c>
      <c r="CF803" s="3">
        <v>45880</v>
      </c>
      <c r="CI803">
        <v>1</v>
      </c>
      <c r="CJ803">
        <v>1</v>
      </c>
      <c r="CK803">
        <v>21</v>
      </c>
      <c r="CL803" t="s">
        <v>90</v>
      </c>
    </row>
    <row r="804" spans="1:90" x14ac:dyDescent="0.3">
      <c r="A804" t="s">
        <v>72</v>
      </c>
      <c r="B804" t="s">
        <v>73</v>
      </c>
      <c r="C804" t="s">
        <v>74</v>
      </c>
      <c r="E804" t="str">
        <f>"080067079096"</f>
        <v>080067079096</v>
      </c>
      <c r="F804" s="3">
        <v>45876</v>
      </c>
      <c r="G804">
        <v>202605</v>
      </c>
      <c r="H804" t="s">
        <v>75</v>
      </c>
      <c r="I804" t="s">
        <v>76</v>
      </c>
      <c r="J804" t="s">
        <v>77</v>
      </c>
      <c r="K804" t="s">
        <v>78</v>
      </c>
      <c r="L804" t="s">
        <v>217</v>
      </c>
      <c r="M804" t="s">
        <v>218</v>
      </c>
      <c r="N804" t="s">
        <v>249</v>
      </c>
      <c r="O804" t="s">
        <v>82</v>
      </c>
      <c r="P804" t="str">
        <f>"4170053351                    "</f>
        <v xml:space="preserve">4170053351                    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40.380000000000003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1</v>
      </c>
      <c r="BI804">
        <v>3</v>
      </c>
      <c r="BJ804">
        <v>3.4</v>
      </c>
      <c r="BK804">
        <v>3.5</v>
      </c>
      <c r="BL804">
        <v>125.4</v>
      </c>
      <c r="BM804">
        <v>18.809999999999999</v>
      </c>
      <c r="BN804">
        <v>144.21</v>
      </c>
      <c r="BO804">
        <v>144.21</v>
      </c>
      <c r="BQ804" t="s">
        <v>250</v>
      </c>
      <c r="BR804" t="s">
        <v>84</v>
      </c>
      <c r="BS804" s="3">
        <v>45877</v>
      </c>
      <c r="BT804" s="4">
        <v>0.5493055555555556</v>
      </c>
      <c r="BU804" t="s">
        <v>787</v>
      </c>
      <c r="BV804" t="s">
        <v>90</v>
      </c>
      <c r="BW804" t="s">
        <v>134</v>
      </c>
      <c r="BX804" t="s">
        <v>1573</v>
      </c>
      <c r="BY804">
        <v>16965</v>
      </c>
      <c r="CA804" t="s">
        <v>136</v>
      </c>
      <c r="CC804" t="s">
        <v>218</v>
      </c>
      <c r="CD804">
        <v>4052</v>
      </c>
      <c r="CE804" t="s">
        <v>147</v>
      </c>
      <c r="CF804" s="3">
        <v>45877</v>
      </c>
      <c r="CI804">
        <v>1</v>
      </c>
      <c r="CJ804">
        <v>1</v>
      </c>
      <c r="CK804">
        <v>21</v>
      </c>
      <c r="CL804" t="s">
        <v>90</v>
      </c>
    </row>
    <row r="805" spans="1:90" x14ac:dyDescent="0.3">
      <c r="A805" t="s">
        <v>72</v>
      </c>
      <c r="B805" t="s">
        <v>73</v>
      </c>
      <c r="C805" t="s">
        <v>74</v>
      </c>
      <c r="E805" t="str">
        <f>"080067079090"</f>
        <v>080067079090</v>
      </c>
      <c r="F805" s="3">
        <v>45876</v>
      </c>
      <c r="G805">
        <v>202605</v>
      </c>
      <c r="H805" t="s">
        <v>75</v>
      </c>
      <c r="I805" t="s">
        <v>76</v>
      </c>
      <c r="J805" t="s">
        <v>77</v>
      </c>
      <c r="K805" t="s">
        <v>78</v>
      </c>
      <c r="L805" t="s">
        <v>314</v>
      </c>
      <c r="M805" t="s">
        <v>314</v>
      </c>
      <c r="N805" t="s">
        <v>1574</v>
      </c>
      <c r="O805" t="s">
        <v>82</v>
      </c>
      <c r="P805" t="str">
        <f>"4170053199                    "</f>
        <v xml:space="preserve">4170053199                    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32.47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1</v>
      </c>
      <c r="BI805">
        <v>1</v>
      </c>
      <c r="BJ805">
        <v>0.2</v>
      </c>
      <c r="BK805">
        <v>1</v>
      </c>
      <c r="BL805">
        <v>100.82</v>
      </c>
      <c r="BM805">
        <v>15.12</v>
      </c>
      <c r="BN805">
        <v>115.94</v>
      </c>
      <c r="BO805">
        <v>115.94</v>
      </c>
      <c r="BQ805" t="s">
        <v>1575</v>
      </c>
      <c r="BR805" t="s">
        <v>84</v>
      </c>
      <c r="BS805" s="3">
        <v>45877</v>
      </c>
      <c r="BT805" s="4">
        <v>0.375</v>
      </c>
      <c r="BU805" t="s">
        <v>317</v>
      </c>
      <c r="BV805" t="s">
        <v>86</v>
      </c>
      <c r="BY805">
        <v>1200</v>
      </c>
      <c r="CA805" t="s">
        <v>1125</v>
      </c>
      <c r="CC805" t="s">
        <v>314</v>
      </c>
      <c r="CD805">
        <v>1490</v>
      </c>
      <c r="CE805" t="s">
        <v>109</v>
      </c>
      <c r="CF805" s="3">
        <v>45878</v>
      </c>
      <c r="CI805">
        <v>1</v>
      </c>
      <c r="CJ805">
        <v>1</v>
      </c>
      <c r="CK805">
        <v>24</v>
      </c>
      <c r="CL805" t="s">
        <v>90</v>
      </c>
    </row>
    <row r="806" spans="1:90" x14ac:dyDescent="0.3">
      <c r="A806" t="s">
        <v>72</v>
      </c>
      <c r="B806" t="s">
        <v>73</v>
      </c>
      <c r="C806" t="s">
        <v>74</v>
      </c>
      <c r="E806" t="str">
        <f>"080067079151"</f>
        <v>080067079151</v>
      </c>
      <c r="F806" s="3">
        <v>45876</v>
      </c>
      <c r="G806">
        <v>202605</v>
      </c>
      <c r="H806" t="s">
        <v>75</v>
      </c>
      <c r="I806" t="s">
        <v>76</v>
      </c>
      <c r="J806" t="s">
        <v>77</v>
      </c>
      <c r="K806" t="s">
        <v>78</v>
      </c>
      <c r="L806" t="s">
        <v>400</v>
      </c>
      <c r="M806" t="s">
        <v>401</v>
      </c>
      <c r="N806" t="s">
        <v>932</v>
      </c>
      <c r="O806" t="s">
        <v>82</v>
      </c>
      <c r="P806" t="str">
        <f>"4170053387                    "</f>
        <v xml:space="preserve">4170053387                    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23.09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1</v>
      </c>
      <c r="BI806">
        <v>1</v>
      </c>
      <c r="BJ806">
        <v>0.2</v>
      </c>
      <c r="BK806">
        <v>1</v>
      </c>
      <c r="BL806">
        <v>71.69</v>
      </c>
      <c r="BM806">
        <v>10.75</v>
      </c>
      <c r="BN806">
        <v>82.44</v>
      </c>
      <c r="BO806">
        <v>82.44</v>
      </c>
      <c r="BQ806" t="s">
        <v>933</v>
      </c>
      <c r="BR806" t="s">
        <v>84</v>
      </c>
      <c r="BS806" s="3">
        <v>45877</v>
      </c>
      <c r="BT806" s="4">
        <v>0.33333333333333331</v>
      </c>
      <c r="BU806" t="s">
        <v>1503</v>
      </c>
      <c r="BV806" t="s">
        <v>86</v>
      </c>
      <c r="BY806">
        <v>1200</v>
      </c>
      <c r="CA806" t="s">
        <v>405</v>
      </c>
      <c r="CC806" t="s">
        <v>401</v>
      </c>
      <c r="CD806">
        <v>6230</v>
      </c>
      <c r="CE806" t="s">
        <v>109</v>
      </c>
      <c r="CF806" s="3">
        <v>45877</v>
      </c>
      <c r="CI806">
        <v>1</v>
      </c>
      <c r="CJ806">
        <v>1</v>
      </c>
      <c r="CK806">
        <v>21</v>
      </c>
      <c r="CL806" t="s">
        <v>90</v>
      </c>
    </row>
    <row r="807" spans="1:90" x14ac:dyDescent="0.3">
      <c r="A807" t="s">
        <v>72</v>
      </c>
      <c r="B807" t="s">
        <v>73</v>
      </c>
      <c r="C807" t="s">
        <v>74</v>
      </c>
      <c r="E807" t="str">
        <f>"080067079172"</f>
        <v>080067079172</v>
      </c>
      <c r="F807" s="3">
        <v>45876</v>
      </c>
      <c r="G807">
        <v>202605</v>
      </c>
      <c r="H807" t="s">
        <v>75</v>
      </c>
      <c r="I807" t="s">
        <v>76</v>
      </c>
      <c r="J807" t="s">
        <v>77</v>
      </c>
      <c r="K807" t="s">
        <v>78</v>
      </c>
      <c r="L807" t="s">
        <v>123</v>
      </c>
      <c r="M807" t="s">
        <v>124</v>
      </c>
      <c r="N807" t="s">
        <v>1321</v>
      </c>
      <c r="O807" t="s">
        <v>82</v>
      </c>
      <c r="P807" t="str">
        <f>"4170053376                    "</f>
        <v xml:space="preserve">4170053376                    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57.68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1</v>
      </c>
      <c r="BI807">
        <v>5</v>
      </c>
      <c r="BJ807">
        <v>3.4</v>
      </c>
      <c r="BK807">
        <v>5</v>
      </c>
      <c r="BL807">
        <v>179.12</v>
      </c>
      <c r="BM807">
        <v>26.87</v>
      </c>
      <c r="BN807">
        <v>205.99</v>
      </c>
      <c r="BO807">
        <v>205.99</v>
      </c>
      <c r="BQ807" t="s">
        <v>1322</v>
      </c>
      <c r="BR807" t="s">
        <v>84</v>
      </c>
      <c r="BS807" s="3">
        <v>45877</v>
      </c>
      <c r="BT807" s="4">
        <v>0.35625000000000001</v>
      </c>
      <c r="BU807" t="s">
        <v>1323</v>
      </c>
      <c r="BV807" t="s">
        <v>86</v>
      </c>
      <c r="BY807">
        <v>16965</v>
      </c>
      <c r="CA807" t="s">
        <v>128</v>
      </c>
      <c r="CC807" t="s">
        <v>124</v>
      </c>
      <c r="CD807">
        <v>7530</v>
      </c>
      <c r="CE807" t="s">
        <v>147</v>
      </c>
      <c r="CF807" s="3">
        <v>45880</v>
      </c>
      <c r="CI807">
        <v>1</v>
      </c>
      <c r="CJ807">
        <v>1</v>
      </c>
      <c r="CK807">
        <v>21</v>
      </c>
      <c r="CL807" t="s">
        <v>90</v>
      </c>
    </row>
    <row r="808" spans="1:90" x14ac:dyDescent="0.3">
      <c r="A808" t="s">
        <v>72</v>
      </c>
      <c r="B808" t="s">
        <v>73</v>
      </c>
      <c r="C808" t="s">
        <v>74</v>
      </c>
      <c r="E808" t="str">
        <f>"080067079207"</f>
        <v>080067079207</v>
      </c>
      <c r="F808" s="3">
        <v>45876</v>
      </c>
      <c r="G808">
        <v>202605</v>
      </c>
      <c r="H808" t="s">
        <v>75</v>
      </c>
      <c r="I808" t="s">
        <v>76</v>
      </c>
      <c r="J808" t="s">
        <v>77</v>
      </c>
      <c r="K808" t="s">
        <v>78</v>
      </c>
      <c r="L808" t="s">
        <v>123</v>
      </c>
      <c r="M808" t="s">
        <v>124</v>
      </c>
      <c r="N808" t="s">
        <v>406</v>
      </c>
      <c r="O808" t="s">
        <v>82</v>
      </c>
      <c r="P808" t="str">
        <f>"4170053201                    "</f>
        <v xml:space="preserve">4170053201                    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23.09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1</v>
      </c>
      <c r="BI808">
        <v>1</v>
      </c>
      <c r="BJ808">
        <v>0.2</v>
      </c>
      <c r="BK808">
        <v>1</v>
      </c>
      <c r="BL808">
        <v>71.69</v>
      </c>
      <c r="BM808">
        <v>10.75</v>
      </c>
      <c r="BN808">
        <v>82.44</v>
      </c>
      <c r="BO808">
        <v>82.44</v>
      </c>
      <c r="BQ808" t="s">
        <v>407</v>
      </c>
      <c r="BR808" t="s">
        <v>84</v>
      </c>
      <c r="BS808" s="3">
        <v>45877</v>
      </c>
      <c r="BT808" s="4">
        <v>0.4375</v>
      </c>
      <c r="BU808" t="s">
        <v>408</v>
      </c>
      <c r="BV808" t="s">
        <v>86</v>
      </c>
      <c r="BY808">
        <v>1200</v>
      </c>
      <c r="CA808" t="s">
        <v>192</v>
      </c>
      <c r="CC808" t="s">
        <v>124</v>
      </c>
      <c r="CD808">
        <v>7441</v>
      </c>
      <c r="CE808" t="s">
        <v>109</v>
      </c>
      <c r="CF808" s="3">
        <v>45880</v>
      </c>
      <c r="CI808">
        <v>1</v>
      </c>
      <c r="CJ808">
        <v>1</v>
      </c>
      <c r="CK808">
        <v>21</v>
      </c>
      <c r="CL808" t="s">
        <v>90</v>
      </c>
    </row>
    <row r="809" spans="1:90" x14ac:dyDescent="0.3">
      <c r="A809" t="s">
        <v>72</v>
      </c>
      <c r="B809" t="s">
        <v>73</v>
      </c>
      <c r="C809" t="s">
        <v>74</v>
      </c>
      <c r="E809" t="str">
        <f>"080067079233"</f>
        <v>080067079233</v>
      </c>
      <c r="F809" s="3">
        <v>45876</v>
      </c>
      <c r="G809">
        <v>202605</v>
      </c>
      <c r="H809" t="s">
        <v>75</v>
      </c>
      <c r="I809" t="s">
        <v>76</v>
      </c>
      <c r="J809" t="s">
        <v>77</v>
      </c>
      <c r="K809" t="s">
        <v>78</v>
      </c>
      <c r="L809" t="s">
        <v>278</v>
      </c>
      <c r="M809" t="s">
        <v>279</v>
      </c>
      <c r="N809" t="s">
        <v>131</v>
      </c>
      <c r="O809" t="s">
        <v>82</v>
      </c>
      <c r="P809" t="str">
        <f>"4170053400                    "</f>
        <v xml:space="preserve">4170053400                    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23.09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1</v>
      </c>
      <c r="BI809">
        <v>2</v>
      </c>
      <c r="BJ809">
        <v>0.9</v>
      </c>
      <c r="BK809">
        <v>2</v>
      </c>
      <c r="BL809">
        <v>71.69</v>
      </c>
      <c r="BM809">
        <v>10.75</v>
      </c>
      <c r="BN809">
        <v>82.44</v>
      </c>
      <c r="BO809">
        <v>82.44</v>
      </c>
      <c r="BQ809" t="s">
        <v>132</v>
      </c>
      <c r="BR809" t="s">
        <v>84</v>
      </c>
      <c r="BS809" s="3">
        <v>45877</v>
      </c>
      <c r="BT809" s="4">
        <v>0.39027777777777778</v>
      </c>
      <c r="BU809" t="s">
        <v>531</v>
      </c>
      <c r="BV809" t="s">
        <v>86</v>
      </c>
      <c r="BY809">
        <v>4560</v>
      </c>
      <c r="CA809" t="s">
        <v>532</v>
      </c>
      <c r="CC809" t="s">
        <v>279</v>
      </c>
      <c r="CD809" s="5" t="s">
        <v>533</v>
      </c>
      <c r="CE809" t="s">
        <v>147</v>
      </c>
      <c r="CF809" s="3">
        <v>45877</v>
      </c>
      <c r="CI809">
        <v>1</v>
      </c>
      <c r="CJ809">
        <v>1</v>
      </c>
      <c r="CK809">
        <v>21</v>
      </c>
      <c r="CL809" t="s">
        <v>90</v>
      </c>
    </row>
    <row r="810" spans="1:90" x14ac:dyDescent="0.3">
      <c r="A810" t="s">
        <v>72</v>
      </c>
      <c r="B810" t="s">
        <v>73</v>
      </c>
      <c r="C810" t="s">
        <v>74</v>
      </c>
      <c r="E810" t="str">
        <f>"080067079256"</f>
        <v>080067079256</v>
      </c>
      <c r="F810" s="3">
        <v>45876</v>
      </c>
      <c r="G810">
        <v>202605</v>
      </c>
      <c r="H810" t="s">
        <v>75</v>
      </c>
      <c r="I810" t="s">
        <v>76</v>
      </c>
      <c r="J810" t="s">
        <v>77</v>
      </c>
      <c r="K810" t="s">
        <v>78</v>
      </c>
      <c r="L810" t="s">
        <v>198</v>
      </c>
      <c r="M810" t="s">
        <v>199</v>
      </c>
      <c r="N810" t="s">
        <v>1576</v>
      </c>
      <c r="O810" t="s">
        <v>82</v>
      </c>
      <c r="P810" t="str">
        <f>"4170053165                    "</f>
        <v xml:space="preserve">4170053165                    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23.09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1</v>
      </c>
      <c r="BI810">
        <v>1</v>
      </c>
      <c r="BJ810">
        <v>0.2</v>
      </c>
      <c r="BK810">
        <v>1</v>
      </c>
      <c r="BL810">
        <v>71.69</v>
      </c>
      <c r="BM810">
        <v>10.75</v>
      </c>
      <c r="BN810">
        <v>82.44</v>
      </c>
      <c r="BO810">
        <v>82.44</v>
      </c>
      <c r="BQ810" t="s">
        <v>1577</v>
      </c>
      <c r="BR810" t="s">
        <v>84</v>
      </c>
      <c r="BS810" s="3">
        <v>45877</v>
      </c>
      <c r="BT810" s="4">
        <v>0.41388888888888886</v>
      </c>
      <c r="BU810" t="s">
        <v>1578</v>
      </c>
      <c r="BV810" t="s">
        <v>86</v>
      </c>
      <c r="BY810">
        <v>1200</v>
      </c>
      <c r="CA810" t="s">
        <v>203</v>
      </c>
      <c r="CC810" t="s">
        <v>199</v>
      </c>
      <c r="CD810">
        <v>6001</v>
      </c>
      <c r="CE810" t="s">
        <v>109</v>
      </c>
      <c r="CF810" s="3">
        <v>45877</v>
      </c>
      <c r="CI810">
        <v>1</v>
      </c>
      <c r="CJ810">
        <v>1</v>
      </c>
      <c r="CK810">
        <v>21</v>
      </c>
      <c r="CL810" t="s">
        <v>90</v>
      </c>
    </row>
    <row r="811" spans="1:90" x14ac:dyDescent="0.3">
      <c r="A811" t="s">
        <v>72</v>
      </c>
      <c r="B811" t="s">
        <v>73</v>
      </c>
      <c r="C811" t="s">
        <v>74</v>
      </c>
      <c r="E811" t="str">
        <f>"080067079281"</f>
        <v>080067079281</v>
      </c>
      <c r="F811" s="3">
        <v>45876</v>
      </c>
      <c r="G811">
        <v>202605</v>
      </c>
      <c r="H811" t="s">
        <v>75</v>
      </c>
      <c r="I811" t="s">
        <v>76</v>
      </c>
      <c r="J811" t="s">
        <v>77</v>
      </c>
      <c r="K811" t="s">
        <v>78</v>
      </c>
      <c r="L811" t="s">
        <v>123</v>
      </c>
      <c r="M811" t="s">
        <v>124</v>
      </c>
      <c r="N811" t="s">
        <v>189</v>
      </c>
      <c r="O811" t="s">
        <v>82</v>
      </c>
      <c r="P811" t="str">
        <f>"4170053410                    "</f>
        <v xml:space="preserve">4170053410                    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23.09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1</v>
      </c>
      <c r="BI811">
        <v>1</v>
      </c>
      <c r="BJ811">
        <v>0.2</v>
      </c>
      <c r="BK811">
        <v>1</v>
      </c>
      <c r="BL811">
        <v>71.69</v>
      </c>
      <c r="BM811">
        <v>10.75</v>
      </c>
      <c r="BN811">
        <v>82.44</v>
      </c>
      <c r="BO811">
        <v>82.44</v>
      </c>
      <c r="BQ811" t="s">
        <v>190</v>
      </c>
      <c r="BR811" t="s">
        <v>84</v>
      </c>
      <c r="BS811" s="3">
        <v>45877</v>
      </c>
      <c r="BT811" s="4">
        <v>0.42430555555555555</v>
      </c>
      <c r="BU811" t="s">
        <v>1457</v>
      </c>
      <c r="BV811" t="s">
        <v>86</v>
      </c>
      <c r="BY811">
        <v>1200</v>
      </c>
      <c r="CA811" t="s">
        <v>192</v>
      </c>
      <c r="CC811" t="s">
        <v>124</v>
      </c>
      <c r="CD811">
        <v>8001</v>
      </c>
      <c r="CE811" t="s">
        <v>109</v>
      </c>
      <c r="CF811" s="3">
        <v>45880</v>
      </c>
      <c r="CI811">
        <v>1</v>
      </c>
      <c r="CJ811">
        <v>1</v>
      </c>
      <c r="CK811">
        <v>21</v>
      </c>
      <c r="CL811" t="s">
        <v>90</v>
      </c>
    </row>
    <row r="812" spans="1:90" x14ac:dyDescent="0.3">
      <c r="A812" t="s">
        <v>72</v>
      </c>
      <c r="B812" t="s">
        <v>73</v>
      </c>
      <c r="C812" t="s">
        <v>74</v>
      </c>
      <c r="E812" t="str">
        <f>"080067079277"</f>
        <v>080067079277</v>
      </c>
      <c r="F812" s="3">
        <v>45876</v>
      </c>
      <c r="G812">
        <v>202605</v>
      </c>
      <c r="H812" t="s">
        <v>75</v>
      </c>
      <c r="I812" t="s">
        <v>76</v>
      </c>
      <c r="J812" t="s">
        <v>77</v>
      </c>
      <c r="K812" t="s">
        <v>78</v>
      </c>
      <c r="L812" t="s">
        <v>198</v>
      </c>
      <c r="M812" t="s">
        <v>199</v>
      </c>
      <c r="N812" t="s">
        <v>1332</v>
      </c>
      <c r="O812" t="s">
        <v>82</v>
      </c>
      <c r="P812" t="str">
        <f>"4170053399                    "</f>
        <v xml:space="preserve">4170053399                    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46.15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1</v>
      </c>
      <c r="BI812">
        <v>4</v>
      </c>
      <c r="BJ812">
        <v>1.7</v>
      </c>
      <c r="BK812">
        <v>4</v>
      </c>
      <c r="BL812">
        <v>143.31</v>
      </c>
      <c r="BM812">
        <v>21.5</v>
      </c>
      <c r="BN812">
        <v>164.81</v>
      </c>
      <c r="BO812">
        <v>164.81</v>
      </c>
      <c r="BQ812" t="s">
        <v>1333</v>
      </c>
      <c r="BR812" t="s">
        <v>84</v>
      </c>
      <c r="BS812" s="3">
        <v>45877</v>
      </c>
      <c r="BT812" s="4">
        <v>0.43611111111111112</v>
      </c>
      <c r="BU812" t="s">
        <v>404</v>
      </c>
      <c r="BV812" t="s">
        <v>86</v>
      </c>
      <c r="BY812">
        <v>8512</v>
      </c>
      <c r="CA812" t="s">
        <v>413</v>
      </c>
      <c r="CC812" t="s">
        <v>199</v>
      </c>
      <c r="CD812">
        <v>6001</v>
      </c>
      <c r="CE812" t="s">
        <v>147</v>
      </c>
      <c r="CF812" s="3">
        <v>45880</v>
      </c>
      <c r="CI812">
        <v>1</v>
      </c>
      <c r="CJ812">
        <v>1</v>
      </c>
      <c r="CK812">
        <v>21</v>
      </c>
      <c r="CL812" t="s">
        <v>90</v>
      </c>
    </row>
    <row r="813" spans="1:90" x14ac:dyDescent="0.3">
      <c r="A813" t="s">
        <v>72</v>
      </c>
      <c r="B813" t="s">
        <v>73</v>
      </c>
      <c r="C813" t="s">
        <v>74</v>
      </c>
      <c r="E813" t="str">
        <f>"080067079315"</f>
        <v>080067079315</v>
      </c>
      <c r="F813" s="3">
        <v>45876</v>
      </c>
      <c r="G813">
        <v>202605</v>
      </c>
      <c r="H813" t="s">
        <v>75</v>
      </c>
      <c r="I813" t="s">
        <v>76</v>
      </c>
      <c r="J813" t="s">
        <v>77</v>
      </c>
      <c r="K813" t="s">
        <v>78</v>
      </c>
      <c r="L813" t="s">
        <v>123</v>
      </c>
      <c r="M813" t="s">
        <v>124</v>
      </c>
      <c r="N813" t="s">
        <v>406</v>
      </c>
      <c r="O813" t="s">
        <v>82</v>
      </c>
      <c r="P813" t="str">
        <f>"4170053166                    "</f>
        <v xml:space="preserve">4170053166                    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23.09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1</v>
      </c>
      <c r="BI813">
        <v>1</v>
      </c>
      <c r="BJ813">
        <v>0.2</v>
      </c>
      <c r="BK813">
        <v>1</v>
      </c>
      <c r="BL813">
        <v>71.69</v>
      </c>
      <c r="BM813">
        <v>10.75</v>
      </c>
      <c r="BN813">
        <v>82.44</v>
      </c>
      <c r="BO813">
        <v>82.44</v>
      </c>
      <c r="BQ813" t="s">
        <v>407</v>
      </c>
      <c r="BR813" t="s">
        <v>84</v>
      </c>
      <c r="BS813" s="3">
        <v>45877</v>
      </c>
      <c r="BT813" s="4">
        <v>0.4375</v>
      </c>
      <c r="BU813" t="s">
        <v>408</v>
      </c>
      <c r="BV813" t="s">
        <v>86</v>
      </c>
      <c r="BY813">
        <v>1200</v>
      </c>
      <c r="CA813" t="s">
        <v>192</v>
      </c>
      <c r="CC813" t="s">
        <v>124</v>
      </c>
      <c r="CD813">
        <v>7441</v>
      </c>
      <c r="CE813" t="s">
        <v>109</v>
      </c>
      <c r="CF813" s="3">
        <v>45880</v>
      </c>
      <c r="CI813">
        <v>1</v>
      </c>
      <c r="CJ813">
        <v>1</v>
      </c>
      <c r="CK813">
        <v>21</v>
      </c>
      <c r="CL813" t="s">
        <v>90</v>
      </c>
    </row>
    <row r="814" spans="1:90" x14ac:dyDescent="0.3">
      <c r="A814" t="s">
        <v>72</v>
      </c>
      <c r="B814" t="s">
        <v>73</v>
      </c>
      <c r="C814" t="s">
        <v>74</v>
      </c>
      <c r="E814" t="str">
        <f>"080067079332"</f>
        <v>080067079332</v>
      </c>
      <c r="F814" s="3">
        <v>45876</v>
      </c>
      <c r="G814">
        <v>202605</v>
      </c>
      <c r="H814" t="s">
        <v>75</v>
      </c>
      <c r="I814" t="s">
        <v>76</v>
      </c>
      <c r="J814" t="s">
        <v>77</v>
      </c>
      <c r="K814" t="s">
        <v>78</v>
      </c>
      <c r="L814" t="s">
        <v>217</v>
      </c>
      <c r="M814" t="s">
        <v>218</v>
      </c>
      <c r="N814" t="s">
        <v>249</v>
      </c>
      <c r="O814" t="s">
        <v>82</v>
      </c>
      <c r="P814" t="str">
        <f>"4170053350                    "</f>
        <v xml:space="preserve">4170053350                    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103.82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1</v>
      </c>
      <c r="BI814">
        <v>9</v>
      </c>
      <c r="BJ814">
        <v>3.4</v>
      </c>
      <c r="BK814">
        <v>9</v>
      </c>
      <c r="BL814">
        <v>322.38</v>
      </c>
      <c r="BM814">
        <v>48.36</v>
      </c>
      <c r="BN814">
        <v>370.74</v>
      </c>
      <c r="BO814">
        <v>370.74</v>
      </c>
      <c r="BQ814" t="s">
        <v>250</v>
      </c>
      <c r="BR814" t="s">
        <v>84</v>
      </c>
      <c r="BS814" s="3">
        <v>45877</v>
      </c>
      <c r="BT814" s="4">
        <v>0.55000000000000004</v>
      </c>
      <c r="BU814" t="s">
        <v>787</v>
      </c>
      <c r="BV814" t="s">
        <v>90</v>
      </c>
      <c r="BW814" t="s">
        <v>134</v>
      </c>
      <c r="BX814" t="s">
        <v>1573</v>
      </c>
      <c r="BY814">
        <v>16965</v>
      </c>
      <c r="CA814" t="s">
        <v>136</v>
      </c>
      <c r="CC814" t="s">
        <v>218</v>
      </c>
      <c r="CD814">
        <v>4052</v>
      </c>
      <c r="CE814" t="s">
        <v>147</v>
      </c>
      <c r="CF814" s="3">
        <v>45877</v>
      </c>
      <c r="CI814">
        <v>1</v>
      </c>
      <c r="CJ814">
        <v>1</v>
      </c>
      <c r="CK814">
        <v>21</v>
      </c>
      <c r="CL814" t="s">
        <v>90</v>
      </c>
    </row>
    <row r="815" spans="1:90" x14ac:dyDescent="0.3">
      <c r="A815" t="s">
        <v>72</v>
      </c>
      <c r="B815" t="s">
        <v>73</v>
      </c>
      <c r="C815" t="s">
        <v>74</v>
      </c>
      <c r="E815" t="str">
        <f>"080067079356"</f>
        <v>080067079356</v>
      </c>
      <c r="F815" s="3">
        <v>45876</v>
      </c>
      <c r="G815">
        <v>202605</v>
      </c>
      <c r="H815" t="s">
        <v>75</v>
      </c>
      <c r="I815" t="s">
        <v>76</v>
      </c>
      <c r="J815" t="s">
        <v>77</v>
      </c>
      <c r="K815" t="s">
        <v>78</v>
      </c>
      <c r="L815" t="s">
        <v>137</v>
      </c>
      <c r="M815" t="s">
        <v>138</v>
      </c>
      <c r="N815" t="s">
        <v>1239</v>
      </c>
      <c r="O815" t="s">
        <v>82</v>
      </c>
      <c r="P815" t="str">
        <f>"4170053170                    "</f>
        <v xml:space="preserve">4170053170                    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23.09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1</v>
      </c>
      <c r="BI815">
        <v>1</v>
      </c>
      <c r="BJ815">
        <v>0.2</v>
      </c>
      <c r="BK815">
        <v>1</v>
      </c>
      <c r="BL815">
        <v>71.69</v>
      </c>
      <c r="BM815">
        <v>10.75</v>
      </c>
      <c r="BN815">
        <v>82.44</v>
      </c>
      <c r="BO815">
        <v>82.44</v>
      </c>
      <c r="BQ815" t="s">
        <v>1240</v>
      </c>
      <c r="BR815" t="s">
        <v>84</v>
      </c>
      <c r="BS815" s="3">
        <v>45877</v>
      </c>
      <c r="BT815" s="4">
        <v>0.41111111111111109</v>
      </c>
      <c r="BU815" t="s">
        <v>1241</v>
      </c>
      <c r="BV815" t="s">
        <v>86</v>
      </c>
      <c r="BY815">
        <v>1200</v>
      </c>
      <c r="CA815" t="s">
        <v>953</v>
      </c>
      <c r="CC815" t="s">
        <v>138</v>
      </c>
      <c r="CD815">
        <v>3610</v>
      </c>
      <c r="CE815" t="s">
        <v>109</v>
      </c>
      <c r="CF815" s="3">
        <v>45877</v>
      </c>
      <c r="CI815">
        <v>1</v>
      </c>
      <c r="CJ815">
        <v>1</v>
      </c>
      <c r="CK815">
        <v>21</v>
      </c>
      <c r="CL815" t="s">
        <v>90</v>
      </c>
    </row>
    <row r="816" spans="1:90" x14ac:dyDescent="0.3">
      <c r="A816" t="s">
        <v>72</v>
      </c>
      <c r="B816" t="s">
        <v>73</v>
      </c>
      <c r="C816" t="s">
        <v>74</v>
      </c>
      <c r="E816" t="str">
        <f>"080067079371"</f>
        <v>080067079371</v>
      </c>
      <c r="F816" s="3">
        <v>45876</v>
      </c>
      <c r="G816">
        <v>202605</v>
      </c>
      <c r="H816" t="s">
        <v>75</v>
      </c>
      <c r="I816" t="s">
        <v>76</v>
      </c>
      <c r="J816" t="s">
        <v>77</v>
      </c>
      <c r="K816" t="s">
        <v>78</v>
      </c>
      <c r="L816" t="s">
        <v>75</v>
      </c>
      <c r="M816" t="s">
        <v>76</v>
      </c>
      <c r="N816" t="s">
        <v>1020</v>
      </c>
      <c r="O816" t="s">
        <v>82</v>
      </c>
      <c r="P816" t="str">
        <f>"4170053182                    "</f>
        <v xml:space="preserve">4170053182                    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18.03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1</v>
      </c>
      <c r="BI816">
        <v>3</v>
      </c>
      <c r="BJ816">
        <v>1.7</v>
      </c>
      <c r="BK816">
        <v>3</v>
      </c>
      <c r="BL816">
        <v>55.99</v>
      </c>
      <c r="BM816">
        <v>8.4</v>
      </c>
      <c r="BN816">
        <v>64.39</v>
      </c>
      <c r="BO816">
        <v>64.39</v>
      </c>
      <c r="BQ816" t="s">
        <v>1021</v>
      </c>
      <c r="BR816" t="s">
        <v>84</v>
      </c>
      <c r="BS816" s="3">
        <v>45880</v>
      </c>
      <c r="BT816" s="4">
        <v>0.4375</v>
      </c>
      <c r="BU816" t="s">
        <v>1118</v>
      </c>
      <c r="BV816" t="s">
        <v>90</v>
      </c>
      <c r="BW816" t="s">
        <v>1045</v>
      </c>
      <c r="BX816" t="s">
        <v>1234</v>
      </c>
      <c r="BY816">
        <v>8512</v>
      </c>
      <c r="CC816" t="s">
        <v>76</v>
      </c>
      <c r="CD816">
        <v>1645</v>
      </c>
      <c r="CE816" t="s">
        <v>147</v>
      </c>
      <c r="CF816" s="3">
        <v>45881</v>
      </c>
      <c r="CI816">
        <v>1</v>
      </c>
      <c r="CJ816">
        <v>2</v>
      </c>
      <c r="CK816">
        <v>22</v>
      </c>
      <c r="CL816" t="s">
        <v>90</v>
      </c>
    </row>
    <row r="817" spans="1:90" x14ac:dyDescent="0.3">
      <c r="A817" t="s">
        <v>72</v>
      </c>
      <c r="B817" t="s">
        <v>73</v>
      </c>
      <c r="C817" t="s">
        <v>74</v>
      </c>
      <c r="E817" t="str">
        <f>"080067079381"</f>
        <v>080067079381</v>
      </c>
      <c r="F817" s="3">
        <v>45876</v>
      </c>
      <c r="G817">
        <v>202605</v>
      </c>
      <c r="H817" t="s">
        <v>75</v>
      </c>
      <c r="I817" t="s">
        <v>76</v>
      </c>
      <c r="J817" t="s">
        <v>77</v>
      </c>
      <c r="K817" t="s">
        <v>78</v>
      </c>
      <c r="L817" t="s">
        <v>400</v>
      </c>
      <c r="M817" t="s">
        <v>401</v>
      </c>
      <c r="N817" t="s">
        <v>932</v>
      </c>
      <c r="O817" t="s">
        <v>82</v>
      </c>
      <c r="P817" t="str">
        <f>"4170053388                    "</f>
        <v xml:space="preserve">4170053388                    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23.09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0</v>
      </c>
      <c r="BH817">
        <v>1</v>
      </c>
      <c r="BI817">
        <v>1</v>
      </c>
      <c r="BJ817">
        <v>0.2</v>
      </c>
      <c r="BK817">
        <v>1</v>
      </c>
      <c r="BL817">
        <v>71.69</v>
      </c>
      <c r="BM817">
        <v>10.75</v>
      </c>
      <c r="BN817">
        <v>82.44</v>
      </c>
      <c r="BO817">
        <v>82.44</v>
      </c>
      <c r="BQ817" t="s">
        <v>933</v>
      </c>
      <c r="BR817" t="s">
        <v>84</v>
      </c>
      <c r="BS817" s="3">
        <v>45877</v>
      </c>
      <c r="BT817" s="4">
        <v>0.33333333333333331</v>
      </c>
      <c r="BU817" t="s">
        <v>1503</v>
      </c>
      <c r="BV817" t="s">
        <v>86</v>
      </c>
      <c r="BY817">
        <v>1200</v>
      </c>
      <c r="CA817" t="s">
        <v>405</v>
      </c>
      <c r="CC817" t="s">
        <v>401</v>
      </c>
      <c r="CD817">
        <v>6230</v>
      </c>
      <c r="CE817" t="s">
        <v>109</v>
      </c>
      <c r="CF817" s="3">
        <v>45877</v>
      </c>
      <c r="CI817">
        <v>1</v>
      </c>
      <c r="CJ817">
        <v>1</v>
      </c>
      <c r="CK817">
        <v>21</v>
      </c>
      <c r="CL817" t="s">
        <v>90</v>
      </c>
    </row>
    <row r="818" spans="1:90" x14ac:dyDescent="0.3">
      <c r="A818" t="s">
        <v>72</v>
      </c>
      <c r="B818" t="s">
        <v>73</v>
      </c>
      <c r="C818" t="s">
        <v>74</v>
      </c>
      <c r="E818" t="str">
        <f>"080067079414"</f>
        <v>080067079414</v>
      </c>
      <c r="F818" s="3">
        <v>45876</v>
      </c>
      <c r="G818">
        <v>202605</v>
      </c>
      <c r="H818" t="s">
        <v>75</v>
      </c>
      <c r="I818" t="s">
        <v>76</v>
      </c>
      <c r="J818" t="s">
        <v>77</v>
      </c>
      <c r="K818" t="s">
        <v>78</v>
      </c>
      <c r="L818" t="s">
        <v>385</v>
      </c>
      <c r="M818" t="s">
        <v>386</v>
      </c>
      <c r="N818" t="s">
        <v>635</v>
      </c>
      <c r="O818" t="s">
        <v>113</v>
      </c>
      <c r="P818" t="str">
        <f>"4170053218                    "</f>
        <v xml:space="preserve">4170053218                    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20.059999999999999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1</v>
      </c>
      <c r="BI818">
        <v>5</v>
      </c>
      <c r="BJ818">
        <v>8.9</v>
      </c>
      <c r="BK818">
        <v>9</v>
      </c>
      <c r="BL818">
        <v>62.29</v>
      </c>
      <c r="BM818">
        <v>9.34</v>
      </c>
      <c r="BN818">
        <v>71.63</v>
      </c>
      <c r="BO818">
        <v>71.63</v>
      </c>
      <c r="BQ818" t="s">
        <v>636</v>
      </c>
      <c r="BR818" t="s">
        <v>84</v>
      </c>
      <c r="BS818" s="3">
        <v>45877</v>
      </c>
      <c r="BT818" s="4">
        <v>0.49027777777777776</v>
      </c>
      <c r="BU818" t="s">
        <v>1579</v>
      </c>
      <c r="BV818" t="s">
        <v>86</v>
      </c>
      <c r="BY818">
        <v>44640</v>
      </c>
      <c r="CA818" t="s">
        <v>851</v>
      </c>
      <c r="CC818" t="s">
        <v>386</v>
      </c>
      <c r="CD818">
        <v>1559</v>
      </c>
      <c r="CE818" t="s">
        <v>147</v>
      </c>
      <c r="CF818" s="3">
        <v>45877</v>
      </c>
      <c r="CI818">
        <v>1</v>
      </c>
      <c r="CJ818">
        <v>1</v>
      </c>
      <c r="CK818">
        <v>32</v>
      </c>
      <c r="CL818" t="s">
        <v>90</v>
      </c>
    </row>
    <row r="819" spans="1:90" x14ac:dyDescent="0.3">
      <c r="A819" t="s">
        <v>72</v>
      </c>
      <c r="B819" t="s">
        <v>73</v>
      </c>
      <c r="C819" t="s">
        <v>74</v>
      </c>
      <c r="E819" t="str">
        <f>"080067079420"</f>
        <v>080067079420</v>
      </c>
      <c r="F819" s="3">
        <v>45876</v>
      </c>
      <c r="G819">
        <v>202605</v>
      </c>
      <c r="H819" t="s">
        <v>75</v>
      </c>
      <c r="I819" t="s">
        <v>76</v>
      </c>
      <c r="J819" t="s">
        <v>77</v>
      </c>
      <c r="K819" t="s">
        <v>78</v>
      </c>
      <c r="L819" t="s">
        <v>123</v>
      </c>
      <c r="M819" t="s">
        <v>124</v>
      </c>
      <c r="N819" t="s">
        <v>1492</v>
      </c>
      <c r="O819" t="s">
        <v>82</v>
      </c>
      <c r="P819" t="str">
        <f>"4170053493                    "</f>
        <v xml:space="preserve">4170053493                    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23.09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1</v>
      </c>
      <c r="BI819">
        <v>1</v>
      </c>
      <c r="BJ819">
        <v>0.2</v>
      </c>
      <c r="BK819">
        <v>1</v>
      </c>
      <c r="BL819">
        <v>71.69</v>
      </c>
      <c r="BM819">
        <v>10.75</v>
      </c>
      <c r="BN819">
        <v>82.44</v>
      </c>
      <c r="BO819">
        <v>82.44</v>
      </c>
      <c r="BQ819" t="s">
        <v>1493</v>
      </c>
      <c r="BR819" t="s">
        <v>84</v>
      </c>
      <c r="BS819" s="3">
        <v>45877</v>
      </c>
      <c r="BT819" s="4">
        <v>0.70277777777777772</v>
      </c>
      <c r="BU819" t="s">
        <v>1580</v>
      </c>
      <c r="BV819" t="s">
        <v>90</v>
      </c>
      <c r="BW819" t="s">
        <v>773</v>
      </c>
      <c r="BX819" t="s">
        <v>1495</v>
      </c>
      <c r="BY819">
        <v>1200</v>
      </c>
      <c r="CC819" t="s">
        <v>124</v>
      </c>
      <c r="CD819">
        <v>7405</v>
      </c>
      <c r="CE819" t="s">
        <v>109</v>
      </c>
      <c r="CF819" s="3">
        <v>45880</v>
      </c>
      <c r="CI819">
        <v>1</v>
      </c>
      <c r="CJ819">
        <v>1</v>
      </c>
      <c r="CK819">
        <v>21</v>
      </c>
      <c r="CL819" t="s">
        <v>90</v>
      </c>
    </row>
    <row r="820" spans="1:90" x14ac:dyDescent="0.3">
      <c r="A820" t="s">
        <v>72</v>
      </c>
      <c r="B820" t="s">
        <v>73</v>
      </c>
      <c r="C820" t="s">
        <v>74</v>
      </c>
      <c r="E820" t="str">
        <f>"080067079446"</f>
        <v>080067079446</v>
      </c>
      <c r="F820" s="3">
        <v>45876</v>
      </c>
      <c r="G820">
        <v>202605</v>
      </c>
      <c r="H820" t="s">
        <v>75</v>
      </c>
      <c r="I820" t="s">
        <v>76</v>
      </c>
      <c r="J820" t="s">
        <v>77</v>
      </c>
      <c r="K820" t="s">
        <v>78</v>
      </c>
      <c r="L820" t="s">
        <v>1581</v>
      </c>
      <c r="M820" t="s">
        <v>1582</v>
      </c>
      <c r="N820" t="s">
        <v>1583</v>
      </c>
      <c r="O820" t="s">
        <v>82</v>
      </c>
      <c r="P820" t="str">
        <f>"4170053382                    "</f>
        <v xml:space="preserve">4170053382                    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44.73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1</v>
      </c>
      <c r="BJ820">
        <v>0.2</v>
      </c>
      <c r="BK820">
        <v>1</v>
      </c>
      <c r="BL820">
        <v>138.88999999999999</v>
      </c>
      <c r="BM820">
        <v>20.83</v>
      </c>
      <c r="BN820">
        <v>159.72</v>
      </c>
      <c r="BO820">
        <v>159.72</v>
      </c>
      <c r="BQ820" t="s">
        <v>1584</v>
      </c>
      <c r="BR820" t="s">
        <v>84</v>
      </c>
      <c r="BS820" s="3">
        <v>45880</v>
      </c>
      <c r="BT820" s="4">
        <v>0.64236111111111116</v>
      </c>
      <c r="BU820" t="s">
        <v>1585</v>
      </c>
      <c r="BV820" t="s">
        <v>90</v>
      </c>
      <c r="BY820">
        <v>1200</v>
      </c>
      <c r="CA820" t="s">
        <v>1586</v>
      </c>
      <c r="CC820" t="s">
        <v>1582</v>
      </c>
      <c r="CD820">
        <v>1028</v>
      </c>
      <c r="CE820" t="s">
        <v>109</v>
      </c>
      <c r="CF820" s="3">
        <v>45880</v>
      </c>
      <c r="CI820">
        <v>1</v>
      </c>
      <c r="CJ820">
        <v>2</v>
      </c>
      <c r="CK820">
        <v>23</v>
      </c>
      <c r="CL820" t="s">
        <v>90</v>
      </c>
    </row>
    <row r="821" spans="1:90" x14ac:dyDescent="0.3">
      <c r="A821" t="s">
        <v>72</v>
      </c>
      <c r="B821" t="s">
        <v>73</v>
      </c>
      <c r="C821" t="s">
        <v>74</v>
      </c>
      <c r="E821" t="str">
        <f>"080067079452"</f>
        <v>080067079452</v>
      </c>
      <c r="F821" s="3">
        <v>45876</v>
      </c>
      <c r="G821">
        <v>202605</v>
      </c>
      <c r="H821" t="s">
        <v>75</v>
      </c>
      <c r="I821" t="s">
        <v>76</v>
      </c>
      <c r="J821" t="s">
        <v>77</v>
      </c>
      <c r="K821" t="s">
        <v>78</v>
      </c>
      <c r="L821" t="s">
        <v>123</v>
      </c>
      <c r="M821" t="s">
        <v>124</v>
      </c>
      <c r="N821" t="s">
        <v>406</v>
      </c>
      <c r="O821" t="s">
        <v>82</v>
      </c>
      <c r="P821" t="str">
        <f>"4170053203                    "</f>
        <v xml:space="preserve">4170053203                    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103.82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1</v>
      </c>
      <c r="BI821">
        <v>6</v>
      </c>
      <c r="BJ821">
        <v>8.9</v>
      </c>
      <c r="BK821">
        <v>9</v>
      </c>
      <c r="BL821">
        <v>322.38</v>
      </c>
      <c r="BM821">
        <v>48.36</v>
      </c>
      <c r="BN821">
        <v>370.74</v>
      </c>
      <c r="BO821">
        <v>370.74</v>
      </c>
      <c r="BQ821" t="s">
        <v>407</v>
      </c>
      <c r="BR821" t="s">
        <v>84</v>
      </c>
      <c r="BS821" s="3">
        <v>45877</v>
      </c>
      <c r="BT821" s="4">
        <v>0.4375</v>
      </c>
      <c r="BU821" t="s">
        <v>408</v>
      </c>
      <c r="BV821" t="s">
        <v>86</v>
      </c>
      <c r="BY821">
        <v>44640</v>
      </c>
      <c r="CA821" t="s">
        <v>192</v>
      </c>
      <c r="CC821" t="s">
        <v>124</v>
      </c>
      <c r="CD821">
        <v>7441</v>
      </c>
      <c r="CE821" t="s">
        <v>147</v>
      </c>
      <c r="CF821" s="3">
        <v>45880</v>
      </c>
      <c r="CI821">
        <v>1</v>
      </c>
      <c r="CJ821">
        <v>1</v>
      </c>
      <c r="CK821">
        <v>21</v>
      </c>
      <c r="CL821" t="s">
        <v>90</v>
      </c>
    </row>
    <row r="822" spans="1:90" x14ac:dyDescent="0.3">
      <c r="A822" t="s">
        <v>72</v>
      </c>
      <c r="B822" t="s">
        <v>73</v>
      </c>
      <c r="C822" t="s">
        <v>74</v>
      </c>
      <c r="E822" t="str">
        <f>"080067079481"</f>
        <v>080067079481</v>
      </c>
      <c r="F822" s="3">
        <v>45876</v>
      </c>
      <c r="G822">
        <v>202605</v>
      </c>
      <c r="H822" t="s">
        <v>75</v>
      </c>
      <c r="I822" t="s">
        <v>76</v>
      </c>
      <c r="J822" t="s">
        <v>77</v>
      </c>
      <c r="K822" t="s">
        <v>78</v>
      </c>
      <c r="L822" t="s">
        <v>162</v>
      </c>
      <c r="M822" t="s">
        <v>163</v>
      </c>
      <c r="N822" t="s">
        <v>246</v>
      </c>
      <c r="O822" t="s">
        <v>82</v>
      </c>
      <c r="P822" t="str">
        <f>"4170053384                    "</f>
        <v xml:space="preserve">4170053384                    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23.09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1</v>
      </c>
      <c r="BI822">
        <v>1</v>
      </c>
      <c r="BJ822">
        <v>0.2</v>
      </c>
      <c r="BK822">
        <v>1</v>
      </c>
      <c r="BL822">
        <v>71.69</v>
      </c>
      <c r="BM822">
        <v>10.75</v>
      </c>
      <c r="BN822">
        <v>82.44</v>
      </c>
      <c r="BO822">
        <v>82.44</v>
      </c>
      <c r="BQ822" t="s">
        <v>247</v>
      </c>
      <c r="BR822" t="s">
        <v>84</v>
      </c>
      <c r="BS822" s="3">
        <v>45877</v>
      </c>
      <c r="BT822" s="4">
        <v>0.41666666666666669</v>
      </c>
      <c r="BU822" t="s">
        <v>1326</v>
      </c>
      <c r="BV822" t="s">
        <v>86</v>
      </c>
      <c r="BY822">
        <v>1200</v>
      </c>
      <c r="CC822" t="s">
        <v>163</v>
      </c>
      <c r="CD822">
        <v>3201</v>
      </c>
      <c r="CE822" t="s">
        <v>109</v>
      </c>
      <c r="CF822" s="3">
        <v>45880</v>
      </c>
      <c r="CI822">
        <v>1</v>
      </c>
      <c r="CJ822">
        <v>1</v>
      </c>
      <c r="CK822">
        <v>21</v>
      </c>
      <c r="CL822" t="s">
        <v>90</v>
      </c>
    </row>
    <row r="823" spans="1:90" x14ac:dyDescent="0.3">
      <c r="A823" t="s">
        <v>72</v>
      </c>
      <c r="B823" t="s">
        <v>73</v>
      </c>
      <c r="C823" t="s">
        <v>74</v>
      </c>
      <c r="E823" t="str">
        <f>"080067079487"</f>
        <v>080067079487</v>
      </c>
      <c r="F823" s="3">
        <v>45876</v>
      </c>
      <c r="G823">
        <v>202605</v>
      </c>
      <c r="H823" t="s">
        <v>75</v>
      </c>
      <c r="I823" t="s">
        <v>76</v>
      </c>
      <c r="J823" t="s">
        <v>77</v>
      </c>
      <c r="K823" t="s">
        <v>78</v>
      </c>
      <c r="L823" t="s">
        <v>123</v>
      </c>
      <c r="M823" t="s">
        <v>124</v>
      </c>
      <c r="N823" t="s">
        <v>189</v>
      </c>
      <c r="O823" t="s">
        <v>82</v>
      </c>
      <c r="P823" t="str">
        <f>"4170053083                    "</f>
        <v xml:space="preserve">4170053083                    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115.35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1</v>
      </c>
      <c r="BI823">
        <v>4</v>
      </c>
      <c r="BJ823">
        <v>9.6999999999999993</v>
      </c>
      <c r="BK823">
        <v>10</v>
      </c>
      <c r="BL823">
        <v>358.19</v>
      </c>
      <c r="BM823">
        <v>53.73</v>
      </c>
      <c r="BN823">
        <v>411.92</v>
      </c>
      <c r="BO823">
        <v>411.92</v>
      </c>
      <c r="BQ823" t="s">
        <v>190</v>
      </c>
      <c r="BR823" t="s">
        <v>84</v>
      </c>
      <c r="BS823" s="3">
        <v>45877</v>
      </c>
      <c r="BT823" s="4">
        <v>0.42430555555555555</v>
      </c>
      <c r="BU823" t="s">
        <v>1457</v>
      </c>
      <c r="BV823" t="s">
        <v>86</v>
      </c>
      <c r="BY823">
        <v>48608</v>
      </c>
      <c r="CA823" t="s">
        <v>192</v>
      </c>
      <c r="CC823" t="s">
        <v>124</v>
      </c>
      <c r="CD823">
        <v>8001</v>
      </c>
      <c r="CE823" t="s">
        <v>117</v>
      </c>
      <c r="CF823" s="3">
        <v>45880</v>
      </c>
      <c r="CI823">
        <v>1</v>
      </c>
      <c r="CJ823">
        <v>1</v>
      </c>
      <c r="CK823">
        <v>21</v>
      </c>
      <c r="CL823" t="s">
        <v>90</v>
      </c>
    </row>
    <row r="824" spans="1:90" x14ac:dyDescent="0.3">
      <c r="A824" t="s">
        <v>72</v>
      </c>
      <c r="B824" t="s">
        <v>73</v>
      </c>
      <c r="C824" t="s">
        <v>74</v>
      </c>
      <c r="E824" t="str">
        <f>"080067079510"</f>
        <v>080067079510</v>
      </c>
      <c r="F824" s="3">
        <v>45876</v>
      </c>
      <c r="G824">
        <v>202605</v>
      </c>
      <c r="H824" t="s">
        <v>75</v>
      </c>
      <c r="I824" t="s">
        <v>76</v>
      </c>
      <c r="J824" t="s">
        <v>77</v>
      </c>
      <c r="K824" t="s">
        <v>78</v>
      </c>
      <c r="L824" t="s">
        <v>335</v>
      </c>
      <c r="M824" t="s">
        <v>336</v>
      </c>
      <c r="N824" t="s">
        <v>727</v>
      </c>
      <c r="O824" t="s">
        <v>82</v>
      </c>
      <c r="P824" t="str">
        <f>"4170053389                    "</f>
        <v xml:space="preserve">4170053389                    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44.73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1</v>
      </c>
      <c r="BI824">
        <v>1</v>
      </c>
      <c r="BJ824">
        <v>0.2</v>
      </c>
      <c r="BK824">
        <v>1</v>
      </c>
      <c r="BL824">
        <v>138.88999999999999</v>
      </c>
      <c r="BM824">
        <v>20.83</v>
      </c>
      <c r="BN824">
        <v>159.72</v>
      </c>
      <c r="BO824">
        <v>159.72</v>
      </c>
      <c r="BQ824" t="s">
        <v>728</v>
      </c>
      <c r="BR824" t="s">
        <v>84</v>
      </c>
      <c r="BS824" s="3">
        <v>45877</v>
      </c>
      <c r="BT824" s="4">
        <v>0.45069444444444445</v>
      </c>
      <c r="BU824" t="s">
        <v>1587</v>
      </c>
      <c r="BV824" t="s">
        <v>86</v>
      </c>
      <c r="BY824">
        <v>1200</v>
      </c>
      <c r="CA824" t="s">
        <v>730</v>
      </c>
      <c r="CC824" t="s">
        <v>336</v>
      </c>
      <c r="CD824" s="5" t="s">
        <v>341</v>
      </c>
      <c r="CE824" t="s">
        <v>109</v>
      </c>
      <c r="CF824" s="3">
        <v>45880</v>
      </c>
      <c r="CI824">
        <v>1</v>
      </c>
      <c r="CJ824">
        <v>1</v>
      </c>
      <c r="CK824">
        <v>23</v>
      </c>
      <c r="CL824" t="s">
        <v>90</v>
      </c>
    </row>
    <row r="825" spans="1:90" x14ac:dyDescent="0.3">
      <c r="A825" t="s">
        <v>72</v>
      </c>
      <c r="B825" t="s">
        <v>73</v>
      </c>
      <c r="C825" t="s">
        <v>74</v>
      </c>
      <c r="E825" t="str">
        <f>"080067079512"</f>
        <v>080067079512</v>
      </c>
      <c r="F825" s="3">
        <v>45876</v>
      </c>
      <c r="G825">
        <v>202605</v>
      </c>
      <c r="H825" t="s">
        <v>75</v>
      </c>
      <c r="I825" t="s">
        <v>76</v>
      </c>
      <c r="J825" t="s">
        <v>77</v>
      </c>
      <c r="K825" t="s">
        <v>78</v>
      </c>
      <c r="L825" t="s">
        <v>123</v>
      </c>
      <c r="M825" t="s">
        <v>124</v>
      </c>
      <c r="N825" t="s">
        <v>1115</v>
      </c>
      <c r="O825" t="s">
        <v>82</v>
      </c>
      <c r="P825" t="str">
        <f>"4170053149                    "</f>
        <v xml:space="preserve">4170053149                    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23.09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1</v>
      </c>
      <c r="BI825">
        <v>1</v>
      </c>
      <c r="BJ825">
        <v>1.9</v>
      </c>
      <c r="BK825">
        <v>2</v>
      </c>
      <c r="BL825">
        <v>71.69</v>
      </c>
      <c r="BM825">
        <v>10.75</v>
      </c>
      <c r="BN825">
        <v>82.44</v>
      </c>
      <c r="BO825">
        <v>82.44</v>
      </c>
      <c r="BQ825" t="s">
        <v>1116</v>
      </c>
      <c r="BR825" t="s">
        <v>84</v>
      </c>
      <c r="BS825" s="3">
        <v>45877</v>
      </c>
      <c r="BT825" s="4">
        <v>0.38750000000000001</v>
      </c>
      <c r="BU825" t="s">
        <v>1588</v>
      </c>
      <c r="BV825" t="s">
        <v>86</v>
      </c>
      <c r="BY825">
        <v>9600</v>
      </c>
      <c r="CA825" t="s">
        <v>192</v>
      </c>
      <c r="CC825" t="s">
        <v>124</v>
      </c>
      <c r="CD825">
        <v>7441</v>
      </c>
      <c r="CE825" t="s">
        <v>147</v>
      </c>
      <c r="CF825" s="3">
        <v>45880</v>
      </c>
      <c r="CI825">
        <v>1</v>
      </c>
      <c r="CJ825">
        <v>1</v>
      </c>
      <c r="CK825">
        <v>21</v>
      </c>
      <c r="CL825" t="s">
        <v>90</v>
      </c>
    </row>
    <row r="826" spans="1:90" x14ac:dyDescent="0.3">
      <c r="A826" t="s">
        <v>72</v>
      </c>
      <c r="B826" t="s">
        <v>73</v>
      </c>
      <c r="C826" t="s">
        <v>74</v>
      </c>
      <c r="E826" t="str">
        <f>"080067079542"</f>
        <v>080067079542</v>
      </c>
      <c r="F826" s="3">
        <v>45876</v>
      </c>
      <c r="G826">
        <v>202605</v>
      </c>
      <c r="H826" t="s">
        <v>75</v>
      </c>
      <c r="I826" t="s">
        <v>76</v>
      </c>
      <c r="J826" t="s">
        <v>77</v>
      </c>
      <c r="K826" t="s">
        <v>78</v>
      </c>
      <c r="L826" t="s">
        <v>400</v>
      </c>
      <c r="M826" t="s">
        <v>401</v>
      </c>
      <c r="N826" t="s">
        <v>932</v>
      </c>
      <c r="O826" t="s">
        <v>82</v>
      </c>
      <c r="P826" t="str">
        <f>"4170053208                    "</f>
        <v xml:space="preserve">4170053208                    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23.09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1</v>
      </c>
      <c r="BI826">
        <v>1</v>
      </c>
      <c r="BJ826">
        <v>0.2</v>
      </c>
      <c r="BK826">
        <v>1</v>
      </c>
      <c r="BL826">
        <v>71.69</v>
      </c>
      <c r="BM826">
        <v>10.75</v>
      </c>
      <c r="BN826">
        <v>82.44</v>
      </c>
      <c r="BO826">
        <v>82.44</v>
      </c>
      <c r="BQ826" t="s">
        <v>933</v>
      </c>
      <c r="BR826" t="s">
        <v>84</v>
      </c>
      <c r="BS826" s="3">
        <v>45877</v>
      </c>
      <c r="BT826" s="4">
        <v>0.33333333333333331</v>
      </c>
      <c r="BU826" t="s">
        <v>1503</v>
      </c>
      <c r="BV826" t="s">
        <v>86</v>
      </c>
      <c r="BY826">
        <v>1200</v>
      </c>
      <c r="CA826" t="s">
        <v>405</v>
      </c>
      <c r="CC826" t="s">
        <v>401</v>
      </c>
      <c r="CD826">
        <v>6230</v>
      </c>
      <c r="CE826" t="s">
        <v>109</v>
      </c>
      <c r="CF826" s="3">
        <v>45877</v>
      </c>
      <c r="CI826">
        <v>1</v>
      </c>
      <c r="CJ826">
        <v>1</v>
      </c>
      <c r="CK826">
        <v>21</v>
      </c>
      <c r="CL826" t="s">
        <v>90</v>
      </c>
    </row>
    <row r="827" spans="1:90" x14ac:dyDescent="0.3">
      <c r="A827" t="s">
        <v>72</v>
      </c>
      <c r="B827" t="s">
        <v>73</v>
      </c>
      <c r="C827" t="s">
        <v>74</v>
      </c>
      <c r="E827" t="str">
        <f>"080067079557"</f>
        <v>080067079557</v>
      </c>
      <c r="F827" s="3">
        <v>45876</v>
      </c>
      <c r="G827">
        <v>202605</v>
      </c>
      <c r="H827" t="s">
        <v>75</v>
      </c>
      <c r="I827" t="s">
        <v>76</v>
      </c>
      <c r="J827" t="s">
        <v>77</v>
      </c>
      <c r="K827" t="s">
        <v>78</v>
      </c>
      <c r="L827" t="s">
        <v>75</v>
      </c>
      <c r="M827" t="s">
        <v>76</v>
      </c>
      <c r="N827" t="s">
        <v>537</v>
      </c>
      <c r="O827" t="s">
        <v>113</v>
      </c>
      <c r="P827" t="str">
        <f>"4170053298                    "</f>
        <v xml:space="preserve">4170053298                    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18.04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1</v>
      </c>
      <c r="BI827">
        <v>2</v>
      </c>
      <c r="BJ827">
        <v>4.8</v>
      </c>
      <c r="BK827">
        <v>5</v>
      </c>
      <c r="BL827">
        <v>56.01</v>
      </c>
      <c r="BM827">
        <v>8.4</v>
      </c>
      <c r="BN827">
        <v>64.41</v>
      </c>
      <c r="BO827">
        <v>64.41</v>
      </c>
      <c r="BQ827" t="s">
        <v>538</v>
      </c>
      <c r="BR827" t="s">
        <v>84</v>
      </c>
      <c r="BS827" s="3">
        <v>45877</v>
      </c>
      <c r="BT827" s="4">
        <v>0.37291666666666667</v>
      </c>
      <c r="BU827" t="s">
        <v>738</v>
      </c>
      <c r="BV827" t="s">
        <v>86</v>
      </c>
      <c r="BY827">
        <v>23751</v>
      </c>
      <c r="CA827" t="s">
        <v>739</v>
      </c>
      <c r="CC827" t="s">
        <v>76</v>
      </c>
      <c r="CD827">
        <v>1619</v>
      </c>
      <c r="CE827" t="s">
        <v>147</v>
      </c>
      <c r="CF827" s="3">
        <v>45877</v>
      </c>
      <c r="CI827">
        <v>1</v>
      </c>
      <c r="CJ827">
        <v>1</v>
      </c>
      <c r="CK827">
        <v>32</v>
      </c>
      <c r="CL827" t="s">
        <v>90</v>
      </c>
    </row>
    <row r="828" spans="1:90" x14ac:dyDescent="0.3">
      <c r="A828" t="s">
        <v>72</v>
      </c>
      <c r="B828" t="s">
        <v>73</v>
      </c>
      <c r="C828" t="s">
        <v>74</v>
      </c>
      <c r="E828" t="str">
        <f>"080067079568"</f>
        <v>080067079568</v>
      </c>
      <c r="F828" s="3">
        <v>45876</v>
      </c>
      <c r="G828">
        <v>202605</v>
      </c>
      <c r="H828" t="s">
        <v>75</v>
      </c>
      <c r="I828" t="s">
        <v>76</v>
      </c>
      <c r="J828" t="s">
        <v>77</v>
      </c>
      <c r="K828" t="s">
        <v>78</v>
      </c>
      <c r="L828" t="s">
        <v>241</v>
      </c>
      <c r="M828" t="s">
        <v>242</v>
      </c>
      <c r="N828" t="s">
        <v>573</v>
      </c>
      <c r="O828" t="s">
        <v>82</v>
      </c>
      <c r="P828" t="str">
        <f>"4170053380                    "</f>
        <v xml:space="preserve">4170053380                    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18.03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1</v>
      </c>
      <c r="BI828">
        <v>1</v>
      </c>
      <c r="BJ828">
        <v>0.2</v>
      </c>
      <c r="BK828">
        <v>1</v>
      </c>
      <c r="BL828">
        <v>55.99</v>
      </c>
      <c r="BM828">
        <v>8.4</v>
      </c>
      <c r="BN828">
        <v>64.39</v>
      </c>
      <c r="BO828">
        <v>64.39</v>
      </c>
      <c r="BQ828" t="s">
        <v>574</v>
      </c>
      <c r="BR828" t="s">
        <v>84</v>
      </c>
      <c r="BS828" s="3">
        <v>45877</v>
      </c>
      <c r="BT828" s="4">
        <v>0.35833333333333334</v>
      </c>
      <c r="BU828" t="s">
        <v>1589</v>
      </c>
      <c r="BV828" t="s">
        <v>86</v>
      </c>
      <c r="BY828">
        <v>1200</v>
      </c>
      <c r="CA828" t="s">
        <v>576</v>
      </c>
      <c r="CC828" t="s">
        <v>242</v>
      </c>
      <c r="CD828">
        <v>1459</v>
      </c>
      <c r="CE828" t="s">
        <v>109</v>
      </c>
      <c r="CF828" s="3">
        <v>45877</v>
      </c>
      <c r="CI828">
        <v>1</v>
      </c>
      <c r="CJ828">
        <v>1</v>
      </c>
      <c r="CK828">
        <v>22</v>
      </c>
      <c r="CL828" t="s">
        <v>90</v>
      </c>
    </row>
    <row r="829" spans="1:90" x14ac:dyDescent="0.3">
      <c r="A829" t="s">
        <v>72</v>
      </c>
      <c r="B829" t="s">
        <v>73</v>
      </c>
      <c r="C829" t="s">
        <v>74</v>
      </c>
      <c r="E829" t="str">
        <f>"080067079630"</f>
        <v>080067079630</v>
      </c>
      <c r="F829" s="3">
        <v>45876</v>
      </c>
      <c r="G829">
        <v>202605</v>
      </c>
      <c r="H829" t="s">
        <v>75</v>
      </c>
      <c r="I829" t="s">
        <v>76</v>
      </c>
      <c r="J829" t="s">
        <v>77</v>
      </c>
      <c r="K829" t="s">
        <v>78</v>
      </c>
      <c r="L829" t="s">
        <v>137</v>
      </c>
      <c r="M829" t="s">
        <v>138</v>
      </c>
      <c r="N829" t="s">
        <v>1590</v>
      </c>
      <c r="O829" t="s">
        <v>82</v>
      </c>
      <c r="P829" t="str">
        <f>"4170053378                    "</f>
        <v xml:space="preserve">4170053378                    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23.09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1</v>
      </c>
      <c r="BI829">
        <v>1</v>
      </c>
      <c r="BJ829">
        <v>0.2</v>
      </c>
      <c r="BK829">
        <v>1</v>
      </c>
      <c r="BL829">
        <v>71.69</v>
      </c>
      <c r="BM829">
        <v>10.75</v>
      </c>
      <c r="BN829">
        <v>82.44</v>
      </c>
      <c r="BO829">
        <v>82.44</v>
      </c>
      <c r="BQ829" t="s">
        <v>1591</v>
      </c>
      <c r="BR829" t="s">
        <v>84</v>
      </c>
      <c r="BS829" s="3">
        <v>45877</v>
      </c>
      <c r="BT829" s="4">
        <v>0.49444444444444446</v>
      </c>
      <c r="BU829" t="s">
        <v>1592</v>
      </c>
      <c r="BV829" t="s">
        <v>86</v>
      </c>
      <c r="BY829">
        <v>1200</v>
      </c>
      <c r="CA829" t="s">
        <v>953</v>
      </c>
      <c r="CC829" t="s">
        <v>138</v>
      </c>
      <c r="CD829">
        <v>3610</v>
      </c>
      <c r="CE829" t="s">
        <v>109</v>
      </c>
      <c r="CF829" s="3">
        <v>45877</v>
      </c>
      <c r="CI829">
        <v>1</v>
      </c>
      <c r="CJ829">
        <v>1</v>
      </c>
      <c r="CK829">
        <v>21</v>
      </c>
      <c r="CL829" t="s">
        <v>90</v>
      </c>
    </row>
    <row r="830" spans="1:90" x14ac:dyDescent="0.3">
      <c r="A830" t="s">
        <v>72</v>
      </c>
      <c r="B830" t="s">
        <v>73</v>
      </c>
      <c r="C830" t="s">
        <v>74</v>
      </c>
      <c r="E830" t="str">
        <f>"080067079629"</f>
        <v>080067079629</v>
      </c>
      <c r="F830" s="3">
        <v>45876</v>
      </c>
      <c r="G830">
        <v>202605</v>
      </c>
      <c r="H830" t="s">
        <v>75</v>
      </c>
      <c r="I830" t="s">
        <v>76</v>
      </c>
      <c r="J830" t="s">
        <v>77</v>
      </c>
      <c r="K830" t="s">
        <v>78</v>
      </c>
      <c r="L830" t="s">
        <v>223</v>
      </c>
      <c r="M830" t="s">
        <v>224</v>
      </c>
      <c r="N830" t="s">
        <v>1305</v>
      </c>
      <c r="O830" t="s">
        <v>82</v>
      </c>
      <c r="P830" t="str">
        <f>"4170053192                    "</f>
        <v xml:space="preserve">4170053192                    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40.380000000000003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1</v>
      </c>
      <c r="BI830">
        <v>2</v>
      </c>
      <c r="BJ830">
        <v>3.3</v>
      </c>
      <c r="BK830">
        <v>3.5</v>
      </c>
      <c r="BL830">
        <v>125.4</v>
      </c>
      <c r="BM830">
        <v>18.809999999999999</v>
      </c>
      <c r="BN830">
        <v>144.21</v>
      </c>
      <c r="BO830">
        <v>144.21</v>
      </c>
      <c r="BQ830" t="s">
        <v>1306</v>
      </c>
      <c r="BR830" t="s">
        <v>84</v>
      </c>
      <c r="BS830" s="3">
        <v>45877</v>
      </c>
      <c r="BT830" s="4">
        <v>0.45902777777777776</v>
      </c>
      <c r="BU830" t="s">
        <v>1593</v>
      </c>
      <c r="BV830" t="s">
        <v>90</v>
      </c>
      <c r="BY830">
        <v>16302</v>
      </c>
      <c r="CA830" t="s">
        <v>1308</v>
      </c>
      <c r="CC830" t="s">
        <v>224</v>
      </c>
      <c r="CD830">
        <v>5200</v>
      </c>
      <c r="CE830" t="s">
        <v>117</v>
      </c>
      <c r="CF830" s="3">
        <v>45877</v>
      </c>
      <c r="CI830">
        <v>1</v>
      </c>
      <c r="CJ830">
        <v>1</v>
      </c>
      <c r="CK830">
        <v>21</v>
      </c>
      <c r="CL830" t="s">
        <v>90</v>
      </c>
    </row>
    <row r="831" spans="1:90" x14ac:dyDescent="0.3">
      <c r="A831" t="s">
        <v>72</v>
      </c>
      <c r="B831" t="s">
        <v>73</v>
      </c>
      <c r="C831" t="s">
        <v>74</v>
      </c>
      <c r="E831" t="str">
        <f>"080067079655"</f>
        <v>080067079655</v>
      </c>
      <c r="F831" s="3">
        <v>45876</v>
      </c>
      <c r="G831">
        <v>202605</v>
      </c>
      <c r="H831" t="s">
        <v>75</v>
      </c>
      <c r="I831" t="s">
        <v>76</v>
      </c>
      <c r="J831" t="s">
        <v>77</v>
      </c>
      <c r="K831" t="s">
        <v>78</v>
      </c>
      <c r="L831" t="s">
        <v>198</v>
      </c>
      <c r="M831" t="s">
        <v>199</v>
      </c>
      <c r="N831" t="s">
        <v>680</v>
      </c>
      <c r="O831" t="s">
        <v>82</v>
      </c>
      <c r="P831" t="str">
        <f>"4170053157                    "</f>
        <v xml:space="preserve">4170053157                    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23.09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1</v>
      </c>
      <c r="BI831">
        <v>1</v>
      </c>
      <c r="BJ831">
        <v>0.2</v>
      </c>
      <c r="BK831">
        <v>1</v>
      </c>
      <c r="BL831">
        <v>71.69</v>
      </c>
      <c r="BM831">
        <v>10.75</v>
      </c>
      <c r="BN831">
        <v>82.44</v>
      </c>
      <c r="BO831">
        <v>82.44</v>
      </c>
      <c r="BQ831" t="s">
        <v>681</v>
      </c>
      <c r="BR831" t="s">
        <v>84</v>
      </c>
      <c r="BS831" s="3">
        <v>45877</v>
      </c>
      <c r="BT831" s="4">
        <v>0.4</v>
      </c>
      <c r="BU831" t="s">
        <v>1430</v>
      </c>
      <c r="BV831" t="s">
        <v>86</v>
      </c>
      <c r="BY831">
        <v>1200</v>
      </c>
      <c r="CA831" t="s">
        <v>413</v>
      </c>
      <c r="CC831" t="s">
        <v>199</v>
      </c>
      <c r="CD831">
        <v>6001</v>
      </c>
      <c r="CE831" t="s">
        <v>109</v>
      </c>
      <c r="CF831" s="3">
        <v>45880</v>
      </c>
      <c r="CI831">
        <v>1</v>
      </c>
      <c r="CJ831">
        <v>1</v>
      </c>
      <c r="CK831">
        <v>21</v>
      </c>
      <c r="CL831" t="s">
        <v>90</v>
      </c>
    </row>
    <row r="832" spans="1:90" x14ac:dyDescent="0.3">
      <c r="A832" t="s">
        <v>72</v>
      </c>
      <c r="B832" t="s">
        <v>73</v>
      </c>
      <c r="C832" t="s">
        <v>74</v>
      </c>
      <c r="E832" t="str">
        <f>"080067079662"</f>
        <v>080067079662</v>
      </c>
      <c r="F832" s="3">
        <v>45876</v>
      </c>
      <c r="G832">
        <v>202605</v>
      </c>
      <c r="H832" t="s">
        <v>75</v>
      </c>
      <c r="I832" t="s">
        <v>76</v>
      </c>
      <c r="J832" t="s">
        <v>77</v>
      </c>
      <c r="K832" t="s">
        <v>78</v>
      </c>
      <c r="L832" t="s">
        <v>75</v>
      </c>
      <c r="M832" t="s">
        <v>76</v>
      </c>
      <c r="N832" t="s">
        <v>1020</v>
      </c>
      <c r="O832" t="s">
        <v>113</v>
      </c>
      <c r="P832" t="str">
        <f>"4170053317                    "</f>
        <v xml:space="preserve">4170053317                    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18.04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1</v>
      </c>
      <c r="BI832">
        <v>2</v>
      </c>
      <c r="BJ832">
        <v>4.8</v>
      </c>
      <c r="BK832">
        <v>5</v>
      </c>
      <c r="BL832">
        <v>56.01</v>
      </c>
      <c r="BM832">
        <v>8.4</v>
      </c>
      <c r="BN832">
        <v>64.41</v>
      </c>
      <c r="BO832">
        <v>64.41</v>
      </c>
      <c r="BQ832" t="s">
        <v>1021</v>
      </c>
      <c r="BR832" t="s">
        <v>84</v>
      </c>
      <c r="BS832" s="3">
        <v>45880</v>
      </c>
      <c r="BT832" s="4">
        <v>0.4375</v>
      </c>
      <c r="BU832" t="s">
        <v>1444</v>
      </c>
      <c r="BV832" t="s">
        <v>90</v>
      </c>
      <c r="BW832" t="s">
        <v>1045</v>
      </c>
      <c r="BX832" t="s">
        <v>1234</v>
      </c>
      <c r="BY832">
        <v>23751</v>
      </c>
      <c r="CC832" t="s">
        <v>76</v>
      </c>
      <c r="CD832">
        <v>1645</v>
      </c>
      <c r="CE832" t="s">
        <v>147</v>
      </c>
      <c r="CF832" s="3">
        <v>45881</v>
      </c>
      <c r="CI832">
        <v>1</v>
      </c>
      <c r="CJ832">
        <v>2</v>
      </c>
      <c r="CK832">
        <v>32</v>
      </c>
      <c r="CL832" t="s">
        <v>90</v>
      </c>
    </row>
    <row r="833" spans="1:90" x14ac:dyDescent="0.3">
      <c r="A833" t="s">
        <v>72</v>
      </c>
      <c r="B833" t="s">
        <v>73</v>
      </c>
      <c r="C833" t="s">
        <v>74</v>
      </c>
      <c r="E833" t="str">
        <f>"080067079681"</f>
        <v>080067079681</v>
      </c>
      <c r="F833" s="3">
        <v>45876</v>
      </c>
      <c r="G833">
        <v>202605</v>
      </c>
      <c r="H833" t="s">
        <v>75</v>
      </c>
      <c r="I833" t="s">
        <v>76</v>
      </c>
      <c r="J833" t="s">
        <v>77</v>
      </c>
      <c r="K833" t="s">
        <v>78</v>
      </c>
      <c r="L833" t="s">
        <v>198</v>
      </c>
      <c r="M833" t="s">
        <v>199</v>
      </c>
      <c r="N833" t="s">
        <v>680</v>
      </c>
      <c r="O833" t="s">
        <v>82</v>
      </c>
      <c r="P833" t="str">
        <f>"4170053158                    "</f>
        <v xml:space="preserve">4170053158                    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23.09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0</v>
      </c>
      <c r="BH833">
        <v>1</v>
      </c>
      <c r="BI833">
        <v>1</v>
      </c>
      <c r="BJ833">
        <v>0.2</v>
      </c>
      <c r="BK833">
        <v>1</v>
      </c>
      <c r="BL833">
        <v>71.69</v>
      </c>
      <c r="BM833">
        <v>10.75</v>
      </c>
      <c r="BN833">
        <v>82.44</v>
      </c>
      <c r="BO833">
        <v>82.44</v>
      </c>
      <c r="BQ833" t="s">
        <v>681</v>
      </c>
      <c r="BR833" t="s">
        <v>84</v>
      </c>
      <c r="BS833" s="3">
        <v>45877</v>
      </c>
      <c r="BT833" s="4">
        <v>0.4</v>
      </c>
      <c r="BU833" t="s">
        <v>1430</v>
      </c>
      <c r="BV833" t="s">
        <v>86</v>
      </c>
      <c r="BY833">
        <v>1200</v>
      </c>
      <c r="CA833" t="s">
        <v>413</v>
      </c>
      <c r="CC833" t="s">
        <v>199</v>
      </c>
      <c r="CD833">
        <v>6001</v>
      </c>
      <c r="CE833" t="s">
        <v>109</v>
      </c>
      <c r="CF833" s="3">
        <v>45880</v>
      </c>
      <c r="CI833">
        <v>1</v>
      </c>
      <c r="CJ833">
        <v>1</v>
      </c>
      <c r="CK833">
        <v>21</v>
      </c>
      <c r="CL833" t="s">
        <v>90</v>
      </c>
    </row>
    <row r="834" spans="1:90" x14ac:dyDescent="0.3">
      <c r="A834" t="s">
        <v>72</v>
      </c>
      <c r="B834" t="s">
        <v>73</v>
      </c>
      <c r="C834" t="s">
        <v>74</v>
      </c>
      <c r="E834" t="str">
        <f>"080067079995"</f>
        <v>080067079995</v>
      </c>
      <c r="F834" s="3">
        <v>45876</v>
      </c>
      <c r="G834">
        <v>202605</v>
      </c>
      <c r="H834" t="s">
        <v>75</v>
      </c>
      <c r="I834" t="s">
        <v>76</v>
      </c>
      <c r="J834" t="s">
        <v>77</v>
      </c>
      <c r="K834" t="s">
        <v>78</v>
      </c>
      <c r="L834" t="s">
        <v>325</v>
      </c>
      <c r="M834" t="s">
        <v>326</v>
      </c>
      <c r="N834" t="s">
        <v>1209</v>
      </c>
      <c r="O834" t="s">
        <v>82</v>
      </c>
      <c r="P834" t="str">
        <f>"4170053297                    "</f>
        <v xml:space="preserve">4170053297                    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18.03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1</v>
      </c>
      <c r="BJ834">
        <v>0.2</v>
      </c>
      <c r="BK834">
        <v>1</v>
      </c>
      <c r="BL834">
        <v>55.99</v>
      </c>
      <c r="BM834">
        <v>8.4</v>
      </c>
      <c r="BN834">
        <v>64.39</v>
      </c>
      <c r="BO834">
        <v>64.39</v>
      </c>
      <c r="BQ834" t="s">
        <v>1210</v>
      </c>
      <c r="BR834" t="s">
        <v>84</v>
      </c>
      <c r="BS834" s="3">
        <v>45877</v>
      </c>
      <c r="BT834" s="4">
        <v>0.38124999999999998</v>
      </c>
      <c r="BU834" t="s">
        <v>1594</v>
      </c>
      <c r="BV834" t="s">
        <v>86</v>
      </c>
      <c r="BY834">
        <v>1200</v>
      </c>
      <c r="CA834" t="s">
        <v>331</v>
      </c>
      <c r="CC834" t="s">
        <v>326</v>
      </c>
      <c r="CD834">
        <v>2190</v>
      </c>
      <c r="CE834" t="s">
        <v>109</v>
      </c>
      <c r="CF834" s="3">
        <v>45878</v>
      </c>
      <c r="CI834">
        <v>1</v>
      </c>
      <c r="CJ834">
        <v>1</v>
      </c>
      <c r="CK834">
        <v>22</v>
      </c>
      <c r="CL834" t="s">
        <v>90</v>
      </c>
    </row>
    <row r="835" spans="1:90" x14ac:dyDescent="0.3">
      <c r="A835" t="s">
        <v>72</v>
      </c>
      <c r="B835" t="s">
        <v>73</v>
      </c>
      <c r="C835" t="s">
        <v>74</v>
      </c>
      <c r="E835" t="str">
        <f>"080067080016"</f>
        <v>080067080016</v>
      </c>
      <c r="F835" s="3">
        <v>45876</v>
      </c>
      <c r="G835">
        <v>202605</v>
      </c>
      <c r="H835" t="s">
        <v>75</v>
      </c>
      <c r="I835" t="s">
        <v>76</v>
      </c>
      <c r="J835" t="s">
        <v>77</v>
      </c>
      <c r="K835" t="s">
        <v>78</v>
      </c>
      <c r="L835" t="s">
        <v>198</v>
      </c>
      <c r="M835" t="s">
        <v>199</v>
      </c>
      <c r="N835" t="s">
        <v>1576</v>
      </c>
      <c r="O835" t="s">
        <v>82</v>
      </c>
      <c r="P835" t="str">
        <f>"4170053241                    "</f>
        <v xml:space="preserve">4170053241                    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23.09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1</v>
      </c>
      <c r="BI835">
        <v>1</v>
      </c>
      <c r="BJ835">
        <v>0.2</v>
      </c>
      <c r="BK835">
        <v>1</v>
      </c>
      <c r="BL835">
        <v>71.69</v>
      </c>
      <c r="BM835">
        <v>10.75</v>
      </c>
      <c r="BN835">
        <v>82.44</v>
      </c>
      <c r="BO835">
        <v>82.44</v>
      </c>
      <c r="BQ835" t="s">
        <v>1577</v>
      </c>
      <c r="BR835" t="s">
        <v>84</v>
      </c>
      <c r="BS835" s="3">
        <v>45877</v>
      </c>
      <c r="BT835" s="4">
        <v>0.41388888888888886</v>
      </c>
      <c r="BU835" t="s">
        <v>1578</v>
      </c>
      <c r="BV835" t="s">
        <v>86</v>
      </c>
      <c r="BY835">
        <v>1200</v>
      </c>
      <c r="CA835" t="s">
        <v>203</v>
      </c>
      <c r="CC835" t="s">
        <v>199</v>
      </c>
      <c r="CD835">
        <v>6001</v>
      </c>
      <c r="CE835" t="s">
        <v>109</v>
      </c>
      <c r="CF835" s="3">
        <v>45877</v>
      </c>
      <c r="CI835">
        <v>1</v>
      </c>
      <c r="CJ835">
        <v>1</v>
      </c>
      <c r="CK835">
        <v>21</v>
      </c>
      <c r="CL835" t="s">
        <v>90</v>
      </c>
    </row>
    <row r="836" spans="1:90" x14ac:dyDescent="0.3">
      <c r="A836" t="s">
        <v>72</v>
      </c>
      <c r="B836" t="s">
        <v>73</v>
      </c>
      <c r="C836" t="s">
        <v>74</v>
      </c>
      <c r="E836" t="str">
        <f>"080067080037"</f>
        <v>080067080037</v>
      </c>
      <c r="F836" s="3">
        <v>45876</v>
      </c>
      <c r="G836">
        <v>202605</v>
      </c>
      <c r="H836" t="s">
        <v>75</v>
      </c>
      <c r="I836" t="s">
        <v>76</v>
      </c>
      <c r="J836" t="s">
        <v>77</v>
      </c>
      <c r="K836" t="s">
        <v>78</v>
      </c>
      <c r="L836" t="s">
        <v>223</v>
      </c>
      <c r="M836" t="s">
        <v>224</v>
      </c>
      <c r="N836" t="s">
        <v>939</v>
      </c>
      <c r="O836" t="s">
        <v>82</v>
      </c>
      <c r="P836" t="str">
        <f>"4170053215                    "</f>
        <v xml:space="preserve">4170053215                    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23.09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1</v>
      </c>
      <c r="BI836">
        <v>1</v>
      </c>
      <c r="BJ836">
        <v>0.2</v>
      </c>
      <c r="BK836">
        <v>1</v>
      </c>
      <c r="BL836">
        <v>71.69</v>
      </c>
      <c r="BM836">
        <v>10.75</v>
      </c>
      <c r="BN836">
        <v>82.44</v>
      </c>
      <c r="BO836">
        <v>82.44</v>
      </c>
      <c r="BQ836" t="s">
        <v>940</v>
      </c>
      <c r="BR836" t="s">
        <v>84</v>
      </c>
      <c r="BS836" s="3">
        <v>45877</v>
      </c>
      <c r="BT836" s="4">
        <v>0.51736111111111116</v>
      </c>
      <c r="BU836" t="s">
        <v>295</v>
      </c>
      <c r="BV836" t="s">
        <v>90</v>
      </c>
      <c r="BY836">
        <v>1200</v>
      </c>
      <c r="CA836" t="s">
        <v>228</v>
      </c>
      <c r="CC836" t="s">
        <v>224</v>
      </c>
      <c r="CD836">
        <v>5201</v>
      </c>
      <c r="CE836" t="s">
        <v>109</v>
      </c>
      <c r="CF836" s="3">
        <v>45877</v>
      </c>
      <c r="CI836">
        <v>1</v>
      </c>
      <c r="CJ836">
        <v>1</v>
      </c>
      <c r="CK836">
        <v>21</v>
      </c>
      <c r="CL836" t="s">
        <v>90</v>
      </c>
    </row>
    <row r="837" spans="1:90" x14ac:dyDescent="0.3">
      <c r="A837" t="s">
        <v>72</v>
      </c>
      <c r="B837" t="s">
        <v>73</v>
      </c>
      <c r="C837" t="s">
        <v>74</v>
      </c>
      <c r="E837" t="str">
        <f>"080067080076"</f>
        <v>080067080076</v>
      </c>
      <c r="F837" s="3">
        <v>45876</v>
      </c>
      <c r="G837">
        <v>202605</v>
      </c>
      <c r="H837" t="s">
        <v>75</v>
      </c>
      <c r="I837" t="s">
        <v>76</v>
      </c>
      <c r="J837" t="s">
        <v>77</v>
      </c>
      <c r="K837" t="s">
        <v>78</v>
      </c>
      <c r="L837" t="s">
        <v>217</v>
      </c>
      <c r="M837" t="s">
        <v>218</v>
      </c>
      <c r="N837" t="s">
        <v>1104</v>
      </c>
      <c r="O837" t="s">
        <v>82</v>
      </c>
      <c r="P837" t="str">
        <f>"4170053179                    "</f>
        <v xml:space="preserve">4170053179                    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23.09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1</v>
      </c>
      <c r="BI837">
        <v>1</v>
      </c>
      <c r="BJ837">
        <v>0.2</v>
      </c>
      <c r="BK837">
        <v>1</v>
      </c>
      <c r="BL837">
        <v>71.69</v>
      </c>
      <c r="BM837">
        <v>10.75</v>
      </c>
      <c r="BN837">
        <v>82.44</v>
      </c>
      <c r="BO837">
        <v>82.44</v>
      </c>
      <c r="BQ837" t="s">
        <v>1105</v>
      </c>
      <c r="BR837" t="s">
        <v>84</v>
      </c>
      <c r="BS837" s="3">
        <v>45877</v>
      </c>
      <c r="BT837" s="4">
        <v>0.42222222222222222</v>
      </c>
      <c r="BU837" t="s">
        <v>1595</v>
      </c>
      <c r="BV837" t="s">
        <v>86</v>
      </c>
      <c r="BY837">
        <v>1200</v>
      </c>
      <c r="CA837" t="s">
        <v>264</v>
      </c>
      <c r="CC837" t="s">
        <v>218</v>
      </c>
      <c r="CD837">
        <v>4071</v>
      </c>
      <c r="CE837" t="s">
        <v>1225</v>
      </c>
      <c r="CF837" s="3">
        <v>45878</v>
      </c>
      <c r="CI837">
        <v>1</v>
      </c>
      <c r="CJ837">
        <v>1</v>
      </c>
      <c r="CK837">
        <v>21</v>
      </c>
      <c r="CL837" t="s">
        <v>90</v>
      </c>
    </row>
    <row r="838" spans="1:90" x14ac:dyDescent="0.3">
      <c r="A838" t="s">
        <v>72</v>
      </c>
      <c r="B838" t="s">
        <v>73</v>
      </c>
      <c r="C838" t="s">
        <v>74</v>
      </c>
      <c r="E838" t="str">
        <f>"080067080119"</f>
        <v>080067080119</v>
      </c>
      <c r="F838" s="3">
        <v>45876</v>
      </c>
      <c r="G838">
        <v>202605</v>
      </c>
      <c r="H838" t="s">
        <v>75</v>
      </c>
      <c r="I838" t="s">
        <v>76</v>
      </c>
      <c r="J838" t="s">
        <v>77</v>
      </c>
      <c r="K838" t="s">
        <v>78</v>
      </c>
      <c r="L838" t="s">
        <v>234</v>
      </c>
      <c r="M838" t="s">
        <v>235</v>
      </c>
      <c r="N838" t="s">
        <v>821</v>
      </c>
      <c r="O838" t="s">
        <v>82</v>
      </c>
      <c r="P838" t="str">
        <f>"4170053210                    "</f>
        <v xml:space="preserve">4170053210                    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23.09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1</v>
      </c>
      <c r="BI838">
        <v>1</v>
      </c>
      <c r="BJ838">
        <v>0.2</v>
      </c>
      <c r="BK838">
        <v>1</v>
      </c>
      <c r="BL838">
        <v>71.69</v>
      </c>
      <c r="BM838">
        <v>10.75</v>
      </c>
      <c r="BN838">
        <v>82.44</v>
      </c>
      <c r="BO838">
        <v>82.44</v>
      </c>
      <c r="BQ838" t="s">
        <v>822</v>
      </c>
      <c r="BR838" t="s">
        <v>84</v>
      </c>
      <c r="BS838" s="3">
        <v>45877</v>
      </c>
      <c r="BT838" s="4">
        <v>0.3923611111111111</v>
      </c>
      <c r="BU838" t="s">
        <v>1572</v>
      </c>
      <c r="BV838" t="s">
        <v>86</v>
      </c>
      <c r="BY838">
        <v>1200</v>
      </c>
      <c r="CA838" t="s">
        <v>239</v>
      </c>
      <c r="CC838" t="s">
        <v>235</v>
      </c>
      <c r="CD838" s="5" t="s">
        <v>240</v>
      </c>
      <c r="CE838" t="s">
        <v>109</v>
      </c>
      <c r="CF838" s="3">
        <v>45877</v>
      </c>
      <c r="CI838">
        <v>1</v>
      </c>
      <c r="CJ838">
        <v>1</v>
      </c>
      <c r="CK838">
        <v>21</v>
      </c>
      <c r="CL838" t="s">
        <v>90</v>
      </c>
    </row>
    <row r="839" spans="1:90" x14ac:dyDescent="0.3">
      <c r="A839" t="s">
        <v>72</v>
      </c>
      <c r="B839" t="s">
        <v>73</v>
      </c>
      <c r="C839" t="s">
        <v>74</v>
      </c>
      <c r="E839" t="str">
        <f>"080067080157"</f>
        <v>080067080157</v>
      </c>
      <c r="F839" s="3">
        <v>45876</v>
      </c>
      <c r="G839">
        <v>202605</v>
      </c>
      <c r="H839" t="s">
        <v>75</v>
      </c>
      <c r="I839" t="s">
        <v>76</v>
      </c>
      <c r="J839" t="s">
        <v>77</v>
      </c>
      <c r="K839" t="s">
        <v>78</v>
      </c>
      <c r="L839" t="s">
        <v>555</v>
      </c>
      <c r="M839" t="s">
        <v>556</v>
      </c>
      <c r="N839" t="s">
        <v>557</v>
      </c>
      <c r="O839" t="s">
        <v>82</v>
      </c>
      <c r="P839" t="str">
        <f>"4170053129                    "</f>
        <v xml:space="preserve">4170053129                    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44.73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1</v>
      </c>
      <c r="BI839">
        <v>1</v>
      </c>
      <c r="BJ839">
        <v>0.2</v>
      </c>
      <c r="BK839">
        <v>1</v>
      </c>
      <c r="BL839">
        <v>138.88999999999999</v>
      </c>
      <c r="BM839">
        <v>20.83</v>
      </c>
      <c r="BN839">
        <v>159.72</v>
      </c>
      <c r="BO839">
        <v>159.72</v>
      </c>
      <c r="BQ839" t="s">
        <v>558</v>
      </c>
      <c r="BR839" t="s">
        <v>84</v>
      </c>
      <c r="BS839" s="3">
        <v>45877</v>
      </c>
      <c r="BT839" s="4">
        <v>0.50763888888888886</v>
      </c>
      <c r="BU839" t="s">
        <v>1596</v>
      </c>
      <c r="BV839" t="s">
        <v>86</v>
      </c>
      <c r="BY839">
        <v>1200</v>
      </c>
      <c r="CA839" t="s">
        <v>1347</v>
      </c>
      <c r="CC839" t="s">
        <v>556</v>
      </c>
      <c r="CD839">
        <v>6850</v>
      </c>
      <c r="CE839" t="s">
        <v>109</v>
      </c>
      <c r="CF839" s="3">
        <v>45880</v>
      </c>
      <c r="CI839">
        <v>2</v>
      </c>
      <c r="CJ839">
        <v>1</v>
      </c>
      <c r="CK839">
        <v>23</v>
      </c>
      <c r="CL839" t="s">
        <v>90</v>
      </c>
    </row>
    <row r="840" spans="1:90" x14ac:dyDescent="0.3">
      <c r="A840" t="s">
        <v>72</v>
      </c>
      <c r="B840" t="s">
        <v>73</v>
      </c>
      <c r="C840" t="s">
        <v>74</v>
      </c>
      <c r="E840" t="str">
        <f>"080067080203"</f>
        <v>080067080203</v>
      </c>
      <c r="F840" s="3">
        <v>45876</v>
      </c>
      <c r="G840">
        <v>202605</v>
      </c>
      <c r="H840" t="s">
        <v>75</v>
      </c>
      <c r="I840" t="s">
        <v>76</v>
      </c>
      <c r="J840" t="s">
        <v>77</v>
      </c>
      <c r="K840" t="s">
        <v>78</v>
      </c>
      <c r="L840" t="s">
        <v>400</v>
      </c>
      <c r="M840" t="s">
        <v>401</v>
      </c>
      <c r="N840" t="s">
        <v>1597</v>
      </c>
      <c r="O840" t="s">
        <v>82</v>
      </c>
      <c r="P840" t="str">
        <f>"4170053073                    "</f>
        <v xml:space="preserve">4170053073                    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23.09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1</v>
      </c>
      <c r="BI840">
        <v>1</v>
      </c>
      <c r="BJ840">
        <v>0.2</v>
      </c>
      <c r="BK840">
        <v>1</v>
      </c>
      <c r="BL840">
        <v>71.69</v>
      </c>
      <c r="BM840">
        <v>10.75</v>
      </c>
      <c r="BN840">
        <v>82.44</v>
      </c>
      <c r="BO840">
        <v>82.44</v>
      </c>
      <c r="BQ840" t="s">
        <v>1598</v>
      </c>
      <c r="BR840" t="s">
        <v>84</v>
      </c>
      <c r="BS840" s="3">
        <v>45877</v>
      </c>
      <c r="BT840" s="4">
        <v>0.34375</v>
      </c>
      <c r="BU840" t="s">
        <v>1599</v>
      </c>
      <c r="BV840" t="s">
        <v>86</v>
      </c>
      <c r="BY840">
        <v>1200</v>
      </c>
      <c r="CA840" t="s">
        <v>405</v>
      </c>
      <c r="CC840" t="s">
        <v>401</v>
      </c>
      <c r="CD840">
        <v>6229</v>
      </c>
      <c r="CE840" t="s">
        <v>109</v>
      </c>
      <c r="CF840" s="3">
        <v>45877</v>
      </c>
      <c r="CI840">
        <v>1</v>
      </c>
      <c r="CJ840">
        <v>1</v>
      </c>
      <c r="CK840">
        <v>21</v>
      </c>
      <c r="CL840" t="s">
        <v>90</v>
      </c>
    </row>
    <row r="841" spans="1:90" x14ac:dyDescent="0.3">
      <c r="A841" t="s">
        <v>72</v>
      </c>
      <c r="B841" t="s">
        <v>73</v>
      </c>
      <c r="C841" t="s">
        <v>74</v>
      </c>
      <c r="E841" t="str">
        <f>"080067080248"</f>
        <v>080067080248</v>
      </c>
      <c r="F841" s="3">
        <v>45876</v>
      </c>
      <c r="G841">
        <v>202605</v>
      </c>
      <c r="H841" t="s">
        <v>75</v>
      </c>
      <c r="I841" t="s">
        <v>76</v>
      </c>
      <c r="J841" t="s">
        <v>77</v>
      </c>
      <c r="K841" t="s">
        <v>78</v>
      </c>
      <c r="L841" t="s">
        <v>79</v>
      </c>
      <c r="M841" t="s">
        <v>80</v>
      </c>
      <c r="N841" t="s">
        <v>635</v>
      </c>
      <c r="O841" t="s">
        <v>82</v>
      </c>
      <c r="P841" t="str">
        <f>"4170053348                    "</f>
        <v xml:space="preserve">4170053348                    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18.03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1</v>
      </c>
      <c r="BI841">
        <v>1</v>
      </c>
      <c r="BJ841">
        <v>0.2</v>
      </c>
      <c r="BK841">
        <v>1</v>
      </c>
      <c r="BL841">
        <v>55.99</v>
      </c>
      <c r="BM841">
        <v>8.4</v>
      </c>
      <c r="BN841">
        <v>64.39</v>
      </c>
      <c r="BO841">
        <v>64.39</v>
      </c>
      <c r="BQ841" t="s">
        <v>636</v>
      </c>
      <c r="BR841" t="s">
        <v>84</v>
      </c>
      <c r="BS841" s="3">
        <v>45877</v>
      </c>
      <c r="BT841" s="4">
        <v>0.3576388888888889</v>
      </c>
      <c r="BU841" t="s">
        <v>1600</v>
      </c>
      <c r="BV841" t="s">
        <v>86</v>
      </c>
      <c r="BY841">
        <v>1200</v>
      </c>
      <c r="CA841" t="s">
        <v>1069</v>
      </c>
      <c r="CC841" t="s">
        <v>80</v>
      </c>
      <c r="CD841">
        <v>1428</v>
      </c>
      <c r="CE841" t="s">
        <v>109</v>
      </c>
      <c r="CF841" s="3">
        <v>45878</v>
      </c>
      <c r="CI841">
        <v>1</v>
      </c>
      <c r="CJ841">
        <v>1</v>
      </c>
      <c r="CK841">
        <v>22</v>
      </c>
      <c r="CL841" t="s">
        <v>90</v>
      </c>
    </row>
    <row r="842" spans="1:90" x14ac:dyDescent="0.3">
      <c r="A842" t="s">
        <v>72</v>
      </c>
      <c r="B842" t="s">
        <v>73</v>
      </c>
      <c r="C842" t="s">
        <v>74</v>
      </c>
      <c r="E842" t="str">
        <f>"080067080334"</f>
        <v>080067080334</v>
      </c>
      <c r="F842" s="3">
        <v>45876</v>
      </c>
      <c r="G842">
        <v>202605</v>
      </c>
      <c r="H842" t="s">
        <v>75</v>
      </c>
      <c r="I842" t="s">
        <v>76</v>
      </c>
      <c r="J842" t="s">
        <v>77</v>
      </c>
      <c r="K842" t="s">
        <v>78</v>
      </c>
      <c r="L842" t="s">
        <v>855</v>
      </c>
      <c r="M842" t="s">
        <v>856</v>
      </c>
      <c r="N842" t="s">
        <v>1601</v>
      </c>
      <c r="O842" t="s">
        <v>82</v>
      </c>
      <c r="P842" t="str">
        <f>"4170053252                    "</f>
        <v xml:space="preserve">4170053252                    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18.03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1</v>
      </c>
      <c r="BI842">
        <v>2</v>
      </c>
      <c r="BJ842">
        <v>1.8</v>
      </c>
      <c r="BK842">
        <v>2</v>
      </c>
      <c r="BL842">
        <v>55.99</v>
      </c>
      <c r="BM842">
        <v>8.4</v>
      </c>
      <c r="BN842">
        <v>64.39</v>
      </c>
      <c r="BO842">
        <v>64.39</v>
      </c>
      <c r="BQ842" t="s">
        <v>1602</v>
      </c>
      <c r="BR842" t="s">
        <v>84</v>
      </c>
      <c r="BS842" s="3">
        <v>45877</v>
      </c>
      <c r="BT842" s="4">
        <v>0.38611111111111113</v>
      </c>
      <c r="BU842" t="s">
        <v>1603</v>
      </c>
      <c r="BV842" t="s">
        <v>86</v>
      </c>
      <c r="BY842">
        <v>9044</v>
      </c>
      <c r="CA842" t="s">
        <v>1604</v>
      </c>
      <c r="CC842" t="s">
        <v>856</v>
      </c>
      <c r="CD842">
        <v>1684</v>
      </c>
      <c r="CE842" t="s">
        <v>147</v>
      </c>
      <c r="CF842" s="3">
        <v>45878</v>
      </c>
      <c r="CI842">
        <v>1</v>
      </c>
      <c r="CJ842">
        <v>1</v>
      </c>
      <c r="CK842">
        <v>22</v>
      </c>
      <c r="CL842" t="s">
        <v>90</v>
      </c>
    </row>
    <row r="843" spans="1:90" x14ac:dyDescent="0.3">
      <c r="A843" t="s">
        <v>72</v>
      </c>
      <c r="B843" t="s">
        <v>73</v>
      </c>
      <c r="C843" t="s">
        <v>74</v>
      </c>
      <c r="E843" t="str">
        <f>"080067080402"</f>
        <v>080067080402</v>
      </c>
      <c r="F843" s="3">
        <v>45876</v>
      </c>
      <c r="G843">
        <v>202605</v>
      </c>
      <c r="H843" t="s">
        <v>75</v>
      </c>
      <c r="I843" t="s">
        <v>76</v>
      </c>
      <c r="J843" t="s">
        <v>77</v>
      </c>
      <c r="K843" t="s">
        <v>78</v>
      </c>
      <c r="L843" t="s">
        <v>137</v>
      </c>
      <c r="M843" t="s">
        <v>138</v>
      </c>
      <c r="N843" t="s">
        <v>1239</v>
      </c>
      <c r="O843" t="s">
        <v>95</v>
      </c>
      <c r="P843" t="str">
        <f>"4170053445                    "</f>
        <v xml:space="preserve">4170053445                    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50.17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2</v>
      </c>
      <c r="BI843">
        <v>18</v>
      </c>
      <c r="BJ843">
        <v>16.600000000000001</v>
      </c>
      <c r="BK843">
        <v>18</v>
      </c>
      <c r="BL843">
        <v>161.66</v>
      </c>
      <c r="BM843">
        <v>24.25</v>
      </c>
      <c r="BN843">
        <v>185.91</v>
      </c>
      <c r="BO843">
        <v>185.91</v>
      </c>
      <c r="BQ843" t="s">
        <v>1240</v>
      </c>
      <c r="BR843" t="s">
        <v>84</v>
      </c>
      <c r="BS843" s="3">
        <v>45877</v>
      </c>
      <c r="BT843" s="4">
        <v>0.50347222222222221</v>
      </c>
      <c r="BU843" t="s">
        <v>1605</v>
      </c>
      <c r="BV843" t="s">
        <v>86</v>
      </c>
      <c r="BY843">
        <v>82875</v>
      </c>
      <c r="CA843" t="s">
        <v>547</v>
      </c>
      <c r="CC843" t="s">
        <v>138</v>
      </c>
      <c r="CD843">
        <v>3610</v>
      </c>
      <c r="CE843" t="s">
        <v>109</v>
      </c>
      <c r="CF843" s="3">
        <v>45880</v>
      </c>
      <c r="CI843">
        <v>1</v>
      </c>
      <c r="CJ843">
        <v>1</v>
      </c>
      <c r="CK843">
        <v>41</v>
      </c>
      <c r="CL843" t="s">
        <v>90</v>
      </c>
    </row>
    <row r="844" spans="1:90" x14ac:dyDescent="0.3">
      <c r="A844" t="s">
        <v>72</v>
      </c>
      <c r="B844" t="s">
        <v>73</v>
      </c>
      <c r="C844" t="s">
        <v>74</v>
      </c>
      <c r="E844" t="str">
        <f>"080067080434"</f>
        <v>080067080434</v>
      </c>
      <c r="F844" s="3">
        <v>45876</v>
      </c>
      <c r="G844">
        <v>202605</v>
      </c>
      <c r="H844" t="s">
        <v>75</v>
      </c>
      <c r="I844" t="s">
        <v>76</v>
      </c>
      <c r="J844" t="s">
        <v>77</v>
      </c>
      <c r="K844" t="s">
        <v>78</v>
      </c>
      <c r="L844" t="s">
        <v>1087</v>
      </c>
      <c r="M844" t="s">
        <v>1088</v>
      </c>
      <c r="N844" t="s">
        <v>1089</v>
      </c>
      <c r="O844" t="s">
        <v>95</v>
      </c>
      <c r="P844" t="str">
        <f>"4170053365                    "</f>
        <v xml:space="preserve">4170053365                    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114.41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1</v>
      </c>
      <c r="BI844">
        <v>13</v>
      </c>
      <c r="BJ844">
        <v>30.9</v>
      </c>
      <c r="BK844">
        <v>31</v>
      </c>
      <c r="BL844">
        <v>361.15</v>
      </c>
      <c r="BM844">
        <v>54.17</v>
      </c>
      <c r="BN844">
        <v>415.32</v>
      </c>
      <c r="BO844">
        <v>415.32</v>
      </c>
      <c r="BQ844" t="s">
        <v>1090</v>
      </c>
      <c r="BR844" t="s">
        <v>84</v>
      </c>
      <c r="BS844" s="3">
        <v>45880</v>
      </c>
      <c r="BT844" s="4">
        <v>0.5805555555555556</v>
      </c>
      <c r="BU844" t="s">
        <v>1606</v>
      </c>
      <c r="BV844" t="s">
        <v>86</v>
      </c>
      <c r="BY844">
        <v>154560</v>
      </c>
      <c r="CA844" t="s">
        <v>1092</v>
      </c>
      <c r="CC844" t="s">
        <v>1088</v>
      </c>
      <c r="CD844">
        <v>6500</v>
      </c>
      <c r="CE844" t="s">
        <v>147</v>
      </c>
      <c r="CF844" s="3">
        <v>45880</v>
      </c>
      <c r="CI844">
        <v>3</v>
      </c>
      <c r="CJ844">
        <v>2</v>
      </c>
      <c r="CK844">
        <v>43</v>
      </c>
      <c r="CL844" t="s">
        <v>90</v>
      </c>
    </row>
    <row r="845" spans="1:90" x14ac:dyDescent="0.3">
      <c r="A845" t="s">
        <v>72</v>
      </c>
      <c r="B845" t="s">
        <v>73</v>
      </c>
      <c r="C845" t="s">
        <v>74</v>
      </c>
      <c r="E845" t="str">
        <f>"080067080493"</f>
        <v>080067080493</v>
      </c>
      <c r="F845" s="3">
        <v>45876</v>
      </c>
      <c r="G845">
        <v>202605</v>
      </c>
      <c r="H845" t="s">
        <v>75</v>
      </c>
      <c r="I845" t="s">
        <v>76</v>
      </c>
      <c r="J845" t="s">
        <v>77</v>
      </c>
      <c r="K845" t="s">
        <v>78</v>
      </c>
      <c r="L845" t="s">
        <v>223</v>
      </c>
      <c r="M845" t="s">
        <v>224</v>
      </c>
      <c r="N845" t="s">
        <v>1607</v>
      </c>
      <c r="O845" t="s">
        <v>82</v>
      </c>
      <c r="P845" t="str">
        <f>"4170053377                    "</f>
        <v xml:space="preserve">4170053377                    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23.09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1</v>
      </c>
      <c r="BI845">
        <v>2</v>
      </c>
      <c r="BJ845">
        <v>1.7</v>
      </c>
      <c r="BK845">
        <v>2</v>
      </c>
      <c r="BL845">
        <v>71.69</v>
      </c>
      <c r="BM845">
        <v>10.75</v>
      </c>
      <c r="BN845">
        <v>82.44</v>
      </c>
      <c r="BO845">
        <v>82.44</v>
      </c>
      <c r="BQ845" t="s">
        <v>1608</v>
      </c>
      <c r="BR845" t="s">
        <v>84</v>
      </c>
      <c r="BS845" s="3">
        <v>45877</v>
      </c>
      <c r="BT845" s="4">
        <v>0.60416666666666663</v>
      </c>
      <c r="BU845" t="s">
        <v>1609</v>
      </c>
      <c r="BV845" t="s">
        <v>86</v>
      </c>
      <c r="BY845">
        <v>8512</v>
      </c>
      <c r="CA845" t="s">
        <v>268</v>
      </c>
      <c r="CC845" t="s">
        <v>224</v>
      </c>
      <c r="CD845">
        <v>5201</v>
      </c>
      <c r="CE845" t="s">
        <v>147</v>
      </c>
      <c r="CF845" s="3">
        <v>45877</v>
      </c>
      <c r="CI845">
        <v>5</v>
      </c>
      <c r="CJ845">
        <v>1</v>
      </c>
      <c r="CK845">
        <v>21</v>
      </c>
      <c r="CL845" t="s">
        <v>90</v>
      </c>
    </row>
    <row r="846" spans="1:90" x14ac:dyDescent="0.3">
      <c r="A846" t="s">
        <v>72</v>
      </c>
      <c r="B846" t="s">
        <v>73</v>
      </c>
      <c r="C846" t="s">
        <v>74</v>
      </c>
      <c r="E846" t="str">
        <f>"080067080524"</f>
        <v>080067080524</v>
      </c>
      <c r="F846" s="3">
        <v>45876</v>
      </c>
      <c r="G846">
        <v>202605</v>
      </c>
      <c r="H846" t="s">
        <v>75</v>
      </c>
      <c r="I846" t="s">
        <v>76</v>
      </c>
      <c r="J846" t="s">
        <v>77</v>
      </c>
      <c r="K846" t="s">
        <v>78</v>
      </c>
      <c r="L846" t="s">
        <v>137</v>
      </c>
      <c r="M846" t="s">
        <v>138</v>
      </c>
      <c r="N846" t="s">
        <v>1073</v>
      </c>
      <c r="O846" t="s">
        <v>82</v>
      </c>
      <c r="P846" t="str">
        <f>"4170053310                    "</f>
        <v xml:space="preserve">4170053310                    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23.09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1</v>
      </c>
      <c r="BI846">
        <v>1</v>
      </c>
      <c r="BJ846">
        <v>0.6</v>
      </c>
      <c r="BK846">
        <v>1</v>
      </c>
      <c r="BL846">
        <v>71.69</v>
      </c>
      <c r="BM846">
        <v>10.75</v>
      </c>
      <c r="BN846">
        <v>82.44</v>
      </c>
      <c r="BO846">
        <v>82.44</v>
      </c>
      <c r="BQ846" t="s">
        <v>1074</v>
      </c>
      <c r="BR846" t="s">
        <v>84</v>
      </c>
      <c r="BS846" s="3">
        <v>45877</v>
      </c>
      <c r="BT846" s="4">
        <v>0.47638888888888886</v>
      </c>
      <c r="BU846" t="s">
        <v>1310</v>
      </c>
      <c r="BV846" t="s">
        <v>86</v>
      </c>
      <c r="BY846">
        <v>3192</v>
      </c>
      <c r="CA846" t="s">
        <v>953</v>
      </c>
      <c r="CC846" t="s">
        <v>138</v>
      </c>
      <c r="CD846">
        <v>3610</v>
      </c>
      <c r="CE846" t="s">
        <v>147</v>
      </c>
      <c r="CF846" s="3">
        <v>45877</v>
      </c>
      <c r="CI846">
        <v>1</v>
      </c>
      <c r="CJ846">
        <v>1</v>
      </c>
      <c r="CK846">
        <v>21</v>
      </c>
      <c r="CL846" t="s">
        <v>90</v>
      </c>
    </row>
    <row r="847" spans="1:90" x14ac:dyDescent="0.3">
      <c r="A847" t="s">
        <v>72</v>
      </c>
      <c r="B847" t="s">
        <v>73</v>
      </c>
      <c r="C847" t="s">
        <v>74</v>
      </c>
      <c r="E847" t="str">
        <f>"080067080554"</f>
        <v>080067080554</v>
      </c>
      <c r="F847" s="3">
        <v>45876</v>
      </c>
      <c r="G847">
        <v>202605</v>
      </c>
      <c r="H847" t="s">
        <v>75</v>
      </c>
      <c r="I847" t="s">
        <v>76</v>
      </c>
      <c r="J847" t="s">
        <v>77</v>
      </c>
      <c r="K847" t="s">
        <v>78</v>
      </c>
      <c r="L847" t="s">
        <v>217</v>
      </c>
      <c r="M847" t="s">
        <v>218</v>
      </c>
      <c r="N847" t="s">
        <v>1610</v>
      </c>
      <c r="O847" t="s">
        <v>82</v>
      </c>
      <c r="P847" t="str">
        <f>"4170053396                    "</f>
        <v xml:space="preserve">4170053396                    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57.68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1</v>
      </c>
      <c r="BI847">
        <v>5</v>
      </c>
      <c r="BJ847">
        <v>3.8</v>
      </c>
      <c r="BK847">
        <v>5</v>
      </c>
      <c r="BL847">
        <v>179.12</v>
      </c>
      <c r="BM847">
        <v>26.87</v>
      </c>
      <c r="BN847">
        <v>205.99</v>
      </c>
      <c r="BO847">
        <v>205.99</v>
      </c>
      <c r="BQ847" t="s">
        <v>1611</v>
      </c>
      <c r="BR847" t="s">
        <v>84</v>
      </c>
      <c r="BS847" s="3">
        <v>45877</v>
      </c>
      <c r="BT847" s="4">
        <v>0.57152777777777775</v>
      </c>
      <c r="BU847" t="s">
        <v>1612</v>
      </c>
      <c r="BV847" t="s">
        <v>90</v>
      </c>
      <c r="BW847" t="s">
        <v>134</v>
      </c>
      <c r="BX847" t="s">
        <v>1573</v>
      </c>
      <c r="BY847">
        <v>19152</v>
      </c>
      <c r="CA847" t="s">
        <v>1613</v>
      </c>
      <c r="CC847" t="s">
        <v>218</v>
      </c>
      <c r="CD847">
        <v>4051</v>
      </c>
      <c r="CE847" t="s">
        <v>117</v>
      </c>
      <c r="CF847" s="3">
        <v>45877</v>
      </c>
      <c r="CI847">
        <v>1</v>
      </c>
      <c r="CJ847">
        <v>1</v>
      </c>
      <c r="CK847">
        <v>21</v>
      </c>
      <c r="CL847" t="s">
        <v>90</v>
      </c>
    </row>
    <row r="848" spans="1:90" x14ac:dyDescent="0.3">
      <c r="A848" t="s">
        <v>72</v>
      </c>
      <c r="B848" t="s">
        <v>73</v>
      </c>
      <c r="C848" t="s">
        <v>74</v>
      </c>
      <c r="E848" t="str">
        <f>"080067080594"</f>
        <v>080067080594</v>
      </c>
      <c r="F848" s="3">
        <v>45876</v>
      </c>
      <c r="G848">
        <v>202605</v>
      </c>
      <c r="H848" t="s">
        <v>75</v>
      </c>
      <c r="I848" t="s">
        <v>76</v>
      </c>
      <c r="J848" t="s">
        <v>77</v>
      </c>
      <c r="K848" t="s">
        <v>78</v>
      </c>
      <c r="L848" t="s">
        <v>278</v>
      </c>
      <c r="M848" t="s">
        <v>279</v>
      </c>
      <c r="N848" t="s">
        <v>285</v>
      </c>
      <c r="O848" t="s">
        <v>95</v>
      </c>
      <c r="P848" t="str">
        <f>"4170053358                    "</f>
        <v xml:space="preserve">4170053358                    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50.17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2</v>
      </c>
      <c r="BI848">
        <v>18</v>
      </c>
      <c r="BJ848">
        <v>13.1</v>
      </c>
      <c r="BK848">
        <v>18</v>
      </c>
      <c r="BL848">
        <v>161.66</v>
      </c>
      <c r="BM848">
        <v>24.25</v>
      </c>
      <c r="BN848">
        <v>185.91</v>
      </c>
      <c r="BO848">
        <v>185.91</v>
      </c>
      <c r="BQ848" t="s">
        <v>286</v>
      </c>
      <c r="BR848" t="s">
        <v>84</v>
      </c>
      <c r="BS848" s="3">
        <v>45877</v>
      </c>
      <c r="BT848" s="4">
        <v>0.42222222222222222</v>
      </c>
      <c r="BU848" t="s">
        <v>647</v>
      </c>
      <c r="BV848" t="s">
        <v>86</v>
      </c>
      <c r="BY848">
        <v>65553</v>
      </c>
      <c r="CA848" t="s">
        <v>288</v>
      </c>
      <c r="CC848" t="s">
        <v>279</v>
      </c>
      <c r="CD848" s="5" t="s">
        <v>289</v>
      </c>
      <c r="CE848" t="s">
        <v>117</v>
      </c>
      <c r="CF848" s="3">
        <v>45877</v>
      </c>
      <c r="CI848">
        <v>1</v>
      </c>
      <c r="CJ848">
        <v>1</v>
      </c>
      <c r="CK848">
        <v>41</v>
      </c>
      <c r="CL848" t="s">
        <v>90</v>
      </c>
    </row>
    <row r="849" spans="1:90" x14ac:dyDescent="0.3">
      <c r="A849" t="s">
        <v>72</v>
      </c>
      <c r="B849" t="s">
        <v>73</v>
      </c>
      <c r="C849" t="s">
        <v>74</v>
      </c>
      <c r="E849" t="str">
        <f>"080067080628"</f>
        <v>080067080628</v>
      </c>
      <c r="F849" s="3">
        <v>45876</v>
      </c>
      <c r="G849">
        <v>202605</v>
      </c>
      <c r="H849" t="s">
        <v>75</v>
      </c>
      <c r="I849" t="s">
        <v>76</v>
      </c>
      <c r="J849" t="s">
        <v>77</v>
      </c>
      <c r="K849" t="s">
        <v>78</v>
      </c>
      <c r="L849" t="s">
        <v>118</v>
      </c>
      <c r="M849" t="s">
        <v>118</v>
      </c>
      <c r="N849" t="s">
        <v>213</v>
      </c>
      <c r="O849" t="s">
        <v>82</v>
      </c>
      <c r="P849" t="str">
        <f>"4170053085                    "</f>
        <v xml:space="preserve">4170053085                    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75.02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1</v>
      </c>
      <c r="BI849">
        <v>3</v>
      </c>
      <c r="BJ849">
        <v>3.4</v>
      </c>
      <c r="BK849">
        <v>3.5</v>
      </c>
      <c r="BL849">
        <v>232.96</v>
      </c>
      <c r="BM849">
        <v>34.94</v>
      </c>
      <c r="BN849">
        <v>267.89999999999998</v>
      </c>
      <c r="BO849">
        <v>267.89999999999998</v>
      </c>
      <c r="BQ849" t="s">
        <v>214</v>
      </c>
      <c r="BR849" t="s">
        <v>84</v>
      </c>
      <c r="BS849" s="3">
        <v>45877</v>
      </c>
      <c r="BT849" s="4">
        <v>0.66319444444444442</v>
      </c>
      <c r="BU849" t="s">
        <v>1614</v>
      </c>
      <c r="BV849" t="s">
        <v>90</v>
      </c>
      <c r="BW849" t="s">
        <v>773</v>
      </c>
      <c r="BX849" t="s">
        <v>1324</v>
      </c>
      <c r="BY849">
        <v>16965</v>
      </c>
      <c r="CA849" t="s">
        <v>1420</v>
      </c>
      <c r="CC849" t="s">
        <v>118</v>
      </c>
      <c r="CD849">
        <v>7654</v>
      </c>
      <c r="CE849" t="s">
        <v>147</v>
      </c>
      <c r="CF849" s="3">
        <v>45880</v>
      </c>
      <c r="CI849">
        <v>1</v>
      </c>
      <c r="CJ849">
        <v>1</v>
      </c>
      <c r="CK849">
        <v>23</v>
      </c>
      <c r="CL849" t="s">
        <v>90</v>
      </c>
    </row>
    <row r="850" spans="1:90" x14ac:dyDescent="0.3">
      <c r="A850" t="s">
        <v>72</v>
      </c>
      <c r="B850" t="s">
        <v>73</v>
      </c>
      <c r="C850" t="s">
        <v>74</v>
      </c>
      <c r="E850" t="str">
        <f>"080067080666"</f>
        <v>080067080666</v>
      </c>
      <c r="F850" s="3">
        <v>45876</v>
      </c>
      <c r="G850">
        <v>202605</v>
      </c>
      <c r="H850" t="s">
        <v>75</v>
      </c>
      <c r="I850" t="s">
        <v>76</v>
      </c>
      <c r="J850" t="s">
        <v>77</v>
      </c>
      <c r="K850" t="s">
        <v>78</v>
      </c>
      <c r="L850" t="s">
        <v>385</v>
      </c>
      <c r="M850" t="s">
        <v>386</v>
      </c>
      <c r="N850" t="s">
        <v>387</v>
      </c>
      <c r="O850" t="s">
        <v>95</v>
      </c>
      <c r="P850" t="str">
        <f>"4170053122                    "</f>
        <v xml:space="preserve">4170053122                    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37.47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1</v>
      </c>
      <c r="BI850">
        <v>6</v>
      </c>
      <c r="BJ850">
        <v>17.7</v>
      </c>
      <c r="BK850">
        <v>18</v>
      </c>
      <c r="BL850">
        <v>122.22</v>
      </c>
      <c r="BM850">
        <v>18.329999999999998</v>
      </c>
      <c r="BN850">
        <v>140.55000000000001</v>
      </c>
      <c r="BO850">
        <v>140.55000000000001</v>
      </c>
      <c r="BQ850" t="s">
        <v>388</v>
      </c>
      <c r="BR850" t="s">
        <v>84</v>
      </c>
      <c r="BS850" s="3">
        <v>45877</v>
      </c>
      <c r="BT850" s="4">
        <v>0.43402777777777779</v>
      </c>
      <c r="BU850" t="s">
        <v>1615</v>
      </c>
      <c r="BV850" t="s">
        <v>86</v>
      </c>
      <c r="BY850">
        <v>88320</v>
      </c>
      <c r="CA850" t="s">
        <v>542</v>
      </c>
      <c r="CC850" t="s">
        <v>386</v>
      </c>
      <c r="CD850">
        <v>1559</v>
      </c>
      <c r="CE850" t="s">
        <v>147</v>
      </c>
      <c r="CF850" s="3">
        <v>45878</v>
      </c>
      <c r="CI850">
        <v>1</v>
      </c>
      <c r="CJ850">
        <v>1</v>
      </c>
      <c r="CK850">
        <v>42</v>
      </c>
      <c r="CL850" t="s">
        <v>90</v>
      </c>
    </row>
    <row r="851" spans="1:90" x14ac:dyDescent="0.3">
      <c r="A851" t="s">
        <v>72</v>
      </c>
      <c r="B851" t="s">
        <v>73</v>
      </c>
      <c r="C851" t="s">
        <v>74</v>
      </c>
      <c r="E851" t="str">
        <f>"080067080783"</f>
        <v>080067080783</v>
      </c>
      <c r="F851" s="3">
        <v>45876</v>
      </c>
      <c r="G851">
        <v>202605</v>
      </c>
      <c r="H851" t="s">
        <v>75</v>
      </c>
      <c r="I851" t="s">
        <v>76</v>
      </c>
      <c r="J851" t="s">
        <v>77</v>
      </c>
      <c r="K851" t="s">
        <v>78</v>
      </c>
      <c r="L851" t="s">
        <v>123</v>
      </c>
      <c r="M851" t="s">
        <v>124</v>
      </c>
      <c r="N851" t="s">
        <v>677</v>
      </c>
      <c r="O851" t="s">
        <v>82</v>
      </c>
      <c r="P851" t="str">
        <f>"4170053555                    "</f>
        <v xml:space="preserve">4170053555                    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34.619999999999997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1</v>
      </c>
      <c r="BI851">
        <v>2</v>
      </c>
      <c r="BJ851">
        <v>2.7</v>
      </c>
      <c r="BK851">
        <v>3</v>
      </c>
      <c r="BL851">
        <v>107.5</v>
      </c>
      <c r="BM851">
        <v>16.13</v>
      </c>
      <c r="BN851">
        <v>123.63</v>
      </c>
      <c r="BO851">
        <v>123.63</v>
      </c>
      <c r="BQ851" t="s">
        <v>678</v>
      </c>
      <c r="BR851" t="s">
        <v>84</v>
      </c>
      <c r="BS851" s="3">
        <v>45877</v>
      </c>
      <c r="BT851" s="4">
        <v>0.41180555555555554</v>
      </c>
      <c r="BU851" t="s">
        <v>1424</v>
      </c>
      <c r="BV851" t="s">
        <v>86</v>
      </c>
      <c r="BY851">
        <v>13720</v>
      </c>
      <c r="CA851" t="s">
        <v>1425</v>
      </c>
      <c r="CC851" t="s">
        <v>124</v>
      </c>
      <c r="CD851">
        <v>7530</v>
      </c>
      <c r="CE851" t="s">
        <v>117</v>
      </c>
      <c r="CF851" s="3">
        <v>45880</v>
      </c>
      <c r="CI851">
        <v>1</v>
      </c>
      <c r="CJ851">
        <v>1</v>
      </c>
      <c r="CK851">
        <v>21</v>
      </c>
      <c r="CL851" t="s">
        <v>90</v>
      </c>
    </row>
    <row r="852" spans="1:90" x14ac:dyDescent="0.3">
      <c r="A852" t="s">
        <v>72</v>
      </c>
      <c r="B852" t="s">
        <v>73</v>
      </c>
      <c r="C852" t="s">
        <v>74</v>
      </c>
      <c r="E852" t="str">
        <f>"080067080805"</f>
        <v>080067080805</v>
      </c>
      <c r="F852" s="3">
        <v>45876</v>
      </c>
      <c r="G852">
        <v>202605</v>
      </c>
      <c r="H852" t="s">
        <v>75</v>
      </c>
      <c r="I852" t="s">
        <v>76</v>
      </c>
      <c r="J852" t="s">
        <v>77</v>
      </c>
      <c r="K852" t="s">
        <v>78</v>
      </c>
      <c r="L852" t="s">
        <v>1616</v>
      </c>
      <c r="M852" t="s">
        <v>1617</v>
      </c>
      <c r="N852" t="s">
        <v>1618</v>
      </c>
      <c r="O852" t="s">
        <v>82</v>
      </c>
      <c r="P852" t="str">
        <f>"4170053526                    "</f>
        <v xml:space="preserve">4170053526                    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105.32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1</v>
      </c>
      <c r="BI852">
        <v>2</v>
      </c>
      <c r="BJ852">
        <v>4.8</v>
      </c>
      <c r="BK852">
        <v>5</v>
      </c>
      <c r="BL852">
        <v>327.04000000000002</v>
      </c>
      <c r="BM852">
        <v>49.06</v>
      </c>
      <c r="BN852">
        <v>376.1</v>
      </c>
      <c r="BO852">
        <v>376.1</v>
      </c>
      <c r="BQ852" t="s">
        <v>1619</v>
      </c>
      <c r="BR852" t="s">
        <v>84</v>
      </c>
      <c r="BS852" s="3">
        <v>45877</v>
      </c>
      <c r="BT852" s="4">
        <v>0.53888888888888886</v>
      </c>
      <c r="BU852" t="s">
        <v>1620</v>
      </c>
      <c r="BV852" t="s">
        <v>86</v>
      </c>
      <c r="BY852">
        <v>23751</v>
      </c>
      <c r="CA852" t="s">
        <v>1621</v>
      </c>
      <c r="CC852" t="s">
        <v>1617</v>
      </c>
      <c r="CD852">
        <v>7349</v>
      </c>
      <c r="CE852" t="s">
        <v>147</v>
      </c>
      <c r="CF852" s="3">
        <v>45880</v>
      </c>
      <c r="CI852">
        <v>1</v>
      </c>
      <c r="CJ852">
        <v>1</v>
      </c>
      <c r="CK852">
        <v>23</v>
      </c>
      <c r="CL852" t="s">
        <v>90</v>
      </c>
    </row>
    <row r="853" spans="1:90" x14ac:dyDescent="0.3">
      <c r="A853" t="s">
        <v>72</v>
      </c>
      <c r="B853" t="s">
        <v>73</v>
      </c>
      <c r="C853" t="s">
        <v>74</v>
      </c>
      <c r="E853" t="str">
        <f>"080067080949"</f>
        <v>080067080949</v>
      </c>
      <c r="F853" s="3">
        <v>45876</v>
      </c>
      <c r="G853">
        <v>202605</v>
      </c>
      <c r="H853" t="s">
        <v>75</v>
      </c>
      <c r="I853" t="s">
        <v>76</v>
      </c>
      <c r="J853" t="s">
        <v>77</v>
      </c>
      <c r="K853" t="s">
        <v>78</v>
      </c>
      <c r="L853" t="s">
        <v>1622</v>
      </c>
      <c r="M853" t="s">
        <v>1623</v>
      </c>
      <c r="N853" t="s">
        <v>1465</v>
      </c>
      <c r="O853" t="s">
        <v>82</v>
      </c>
      <c r="P853" t="str">
        <f>"4170053424                    "</f>
        <v xml:space="preserve">4170053424                    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23.09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1</v>
      </c>
      <c r="BI853">
        <v>1</v>
      </c>
      <c r="BJ853">
        <v>0.6</v>
      </c>
      <c r="BK853">
        <v>1</v>
      </c>
      <c r="BL853">
        <v>71.69</v>
      </c>
      <c r="BM853">
        <v>10.75</v>
      </c>
      <c r="BN853">
        <v>82.44</v>
      </c>
      <c r="BO853">
        <v>82.44</v>
      </c>
      <c r="BQ853" t="s">
        <v>1466</v>
      </c>
      <c r="BR853" t="s">
        <v>84</v>
      </c>
      <c r="BS853" s="3">
        <v>45877</v>
      </c>
      <c r="BT853" s="4">
        <v>0.40486111111111112</v>
      </c>
      <c r="BU853" t="s">
        <v>738</v>
      </c>
      <c r="BV853" t="s">
        <v>86</v>
      </c>
      <c r="BY853">
        <v>3192</v>
      </c>
      <c r="CA853" t="s">
        <v>1624</v>
      </c>
      <c r="CC853" t="s">
        <v>1623</v>
      </c>
      <c r="CD853" s="5" t="s">
        <v>1625</v>
      </c>
      <c r="CE853" t="s">
        <v>147</v>
      </c>
      <c r="CF853" s="3">
        <v>45877</v>
      </c>
      <c r="CI853">
        <v>1</v>
      </c>
      <c r="CJ853">
        <v>1</v>
      </c>
      <c r="CK853">
        <v>21</v>
      </c>
      <c r="CL853" t="s">
        <v>90</v>
      </c>
    </row>
    <row r="854" spans="1:90" x14ac:dyDescent="0.3">
      <c r="A854" t="s">
        <v>72</v>
      </c>
      <c r="B854" t="s">
        <v>73</v>
      </c>
      <c r="C854" t="s">
        <v>74</v>
      </c>
      <c r="E854" t="str">
        <f>"080067080987"</f>
        <v>080067080987</v>
      </c>
      <c r="F854" s="3">
        <v>45876</v>
      </c>
      <c r="G854">
        <v>202605</v>
      </c>
      <c r="H854" t="s">
        <v>75</v>
      </c>
      <c r="I854" t="s">
        <v>76</v>
      </c>
      <c r="J854" t="s">
        <v>77</v>
      </c>
      <c r="K854" t="s">
        <v>78</v>
      </c>
      <c r="L854" t="s">
        <v>123</v>
      </c>
      <c r="M854" t="s">
        <v>124</v>
      </c>
      <c r="N854" t="s">
        <v>125</v>
      </c>
      <c r="O854" t="s">
        <v>95</v>
      </c>
      <c r="P854" t="str">
        <f>"4170053504                    "</f>
        <v xml:space="preserve">4170053504                    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50.17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1</v>
      </c>
      <c r="BI854">
        <v>7</v>
      </c>
      <c r="BJ854">
        <v>17.7</v>
      </c>
      <c r="BK854">
        <v>18</v>
      </c>
      <c r="BL854">
        <v>161.66</v>
      </c>
      <c r="BM854">
        <v>24.25</v>
      </c>
      <c r="BN854">
        <v>185.91</v>
      </c>
      <c r="BO854">
        <v>185.91</v>
      </c>
      <c r="BQ854" t="s">
        <v>126</v>
      </c>
      <c r="BR854" t="s">
        <v>84</v>
      </c>
      <c r="BS854" s="3">
        <v>45881</v>
      </c>
      <c r="BT854" s="4">
        <v>0.34097222222222223</v>
      </c>
      <c r="BU854" t="s">
        <v>605</v>
      </c>
      <c r="BV854" t="s">
        <v>86</v>
      </c>
      <c r="BY854">
        <v>88320</v>
      </c>
      <c r="CA854" t="s">
        <v>128</v>
      </c>
      <c r="CC854" t="s">
        <v>124</v>
      </c>
      <c r="CD854">
        <v>7530</v>
      </c>
      <c r="CE854" t="s">
        <v>147</v>
      </c>
      <c r="CF854" s="3">
        <v>45882</v>
      </c>
      <c r="CI854">
        <v>3</v>
      </c>
      <c r="CJ854">
        <v>3</v>
      </c>
      <c r="CK854">
        <v>41</v>
      </c>
      <c r="CL854" t="s">
        <v>90</v>
      </c>
    </row>
    <row r="855" spans="1:90" x14ac:dyDescent="0.3">
      <c r="A855" t="s">
        <v>72</v>
      </c>
      <c r="B855" t="s">
        <v>73</v>
      </c>
      <c r="C855" t="s">
        <v>74</v>
      </c>
      <c r="E855" t="str">
        <f>"080067081012"</f>
        <v>080067081012</v>
      </c>
      <c r="F855" s="3">
        <v>45876</v>
      </c>
      <c r="G855">
        <v>202605</v>
      </c>
      <c r="H855" t="s">
        <v>75</v>
      </c>
      <c r="I855" t="s">
        <v>76</v>
      </c>
      <c r="J855" t="s">
        <v>77</v>
      </c>
      <c r="K855" t="s">
        <v>78</v>
      </c>
      <c r="L855" t="s">
        <v>234</v>
      </c>
      <c r="M855" t="s">
        <v>235</v>
      </c>
      <c r="N855" t="s">
        <v>236</v>
      </c>
      <c r="O855" t="s">
        <v>82</v>
      </c>
      <c r="P855" t="str">
        <f>"4170053044                    "</f>
        <v xml:space="preserve">4170053044                    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23.09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1</v>
      </c>
      <c r="BI855">
        <v>1</v>
      </c>
      <c r="BJ855">
        <v>1.1000000000000001</v>
      </c>
      <c r="BK855">
        <v>1.5</v>
      </c>
      <c r="BL855">
        <v>71.69</v>
      </c>
      <c r="BM855">
        <v>10.75</v>
      </c>
      <c r="BN855">
        <v>82.44</v>
      </c>
      <c r="BO855">
        <v>82.44</v>
      </c>
      <c r="BQ855" t="s">
        <v>237</v>
      </c>
      <c r="BR855" t="s">
        <v>84</v>
      </c>
      <c r="BS855" s="3">
        <v>45877</v>
      </c>
      <c r="BT855" s="4">
        <v>0.35625000000000001</v>
      </c>
      <c r="BU855" t="s">
        <v>650</v>
      </c>
      <c r="BV855" t="s">
        <v>86</v>
      </c>
      <c r="BY855">
        <v>5320</v>
      </c>
      <c r="CA855" t="s">
        <v>239</v>
      </c>
      <c r="CC855" t="s">
        <v>235</v>
      </c>
      <c r="CD855" s="5" t="s">
        <v>240</v>
      </c>
      <c r="CE855" t="s">
        <v>147</v>
      </c>
      <c r="CF855" s="3">
        <v>45877</v>
      </c>
      <c r="CI855">
        <v>1</v>
      </c>
      <c r="CJ855">
        <v>1</v>
      </c>
      <c r="CK855">
        <v>21</v>
      </c>
      <c r="CL855" t="s">
        <v>90</v>
      </c>
    </row>
    <row r="856" spans="1:90" x14ac:dyDescent="0.3">
      <c r="A856" t="s">
        <v>72</v>
      </c>
      <c r="B856" t="s">
        <v>73</v>
      </c>
      <c r="C856" t="s">
        <v>74</v>
      </c>
      <c r="E856" t="str">
        <f>"080067081045"</f>
        <v>080067081045</v>
      </c>
      <c r="F856" s="3">
        <v>45876</v>
      </c>
      <c r="G856">
        <v>202605</v>
      </c>
      <c r="H856" t="s">
        <v>75</v>
      </c>
      <c r="I856" t="s">
        <v>76</v>
      </c>
      <c r="J856" t="s">
        <v>77</v>
      </c>
      <c r="K856" t="s">
        <v>78</v>
      </c>
      <c r="L856" t="s">
        <v>234</v>
      </c>
      <c r="M856" t="s">
        <v>235</v>
      </c>
      <c r="N856" t="s">
        <v>236</v>
      </c>
      <c r="O856" t="s">
        <v>82</v>
      </c>
      <c r="P856" t="str">
        <f>"4170053042                    "</f>
        <v xml:space="preserve">4170053042                    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23.09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1</v>
      </c>
      <c r="BI856">
        <v>2</v>
      </c>
      <c r="BJ856">
        <v>1.1000000000000001</v>
      </c>
      <c r="BK856">
        <v>2</v>
      </c>
      <c r="BL856">
        <v>71.69</v>
      </c>
      <c r="BM856">
        <v>10.75</v>
      </c>
      <c r="BN856">
        <v>82.44</v>
      </c>
      <c r="BO856">
        <v>82.44</v>
      </c>
      <c r="BQ856" t="s">
        <v>237</v>
      </c>
      <c r="BR856" t="s">
        <v>84</v>
      </c>
      <c r="BS856" s="3">
        <v>45877</v>
      </c>
      <c r="BT856" s="4">
        <v>0.3576388888888889</v>
      </c>
      <c r="BU856" t="s">
        <v>650</v>
      </c>
      <c r="BV856" t="s">
        <v>86</v>
      </c>
      <c r="BY856">
        <v>5320</v>
      </c>
      <c r="CA856" t="s">
        <v>239</v>
      </c>
      <c r="CC856" t="s">
        <v>235</v>
      </c>
      <c r="CD856" s="5" t="s">
        <v>240</v>
      </c>
      <c r="CE856" t="s">
        <v>1626</v>
      </c>
      <c r="CF856" s="3">
        <v>45877</v>
      </c>
      <c r="CI856">
        <v>1</v>
      </c>
      <c r="CJ856">
        <v>1</v>
      </c>
      <c r="CK856">
        <v>21</v>
      </c>
      <c r="CL856" t="s">
        <v>90</v>
      </c>
    </row>
    <row r="857" spans="1:90" x14ac:dyDescent="0.3">
      <c r="A857" t="s">
        <v>72</v>
      </c>
      <c r="B857" t="s">
        <v>73</v>
      </c>
      <c r="C857" t="s">
        <v>74</v>
      </c>
      <c r="E857" t="str">
        <f>"080067081056"</f>
        <v>080067081056</v>
      </c>
      <c r="F857" s="3">
        <v>45876</v>
      </c>
      <c r="G857">
        <v>202605</v>
      </c>
      <c r="H857" t="s">
        <v>75</v>
      </c>
      <c r="I857" t="s">
        <v>76</v>
      </c>
      <c r="J857" t="s">
        <v>77</v>
      </c>
      <c r="K857" t="s">
        <v>78</v>
      </c>
      <c r="L857" t="s">
        <v>75</v>
      </c>
      <c r="M857" t="s">
        <v>76</v>
      </c>
      <c r="N857" t="s">
        <v>1126</v>
      </c>
      <c r="O857" t="s">
        <v>82</v>
      </c>
      <c r="P857" t="str">
        <f>"4170053502                    "</f>
        <v xml:space="preserve">4170053502                    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18.03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1</v>
      </c>
      <c r="BI857">
        <v>1</v>
      </c>
      <c r="BJ857">
        <v>0.2</v>
      </c>
      <c r="BK857">
        <v>1</v>
      </c>
      <c r="BL857">
        <v>55.99</v>
      </c>
      <c r="BM857">
        <v>8.4</v>
      </c>
      <c r="BN857">
        <v>64.39</v>
      </c>
      <c r="BO857">
        <v>64.39</v>
      </c>
      <c r="BQ857" t="s">
        <v>1127</v>
      </c>
      <c r="BR857" t="s">
        <v>84</v>
      </c>
      <c r="BS857" s="3">
        <v>45880</v>
      </c>
      <c r="BT857" s="4">
        <v>0.41666666666666669</v>
      </c>
      <c r="BU857" t="s">
        <v>1627</v>
      </c>
      <c r="BV857" t="s">
        <v>90</v>
      </c>
      <c r="BY857">
        <v>1200</v>
      </c>
      <c r="CC857" t="s">
        <v>76</v>
      </c>
      <c r="CD857">
        <v>1619</v>
      </c>
      <c r="CE857" t="s">
        <v>109</v>
      </c>
      <c r="CF857" s="3">
        <v>45881</v>
      </c>
      <c r="CI857">
        <v>1</v>
      </c>
      <c r="CJ857">
        <v>2</v>
      </c>
      <c r="CK857">
        <v>22</v>
      </c>
      <c r="CL857" t="s">
        <v>90</v>
      </c>
    </row>
    <row r="858" spans="1:90" x14ac:dyDescent="0.3">
      <c r="A858" t="s">
        <v>72</v>
      </c>
      <c r="B858" t="s">
        <v>73</v>
      </c>
      <c r="C858" t="s">
        <v>74</v>
      </c>
      <c r="E858" t="str">
        <f>"080067081071"</f>
        <v>080067081071</v>
      </c>
      <c r="F858" s="3">
        <v>45876</v>
      </c>
      <c r="G858">
        <v>202605</v>
      </c>
      <c r="H858" t="s">
        <v>75</v>
      </c>
      <c r="I858" t="s">
        <v>76</v>
      </c>
      <c r="J858" t="s">
        <v>77</v>
      </c>
      <c r="K858" t="s">
        <v>78</v>
      </c>
      <c r="L858" t="s">
        <v>555</v>
      </c>
      <c r="M858" t="s">
        <v>556</v>
      </c>
      <c r="N858" t="s">
        <v>844</v>
      </c>
      <c r="O858" t="s">
        <v>82</v>
      </c>
      <c r="P858" t="str">
        <f>"4170053438                    "</f>
        <v xml:space="preserve">4170053438                    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64.92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0</v>
      </c>
      <c r="BF858">
        <v>0</v>
      </c>
      <c r="BG858">
        <v>0</v>
      </c>
      <c r="BH858">
        <v>1</v>
      </c>
      <c r="BI858">
        <v>3</v>
      </c>
      <c r="BJ858">
        <v>1.7</v>
      </c>
      <c r="BK858">
        <v>3</v>
      </c>
      <c r="BL858">
        <v>201.6</v>
      </c>
      <c r="BM858">
        <v>30.24</v>
      </c>
      <c r="BN858">
        <v>231.84</v>
      </c>
      <c r="BO858">
        <v>231.84</v>
      </c>
      <c r="BQ858" t="s">
        <v>845</v>
      </c>
      <c r="BR858" t="s">
        <v>84</v>
      </c>
      <c r="BS858" s="3">
        <v>45877</v>
      </c>
      <c r="BT858" s="4">
        <v>0.48680555555555555</v>
      </c>
      <c r="BU858" t="s">
        <v>1346</v>
      </c>
      <c r="BV858" t="s">
        <v>86</v>
      </c>
      <c r="BY858">
        <v>8512</v>
      </c>
      <c r="CA858" t="s">
        <v>1347</v>
      </c>
      <c r="CC858" t="s">
        <v>556</v>
      </c>
      <c r="CD858">
        <v>6850</v>
      </c>
      <c r="CE858" t="s">
        <v>147</v>
      </c>
      <c r="CF858" s="3">
        <v>45880</v>
      </c>
      <c r="CI858">
        <v>2</v>
      </c>
      <c r="CJ858">
        <v>1</v>
      </c>
      <c r="CK858">
        <v>23</v>
      </c>
      <c r="CL858" t="s">
        <v>90</v>
      </c>
    </row>
    <row r="859" spans="1:90" x14ac:dyDescent="0.3">
      <c r="A859" t="s">
        <v>72</v>
      </c>
      <c r="B859" t="s">
        <v>73</v>
      </c>
      <c r="C859" t="s">
        <v>74</v>
      </c>
      <c r="E859" t="str">
        <f>"080067081244"</f>
        <v>080067081244</v>
      </c>
      <c r="F859" s="3">
        <v>45876</v>
      </c>
      <c r="G859">
        <v>202605</v>
      </c>
      <c r="H859" t="s">
        <v>75</v>
      </c>
      <c r="I859" t="s">
        <v>76</v>
      </c>
      <c r="J859" t="s">
        <v>77</v>
      </c>
      <c r="K859" t="s">
        <v>78</v>
      </c>
      <c r="L859" t="s">
        <v>234</v>
      </c>
      <c r="M859" t="s">
        <v>235</v>
      </c>
      <c r="N859" t="s">
        <v>236</v>
      </c>
      <c r="O859" t="s">
        <v>82</v>
      </c>
      <c r="P859" t="str">
        <f>"4170053043                    "</f>
        <v xml:space="preserve">4170053043                    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23.09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1</v>
      </c>
      <c r="BI859">
        <v>2</v>
      </c>
      <c r="BJ859">
        <v>1.1000000000000001</v>
      </c>
      <c r="BK859">
        <v>2</v>
      </c>
      <c r="BL859">
        <v>71.69</v>
      </c>
      <c r="BM859">
        <v>10.75</v>
      </c>
      <c r="BN859">
        <v>82.44</v>
      </c>
      <c r="BO859">
        <v>82.44</v>
      </c>
      <c r="BQ859" t="s">
        <v>237</v>
      </c>
      <c r="BR859" t="s">
        <v>84</v>
      </c>
      <c r="BS859" s="3">
        <v>45877</v>
      </c>
      <c r="BT859" s="4">
        <v>0.35694444444444445</v>
      </c>
      <c r="BU859" t="s">
        <v>650</v>
      </c>
      <c r="BV859" t="s">
        <v>86</v>
      </c>
      <c r="BY859">
        <v>5400</v>
      </c>
      <c r="CA859" t="s">
        <v>239</v>
      </c>
      <c r="CC859" t="s">
        <v>235</v>
      </c>
      <c r="CD859" s="5" t="s">
        <v>240</v>
      </c>
      <c r="CE859" t="s">
        <v>147</v>
      </c>
      <c r="CF859" s="3">
        <v>45877</v>
      </c>
      <c r="CI859">
        <v>1</v>
      </c>
      <c r="CJ859">
        <v>1</v>
      </c>
      <c r="CK859">
        <v>21</v>
      </c>
      <c r="CL859" t="s">
        <v>90</v>
      </c>
    </row>
    <row r="860" spans="1:90" x14ac:dyDescent="0.3">
      <c r="A860" t="s">
        <v>72</v>
      </c>
      <c r="B860" t="s">
        <v>73</v>
      </c>
      <c r="C860" t="s">
        <v>74</v>
      </c>
      <c r="E860" t="str">
        <f>"080067081284"</f>
        <v>080067081284</v>
      </c>
      <c r="F860" s="3">
        <v>45876</v>
      </c>
      <c r="G860">
        <v>202605</v>
      </c>
      <c r="H860" t="s">
        <v>75</v>
      </c>
      <c r="I860" t="s">
        <v>76</v>
      </c>
      <c r="J860" t="s">
        <v>77</v>
      </c>
      <c r="K860" t="s">
        <v>78</v>
      </c>
      <c r="L860" t="s">
        <v>198</v>
      </c>
      <c r="M860" t="s">
        <v>199</v>
      </c>
      <c r="N860" t="s">
        <v>1628</v>
      </c>
      <c r="O860" t="s">
        <v>82</v>
      </c>
      <c r="P860" t="str">
        <f>"4170053402                    "</f>
        <v xml:space="preserve">4170053402                    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23.09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0</v>
      </c>
      <c r="BF860">
        <v>0</v>
      </c>
      <c r="BG860">
        <v>0</v>
      </c>
      <c r="BH860">
        <v>1</v>
      </c>
      <c r="BI860">
        <v>2</v>
      </c>
      <c r="BJ860">
        <v>1.7</v>
      </c>
      <c r="BK860">
        <v>2</v>
      </c>
      <c r="BL860">
        <v>71.69</v>
      </c>
      <c r="BM860">
        <v>10.75</v>
      </c>
      <c r="BN860">
        <v>82.44</v>
      </c>
      <c r="BO860">
        <v>82.44</v>
      </c>
      <c r="BQ860" t="s">
        <v>1629</v>
      </c>
      <c r="BR860" t="s">
        <v>84</v>
      </c>
      <c r="BS860" s="3">
        <v>45877</v>
      </c>
      <c r="BT860" s="4">
        <v>0.41666666666666669</v>
      </c>
      <c r="BU860" t="s">
        <v>1022</v>
      </c>
      <c r="BV860" t="s">
        <v>86</v>
      </c>
      <c r="BY860">
        <v>8550</v>
      </c>
      <c r="CA860" t="s">
        <v>1570</v>
      </c>
      <c r="CC860" t="s">
        <v>199</v>
      </c>
      <c r="CD860">
        <v>6001</v>
      </c>
      <c r="CE860" t="s">
        <v>147</v>
      </c>
      <c r="CF860" s="3">
        <v>45877</v>
      </c>
      <c r="CI860">
        <v>1</v>
      </c>
      <c r="CJ860">
        <v>1</v>
      </c>
      <c r="CK860">
        <v>21</v>
      </c>
      <c r="CL860" t="s">
        <v>90</v>
      </c>
    </row>
    <row r="861" spans="1:90" x14ac:dyDescent="0.3">
      <c r="A861" t="s">
        <v>72</v>
      </c>
      <c r="B861" t="s">
        <v>73</v>
      </c>
      <c r="C861" t="s">
        <v>74</v>
      </c>
      <c r="E861" t="str">
        <f>"080067081337"</f>
        <v>080067081337</v>
      </c>
      <c r="F861" s="3">
        <v>45876</v>
      </c>
      <c r="G861">
        <v>202605</v>
      </c>
      <c r="H861" t="s">
        <v>75</v>
      </c>
      <c r="I861" t="s">
        <v>76</v>
      </c>
      <c r="J861" t="s">
        <v>77</v>
      </c>
      <c r="K861" t="s">
        <v>78</v>
      </c>
      <c r="L861" t="s">
        <v>359</v>
      </c>
      <c r="M861" t="s">
        <v>360</v>
      </c>
      <c r="N861" t="s">
        <v>361</v>
      </c>
      <c r="O861" t="s">
        <v>82</v>
      </c>
      <c r="P861" t="str">
        <f>"4170053398                    "</f>
        <v xml:space="preserve">4170053398                    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125.51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1</v>
      </c>
      <c r="BI861">
        <v>5</v>
      </c>
      <c r="BJ861">
        <v>5.6</v>
      </c>
      <c r="BK861">
        <v>6</v>
      </c>
      <c r="BL861">
        <v>389.75</v>
      </c>
      <c r="BM861">
        <v>58.46</v>
      </c>
      <c r="BN861">
        <v>448.21</v>
      </c>
      <c r="BO861">
        <v>448.21</v>
      </c>
      <c r="BQ861" t="s">
        <v>362</v>
      </c>
      <c r="BR861" t="s">
        <v>84</v>
      </c>
      <c r="BS861" s="3">
        <v>45877</v>
      </c>
      <c r="BT861" s="4">
        <v>0.56388888888888888</v>
      </c>
      <c r="BU861" t="s">
        <v>1630</v>
      </c>
      <c r="BV861" t="s">
        <v>90</v>
      </c>
      <c r="BW861" t="s">
        <v>364</v>
      </c>
      <c r="BX861" t="s">
        <v>365</v>
      </c>
      <c r="BY861">
        <v>28152</v>
      </c>
      <c r="CA861" t="s">
        <v>1631</v>
      </c>
      <c r="CC861" t="s">
        <v>360</v>
      </c>
      <c r="CD861" s="5" t="s">
        <v>367</v>
      </c>
      <c r="CE861" t="s">
        <v>117</v>
      </c>
      <c r="CF861" s="3">
        <v>45880</v>
      </c>
      <c r="CI861">
        <v>1</v>
      </c>
      <c r="CJ861">
        <v>1</v>
      </c>
      <c r="CK861">
        <v>23</v>
      </c>
      <c r="CL861" t="s">
        <v>90</v>
      </c>
    </row>
    <row r="862" spans="1:90" x14ac:dyDescent="0.3">
      <c r="A862" t="s">
        <v>72</v>
      </c>
      <c r="B862" t="s">
        <v>73</v>
      </c>
      <c r="C862" t="s">
        <v>74</v>
      </c>
      <c r="E862" t="str">
        <f>"080067081378"</f>
        <v>080067081378</v>
      </c>
      <c r="F862" s="3">
        <v>45876</v>
      </c>
      <c r="G862">
        <v>202605</v>
      </c>
      <c r="H862" t="s">
        <v>75</v>
      </c>
      <c r="I862" t="s">
        <v>76</v>
      </c>
      <c r="J862" t="s">
        <v>77</v>
      </c>
      <c r="K862" t="s">
        <v>78</v>
      </c>
      <c r="L862" t="s">
        <v>672</v>
      </c>
      <c r="M862" t="s">
        <v>673</v>
      </c>
      <c r="N862" t="s">
        <v>674</v>
      </c>
      <c r="O862" t="s">
        <v>82</v>
      </c>
      <c r="P862" t="str">
        <f>"4170053498                    "</f>
        <v xml:space="preserve">4170053498                    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64.92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1</v>
      </c>
      <c r="BI862">
        <v>3</v>
      </c>
      <c r="BJ862">
        <v>1</v>
      </c>
      <c r="BK862">
        <v>3</v>
      </c>
      <c r="BL862">
        <v>201.6</v>
      </c>
      <c r="BM862">
        <v>30.24</v>
      </c>
      <c r="BN862">
        <v>231.84</v>
      </c>
      <c r="BO862">
        <v>231.84</v>
      </c>
      <c r="BQ862" t="s">
        <v>675</v>
      </c>
      <c r="BR862" t="s">
        <v>84</v>
      </c>
      <c r="BS862" s="3">
        <v>45877</v>
      </c>
      <c r="BT862" s="4">
        <v>0.56111111111111112</v>
      </c>
      <c r="BU862" t="s">
        <v>820</v>
      </c>
      <c r="BV862" t="s">
        <v>86</v>
      </c>
      <c r="BY862">
        <v>4896</v>
      </c>
      <c r="CA862" t="s">
        <v>806</v>
      </c>
      <c r="CC862" t="s">
        <v>673</v>
      </c>
      <c r="CD862">
        <v>3370</v>
      </c>
      <c r="CE862" t="s">
        <v>117</v>
      </c>
      <c r="CF862" s="3">
        <v>45880</v>
      </c>
      <c r="CI862">
        <v>2</v>
      </c>
      <c r="CJ862">
        <v>1</v>
      </c>
      <c r="CK862">
        <v>23</v>
      </c>
      <c r="CL862" t="s">
        <v>90</v>
      </c>
    </row>
    <row r="863" spans="1:90" x14ac:dyDescent="0.3">
      <c r="A863" t="s">
        <v>72</v>
      </c>
      <c r="B863" t="s">
        <v>73</v>
      </c>
      <c r="C863" t="s">
        <v>74</v>
      </c>
      <c r="E863" t="str">
        <f>"080067081410"</f>
        <v>080067081410</v>
      </c>
      <c r="F863" s="3">
        <v>45876</v>
      </c>
      <c r="G863">
        <v>202605</v>
      </c>
      <c r="H863" t="s">
        <v>75</v>
      </c>
      <c r="I863" t="s">
        <v>76</v>
      </c>
      <c r="J863" t="s">
        <v>77</v>
      </c>
      <c r="K863" t="s">
        <v>78</v>
      </c>
      <c r="L863" t="s">
        <v>241</v>
      </c>
      <c r="M863" t="s">
        <v>242</v>
      </c>
      <c r="N863" t="s">
        <v>573</v>
      </c>
      <c r="O863" t="s">
        <v>82</v>
      </c>
      <c r="P863" t="str">
        <f>"4170053606                    "</f>
        <v xml:space="preserve">4170053606                    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18.03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1</v>
      </c>
      <c r="BI863">
        <v>1</v>
      </c>
      <c r="BJ863">
        <v>1.7</v>
      </c>
      <c r="BK863">
        <v>2</v>
      </c>
      <c r="BL863">
        <v>55.99</v>
      </c>
      <c r="BM863">
        <v>8.4</v>
      </c>
      <c r="BN863">
        <v>64.39</v>
      </c>
      <c r="BO863">
        <v>64.39</v>
      </c>
      <c r="BQ863" t="s">
        <v>574</v>
      </c>
      <c r="BR863" t="s">
        <v>84</v>
      </c>
      <c r="BS863" s="3">
        <v>45877</v>
      </c>
      <c r="BT863" s="4">
        <v>0.35833333333333334</v>
      </c>
      <c r="BU863" t="s">
        <v>1589</v>
      </c>
      <c r="BV863" t="s">
        <v>86</v>
      </c>
      <c r="BY863">
        <v>8512</v>
      </c>
      <c r="CA863" t="s">
        <v>576</v>
      </c>
      <c r="CC863" t="s">
        <v>242</v>
      </c>
      <c r="CD863">
        <v>1459</v>
      </c>
      <c r="CE863" t="s">
        <v>147</v>
      </c>
      <c r="CF863" s="3">
        <v>45877</v>
      </c>
      <c r="CI863">
        <v>1</v>
      </c>
      <c r="CJ863">
        <v>1</v>
      </c>
      <c r="CK863">
        <v>22</v>
      </c>
      <c r="CL863" t="s">
        <v>90</v>
      </c>
    </row>
    <row r="864" spans="1:90" x14ac:dyDescent="0.3">
      <c r="A864" t="s">
        <v>72</v>
      </c>
      <c r="B864" t="s">
        <v>73</v>
      </c>
      <c r="C864" t="s">
        <v>74</v>
      </c>
      <c r="E864" t="str">
        <f>"080067081411"</f>
        <v>080067081411</v>
      </c>
      <c r="F864" s="3">
        <v>45876</v>
      </c>
      <c r="G864">
        <v>202605</v>
      </c>
      <c r="H864" t="s">
        <v>75</v>
      </c>
      <c r="I864" t="s">
        <v>76</v>
      </c>
      <c r="J864" t="s">
        <v>77</v>
      </c>
      <c r="K864" t="s">
        <v>78</v>
      </c>
      <c r="L864" t="s">
        <v>217</v>
      </c>
      <c r="M864" t="s">
        <v>218</v>
      </c>
      <c r="N864" t="s">
        <v>249</v>
      </c>
      <c r="O864" t="s">
        <v>82</v>
      </c>
      <c r="P864" t="str">
        <f>"4170053339                    "</f>
        <v xml:space="preserve">4170053339                    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Q864">
        <v>23.09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1</v>
      </c>
      <c r="BI864">
        <v>1</v>
      </c>
      <c r="BJ864">
        <v>0.2</v>
      </c>
      <c r="BK864">
        <v>1</v>
      </c>
      <c r="BL864">
        <v>71.69</v>
      </c>
      <c r="BM864">
        <v>10.75</v>
      </c>
      <c r="BN864">
        <v>82.44</v>
      </c>
      <c r="BO864">
        <v>82.44</v>
      </c>
      <c r="BQ864" t="s">
        <v>250</v>
      </c>
      <c r="BR864" t="s">
        <v>84</v>
      </c>
      <c r="BS864" s="3">
        <v>45877</v>
      </c>
      <c r="BT864" s="4">
        <v>0.55000000000000004</v>
      </c>
      <c r="BU864" t="s">
        <v>787</v>
      </c>
      <c r="BV864" t="s">
        <v>90</v>
      </c>
      <c r="BW864" t="s">
        <v>134</v>
      </c>
      <c r="BX864" t="s">
        <v>1573</v>
      </c>
      <c r="BY864">
        <v>1200</v>
      </c>
      <c r="CA864" t="s">
        <v>136</v>
      </c>
      <c r="CC864" t="s">
        <v>218</v>
      </c>
      <c r="CD864">
        <v>4052</v>
      </c>
      <c r="CE864" t="s">
        <v>109</v>
      </c>
      <c r="CF864" s="3">
        <v>45877</v>
      </c>
      <c r="CI864">
        <v>1</v>
      </c>
      <c r="CJ864">
        <v>1</v>
      </c>
      <c r="CK864">
        <v>21</v>
      </c>
      <c r="CL864" t="s">
        <v>90</v>
      </c>
    </row>
    <row r="865" spans="1:90" x14ac:dyDescent="0.3">
      <c r="A865" t="s">
        <v>72</v>
      </c>
      <c r="B865" t="s">
        <v>73</v>
      </c>
      <c r="C865" t="s">
        <v>74</v>
      </c>
      <c r="E865" t="str">
        <f>"080067081461"</f>
        <v>080067081461</v>
      </c>
      <c r="F865" s="3">
        <v>45876</v>
      </c>
      <c r="G865">
        <v>202605</v>
      </c>
      <c r="H865" t="s">
        <v>75</v>
      </c>
      <c r="I865" t="s">
        <v>76</v>
      </c>
      <c r="J865" t="s">
        <v>77</v>
      </c>
      <c r="K865" t="s">
        <v>78</v>
      </c>
      <c r="L865" t="s">
        <v>1632</v>
      </c>
      <c r="M865" t="s">
        <v>1633</v>
      </c>
      <c r="N865" t="s">
        <v>1634</v>
      </c>
      <c r="O865" t="s">
        <v>82</v>
      </c>
      <c r="P865" t="str">
        <f>"4170053407                    "</f>
        <v xml:space="preserve">4170053407                    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44.73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1</v>
      </c>
      <c r="BI865">
        <v>1</v>
      </c>
      <c r="BJ865">
        <v>0.2</v>
      </c>
      <c r="BK865">
        <v>1</v>
      </c>
      <c r="BL865">
        <v>138.88999999999999</v>
      </c>
      <c r="BM865">
        <v>20.83</v>
      </c>
      <c r="BN865">
        <v>159.72</v>
      </c>
      <c r="BO865">
        <v>159.72</v>
      </c>
      <c r="BQ865" t="s">
        <v>1635</v>
      </c>
      <c r="BR865" t="s">
        <v>84</v>
      </c>
      <c r="BS865" s="3">
        <v>45880</v>
      </c>
      <c r="BT865" s="4">
        <v>0.38333333333333336</v>
      </c>
      <c r="BU865" t="s">
        <v>1636</v>
      </c>
      <c r="BV865" t="s">
        <v>86</v>
      </c>
      <c r="BY865">
        <v>1200</v>
      </c>
      <c r="CC865" t="s">
        <v>1633</v>
      </c>
      <c r="CD865">
        <v>6140</v>
      </c>
      <c r="CE865" t="s">
        <v>109</v>
      </c>
      <c r="CF865" s="3">
        <v>45883</v>
      </c>
      <c r="CI865">
        <v>2</v>
      </c>
      <c r="CJ865">
        <v>2</v>
      </c>
      <c r="CK865">
        <v>23</v>
      </c>
      <c r="CL865" t="s">
        <v>90</v>
      </c>
    </row>
    <row r="866" spans="1:90" x14ac:dyDescent="0.3">
      <c r="A866" t="s">
        <v>72</v>
      </c>
      <c r="B866" t="s">
        <v>73</v>
      </c>
      <c r="C866" t="s">
        <v>74</v>
      </c>
      <c r="E866" t="str">
        <f>"080067081509"</f>
        <v>080067081509</v>
      </c>
      <c r="F866" s="3">
        <v>45876</v>
      </c>
      <c r="G866">
        <v>202605</v>
      </c>
      <c r="H866" t="s">
        <v>75</v>
      </c>
      <c r="I866" t="s">
        <v>76</v>
      </c>
      <c r="J866" t="s">
        <v>77</v>
      </c>
      <c r="K866" t="s">
        <v>78</v>
      </c>
      <c r="L866" t="s">
        <v>75</v>
      </c>
      <c r="M866" t="s">
        <v>76</v>
      </c>
      <c r="N866" t="s">
        <v>1637</v>
      </c>
      <c r="O866" t="s">
        <v>82</v>
      </c>
      <c r="P866" t="str">
        <f>"4170053442                    "</f>
        <v xml:space="preserve">4170053442                    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18.03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1</v>
      </c>
      <c r="BI866">
        <v>1</v>
      </c>
      <c r="BJ866">
        <v>0.2</v>
      </c>
      <c r="BK866">
        <v>1</v>
      </c>
      <c r="BL866">
        <v>55.99</v>
      </c>
      <c r="BM866">
        <v>8.4</v>
      </c>
      <c r="BN866">
        <v>64.39</v>
      </c>
      <c r="BO866">
        <v>64.39</v>
      </c>
      <c r="BQ866" t="s">
        <v>1638</v>
      </c>
      <c r="BR866" t="s">
        <v>84</v>
      </c>
      <c r="BS866" s="3">
        <v>45877</v>
      </c>
      <c r="BT866" s="4">
        <v>0.37638888888888888</v>
      </c>
      <c r="BU866" t="s">
        <v>1639</v>
      </c>
      <c r="BV866" t="s">
        <v>86</v>
      </c>
      <c r="BY866">
        <v>1200</v>
      </c>
      <c r="CA866" t="s">
        <v>1026</v>
      </c>
      <c r="CC866" t="s">
        <v>76</v>
      </c>
      <c r="CD866">
        <v>1614</v>
      </c>
      <c r="CE866" t="s">
        <v>178</v>
      </c>
      <c r="CF866" s="3">
        <v>45878</v>
      </c>
      <c r="CI866">
        <v>1</v>
      </c>
      <c r="CJ866">
        <v>1</v>
      </c>
      <c r="CK866">
        <v>22</v>
      </c>
      <c r="CL866" t="s">
        <v>90</v>
      </c>
    </row>
    <row r="867" spans="1:90" x14ac:dyDescent="0.3">
      <c r="A867" t="s">
        <v>72</v>
      </c>
      <c r="B867" t="s">
        <v>73</v>
      </c>
      <c r="C867" t="s">
        <v>74</v>
      </c>
      <c r="E867" t="str">
        <f>"080067081525"</f>
        <v>080067081525</v>
      </c>
      <c r="F867" s="3">
        <v>45876</v>
      </c>
      <c r="G867">
        <v>202605</v>
      </c>
      <c r="H867" t="s">
        <v>75</v>
      </c>
      <c r="I867" t="s">
        <v>76</v>
      </c>
      <c r="J867" t="s">
        <v>77</v>
      </c>
      <c r="K867" t="s">
        <v>78</v>
      </c>
      <c r="L867" t="s">
        <v>278</v>
      </c>
      <c r="M867" t="s">
        <v>279</v>
      </c>
      <c r="N867" t="s">
        <v>1640</v>
      </c>
      <c r="O867" t="s">
        <v>82</v>
      </c>
      <c r="P867" t="str">
        <f>"4170053413                    "</f>
        <v xml:space="preserve">4170053413                    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23.09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1</v>
      </c>
      <c r="BI867">
        <v>1</v>
      </c>
      <c r="BJ867">
        <v>0.9</v>
      </c>
      <c r="BK867">
        <v>1</v>
      </c>
      <c r="BL867">
        <v>71.69</v>
      </c>
      <c r="BM867">
        <v>10.75</v>
      </c>
      <c r="BN867">
        <v>82.44</v>
      </c>
      <c r="BO867">
        <v>82.44</v>
      </c>
      <c r="BQ867" t="s">
        <v>1641</v>
      </c>
      <c r="BR867" t="s">
        <v>84</v>
      </c>
      <c r="BS867" s="3">
        <v>45877</v>
      </c>
      <c r="BT867" s="4">
        <v>0.39583333333333331</v>
      </c>
      <c r="BU867" t="s">
        <v>1642</v>
      </c>
      <c r="BV867" t="s">
        <v>86</v>
      </c>
      <c r="BY867">
        <v>4275</v>
      </c>
      <c r="CC867" t="s">
        <v>279</v>
      </c>
      <c r="CD867" s="5" t="s">
        <v>962</v>
      </c>
      <c r="CE867" t="s">
        <v>178</v>
      </c>
      <c r="CF867" s="3">
        <v>45877</v>
      </c>
      <c r="CI867">
        <v>1</v>
      </c>
      <c r="CJ867">
        <v>1</v>
      </c>
      <c r="CK867">
        <v>21</v>
      </c>
      <c r="CL867" t="s">
        <v>90</v>
      </c>
    </row>
    <row r="868" spans="1:90" x14ac:dyDescent="0.3">
      <c r="A868" t="s">
        <v>72</v>
      </c>
      <c r="B868" t="s">
        <v>73</v>
      </c>
      <c r="C868" t="s">
        <v>74</v>
      </c>
      <c r="E868" t="str">
        <f>"080067081546"</f>
        <v>080067081546</v>
      </c>
      <c r="F868" s="3">
        <v>45876</v>
      </c>
      <c r="G868">
        <v>202605</v>
      </c>
      <c r="H868" t="s">
        <v>75</v>
      </c>
      <c r="I868" t="s">
        <v>76</v>
      </c>
      <c r="J868" t="s">
        <v>77</v>
      </c>
      <c r="K868" t="s">
        <v>78</v>
      </c>
      <c r="L868" t="s">
        <v>373</v>
      </c>
      <c r="M868" t="s">
        <v>374</v>
      </c>
      <c r="N868" t="s">
        <v>131</v>
      </c>
      <c r="O868" t="s">
        <v>82</v>
      </c>
      <c r="P868" t="str">
        <f>"4170053501                    "</f>
        <v xml:space="preserve">4170053501                    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23.09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1</v>
      </c>
      <c r="BI868">
        <v>1</v>
      </c>
      <c r="BJ868">
        <v>0.2</v>
      </c>
      <c r="BK868">
        <v>1</v>
      </c>
      <c r="BL868">
        <v>71.69</v>
      </c>
      <c r="BM868">
        <v>10.75</v>
      </c>
      <c r="BN868">
        <v>82.44</v>
      </c>
      <c r="BO868">
        <v>82.44</v>
      </c>
      <c r="BQ868" t="s">
        <v>375</v>
      </c>
      <c r="BR868" t="s">
        <v>84</v>
      </c>
      <c r="BS868" s="3">
        <v>45877</v>
      </c>
      <c r="BT868" s="4">
        <v>0.51597222222222228</v>
      </c>
      <c r="BU868" t="s">
        <v>376</v>
      </c>
      <c r="BV868" t="s">
        <v>90</v>
      </c>
      <c r="BW868" t="s">
        <v>134</v>
      </c>
      <c r="BX868" t="s">
        <v>1360</v>
      </c>
      <c r="BY868">
        <v>1200</v>
      </c>
      <c r="CA868" t="s">
        <v>203</v>
      </c>
      <c r="CC868" t="s">
        <v>374</v>
      </c>
      <c r="CD868">
        <v>6220</v>
      </c>
      <c r="CE868" t="s">
        <v>178</v>
      </c>
      <c r="CF868" s="3">
        <v>45877</v>
      </c>
      <c r="CI868">
        <v>1</v>
      </c>
      <c r="CJ868">
        <v>1</v>
      </c>
      <c r="CK868">
        <v>21</v>
      </c>
      <c r="CL868" t="s">
        <v>90</v>
      </c>
    </row>
    <row r="869" spans="1:90" x14ac:dyDescent="0.3">
      <c r="A869" t="s">
        <v>72</v>
      </c>
      <c r="B869" t="s">
        <v>73</v>
      </c>
      <c r="C869" t="s">
        <v>74</v>
      </c>
      <c r="E869" t="str">
        <f>"080067081569"</f>
        <v>080067081569</v>
      </c>
      <c r="F869" s="3">
        <v>45876</v>
      </c>
      <c r="G869">
        <v>202605</v>
      </c>
      <c r="H869" t="s">
        <v>75</v>
      </c>
      <c r="I869" t="s">
        <v>76</v>
      </c>
      <c r="J869" t="s">
        <v>77</v>
      </c>
      <c r="K869" t="s">
        <v>78</v>
      </c>
      <c r="L869" t="s">
        <v>123</v>
      </c>
      <c r="M869" t="s">
        <v>124</v>
      </c>
      <c r="N869" t="s">
        <v>1643</v>
      </c>
      <c r="O869" t="s">
        <v>82</v>
      </c>
      <c r="P869" t="str">
        <f>"4170053415                    "</f>
        <v xml:space="preserve">4170053415                    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23.09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1</v>
      </c>
      <c r="BI869">
        <v>1</v>
      </c>
      <c r="BJ869">
        <v>0.9</v>
      </c>
      <c r="BK869">
        <v>1</v>
      </c>
      <c r="BL869">
        <v>71.69</v>
      </c>
      <c r="BM869">
        <v>10.75</v>
      </c>
      <c r="BN869">
        <v>82.44</v>
      </c>
      <c r="BO869">
        <v>82.44</v>
      </c>
      <c r="BQ869" t="s">
        <v>1644</v>
      </c>
      <c r="BR869" t="s">
        <v>84</v>
      </c>
      <c r="BS869" s="3">
        <v>45877</v>
      </c>
      <c r="BT869" s="4">
        <v>0.56180555555555556</v>
      </c>
      <c r="BU869" t="s">
        <v>1645</v>
      </c>
      <c r="BV869" t="s">
        <v>90</v>
      </c>
      <c r="BW869" t="s">
        <v>773</v>
      </c>
      <c r="BX869" t="s">
        <v>1495</v>
      </c>
      <c r="BY869">
        <v>4275</v>
      </c>
      <c r="CC869" t="s">
        <v>124</v>
      </c>
      <c r="CD869">
        <v>7405</v>
      </c>
      <c r="CE869" t="s">
        <v>178</v>
      </c>
      <c r="CF869" s="3">
        <v>45880</v>
      </c>
      <c r="CI869">
        <v>1</v>
      </c>
      <c r="CJ869">
        <v>1</v>
      </c>
      <c r="CK869">
        <v>21</v>
      </c>
      <c r="CL869" t="s">
        <v>90</v>
      </c>
    </row>
    <row r="870" spans="1:90" x14ac:dyDescent="0.3">
      <c r="A870" t="s">
        <v>72</v>
      </c>
      <c r="B870" t="s">
        <v>73</v>
      </c>
      <c r="C870" t="s">
        <v>74</v>
      </c>
      <c r="E870" t="str">
        <f>"080067081588"</f>
        <v>080067081588</v>
      </c>
      <c r="F870" s="3">
        <v>45876</v>
      </c>
      <c r="G870">
        <v>202605</v>
      </c>
      <c r="H870" t="s">
        <v>75</v>
      </c>
      <c r="I870" t="s">
        <v>76</v>
      </c>
      <c r="J870" t="s">
        <v>77</v>
      </c>
      <c r="K870" t="s">
        <v>78</v>
      </c>
      <c r="L870" t="s">
        <v>1316</v>
      </c>
      <c r="M870" t="s">
        <v>1317</v>
      </c>
      <c r="N870" t="s">
        <v>1318</v>
      </c>
      <c r="O870" t="s">
        <v>82</v>
      </c>
      <c r="P870" t="str">
        <f>"4170053383                    "</f>
        <v xml:space="preserve">4170053383                    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23.09</v>
      </c>
      <c r="AR870">
        <v>0</v>
      </c>
      <c r="AS870">
        <v>0</v>
      </c>
      <c r="AT870">
        <v>0</v>
      </c>
      <c r="AU870">
        <v>0</v>
      </c>
      <c r="AV870">
        <v>0</v>
      </c>
      <c r="AW870">
        <v>0</v>
      </c>
      <c r="AX870">
        <v>0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1</v>
      </c>
      <c r="BI870">
        <v>1</v>
      </c>
      <c r="BJ870">
        <v>0.2</v>
      </c>
      <c r="BK870">
        <v>1</v>
      </c>
      <c r="BL870">
        <v>71.69</v>
      </c>
      <c r="BM870">
        <v>10.75</v>
      </c>
      <c r="BN870">
        <v>82.44</v>
      </c>
      <c r="BO870">
        <v>82.44</v>
      </c>
      <c r="BQ870" t="s">
        <v>1319</v>
      </c>
      <c r="BR870" t="s">
        <v>84</v>
      </c>
      <c r="BS870" s="3">
        <v>45877</v>
      </c>
      <c r="BT870" s="4">
        <v>0.4375</v>
      </c>
      <c r="BU870" t="s">
        <v>1646</v>
      </c>
      <c r="BV870" t="s">
        <v>86</v>
      </c>
      <c r="BY870">
        <v>1200</v>
      </c>
      <c r="CA870" t="s">
        <v>136</v>
      </c>
      <c r="CC870" t="s">
        <v>1317</v>
      </c>
      <c r="CD870">
        <v>4026</v>
      </c>
      <c r="CE870" t="s">
        <v>178</v>
      </c>
      <c r="CF870" s="3">
        <v>45877</v>
      </c>
      <c r="CI870">
        <v>1</v>
      </c>
      <c r="CJ870">
        <v>1</v>
      </c>
      <c r="CK870">
        <v>21</v>
      </c>
      <c r="CL870" t="s">
        <v>90</v>
      </c>
    </row>
    <row r="871" spans="1:90" x14ac:dyDescent="0.3">
      <c r="A871" t="s">
        <v>72</v>
      </c>
      <c r="B871" t="s">
        <v>73</v>
      </c>
      <c r="C871" t="s">
        <v>74</v>
      </c>
      <c r="E871" t="str">
        <f>"080067081595"</f>
        <v>080067081595</v>
      </c>
      <c r="F871" s="3">
        <v>45876</v>
      </c>
      <c r="G871">
        <v>202605</v>
      </c>
      <c r="H871" t="s">
        <v>75</v>
      </c>
      <c r="I871" t="s">
        <v>76</v>
      </c>
      <c r="J871" t="s">
        <v>77</v>
      </c>
      <c r="K871" t="s">
        <v>78</v>
      </c>
      <c r="L871" t="s">
        <v>217</v>
      </c>
      <c r="M871" t="s">
        <v>218</v>
      </c>
      <c r="N871" t="s">
        <v>249</v>
      </c>
      <c r="O871" t="s">
        <v>82</v>
      </c>
      <c r="P871" t="str">
        <f>"4170053213                    "</f>
        <v xml:space="preserve">4170053213                    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23.09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0</v>
      </c>
      <c r="BD871">
        <v>0</v>
      </c>
      <c r="BE871">
        <v>0</v>
      </c>
      <c r="BF871">
        <v>0</v>
      </c>
      <c r="BG871">
        <v>0</v>
      </c>
      <c r="BH871">
        <v>1</v>
      </c>
      <c r="BI871">
        <v>1</v>
      </c>
      <c r="BJ871">
        <v>0.2</v>
      </c>
      <c r="BK871">
        <v>1</v>
      </c>
      <c r="BL871">
        <v>71.69</v>
      </c>
      <c r="BM871">
        <v>10.75</v>
      </c>
      <c r="BN871">
        <v>82.44</v>
      </c>
      <c r="BO871">
        <v>82.44</v>
      </c>
      <c r="BQ871" t="s">
        <v>250</v>
      </c>
      <c r="BR871" t="s">
        <v>84</v>
      </c>
      <c r="BS871" s="3">
        <v>45877</v>
      </c>
      <c r="BT871" s="4">
        <v>0.55069444444444449</v>
      </c>
      <c r="BU871" t="s">
        <v>787</v>
      </c>
      <c r="BV871" t="s">
        <v>90</v>
      </c>
      <c r="BW871" t="s">
        <v>134</v>
      </c>
      <c r="BX871" t="s">
        <v>1573</v>
      </c>
      <c r="BY871">
        <v>1200</v>
      </c>
      <c r="CA871" t="s">
        <v>136</v>
      </c>
      <c r="CC871" t="s">
        <v>218</v>
      </c>
      <c r="CD871">
        <v>4052</v>
      </c>
      <c r="CE871" t="s">
        <v>178</v>
      </c>
      <c r="CF871" s="3">
        <v>45877</v>
      </c>
      <c r="CI871">
        <v>1</v>
      </c>
      <c r="CJ871">
        <v>1</v>
      </c>
      <c r="CK871">
        <v>21</v>
      </c>
      <c r="CL871" t="s">
        <v>90</v>
      </c>
    </row>
    <row r="872" spans="1:90" x14ac:dyDescent="0.3">
      <c r="A872" t="s">
        <v>72</v>
      </c>
      <c r="B872" t="s">
        <v>73</v>
      </c>
      <c r="C872" t="s">
        <v>74</v>
      </c>
      <c r="E872" t="str">
        <f>"080067081597"</f>
        <v>080067081597</v>
      </c>
      <c r="F872" s="3">
        <v>45876</v>
      </c>
      <c r="G872">
        <v>202605</v>
      </c>
      <c r="H872" t="s">
        <v>75</v>
      </c>
      <c r="I872" t="s">
        <v>76</v>
      </c>
      <c r="J872" t="s">
        <v>77</v>
      </c>
      <c r="K872" t="s">
        <v>78</v>
      </c>
      <c r="L872" t="s">
        <v>229</v>
      </c>
      <c r="M872" t="s">
        <v>230</v>
      </c>
      <c r="N872" t="s">
        <v>231</v>
      </c>
      <c r="O872" t="s">
        <v>82</v>
      </c>
      <c r="P872" t="str">
        <f>"4170053453                    "</f>
        <v xml:space="preserve">4170053453                    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75.02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2</v>
      </c>
      <c r="BJ872">
        <v>3.2</v>
      </c>
      <c r="BK872">
        <v>3.5</v>
      </c>
      <c r="BL872">
        <v>232.96</v>
      </c>
      <c r="BM872">
        <v>34.94</v>
      </c>
      <c r="BN872">
        <v>267.89999999999998</v>
      </c>
      <c r="BO872">
        <v>267.89999999999998</v>
      </c>
      <c r="BQ872" t="s">
        <v>232</v>
      </c>
      <c r="BR872" t="s">
        <v>84</v>
      </c>
      <c r="BS872" s="3">
        <v>45877</v>
      </c>
      <c r="BT872" s="4">
        <v>0.35416666666666669</v>
      </c>
      <c r="BU872" t="s">
        <v>233</v>
      </c>
      <c r="BV872" t="s">
        <v>86</v>
      </c>
      <c r="BY872">
        <v>15912</v>
      </c>
      <c r="CC872" t="s">
        <v>230</v>
      </c>
      <c r="CD872">
        <v>2740</v>
      </c>
      <c r="CE872" t="s">
        <v>178</v>
      </c>
      <c r="CF872" s="3">
        <v>45880</v>
      </c>
      <c r="CI872">
        <v>1</v>
      </c>
      <c r="CJ872">
        <v>1</v>
      </c>
      <c r="CK872">
        <v>23</v>
      </c>
      <c r="CL872" t="s">
        <v>90</v>
      </c>
    </row>
    <row r="873" spans="1:90" x14ac:dyDescent="0.3">
      <c r="A873" t="s">
        <v>72</v>
      </c>
      <c r="B873" t="s">
        <v>73</v>
      </c>
      <c r="C873" t="s">
        <v>74</v>
      </c>
      <c r="E873" t="str">
        <f>"080067081617"</f>
        <v>080067081617</v>
      </c>
      <c r="F873" s="3">
        <v>45876</v>
      </c>
      <c r="G873">
        <v>202605</v>
      </c>
      <c r="H873" t="s">
        <v>75</v>
      </c>
      <c r="I873" t="s">
        <v>76</v>
      </c>
      <c r="J873" t="s">
        <v>77</v>
      </c>
      <c r="K873" t="s">
        <v>78</v>
      </c>
      <c r="L873" t="s">
        <v>75</v>
      </c>
      <c r="M873" t="s">
        <v>76</v>
      </c>
      <c r="N873" t="s">
        <v>537</v>
      </c>
      <c r="O873" t="s">
        <v>82</v>
      </c>
      <c r="P873" t="str">
        <f>"4170053379                    "</f>
        <v xml:space="preserve">4170053379                    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18.03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1</v>
      </c>
      <c r="BI873">
        <v>1</v>
      </c>
      <c r="BJ873">
        <v>0.2</v>
      </c>
      <c r="BK873">
        <v>1</v>
      </c>
      <c r="BL873">
        <v>55.99</v>
      </c>
      <c r="BM873">
        <v>8.4</v>
      </c>
      <c r="BN873">
        <v>64.39</v>
      </c>
      <c r="BO873">
        <v>64.39</v>
      </c>
      <c r="BQ873" t="s">
        <v>538</v>
      </c>
      <c r="BR873" t="s">
        <v>84</v>
      </c>
      <c r="BS873" s="3">
        <v>45877</v>
      </c>
      <c r="BT873" s="4">
        <v>0.36249999999999999</v>
      </c>
      <c r="BU873" t="s">
        <v>738</v>
      </c>
      <c r="BV873" t="s">
        <v>86</v>
      </c>
      <c r="BY873">
        <v>1200</v>
      </c>
      <c r="CA873" t="s">
        <v>739</v>
      </c>
      <c r="CC873" t="s">
        <v>76</v>
      </c>
      <c r="CD873">
        <v>1619</v>
      </c>
      <c r="CE873" t="s">
        <v>178</v>
      </c>
      <c r="CF873" s="3">
        <v>45877</v>
      </c>
      <c r="CI873">
        <v>1</v>
      </c>
      <c r="CJ873">
        <v>1</v>
      </c>
      <c r="CK873">
        <v>22</v>
      </c>
      <c r="CL873" t="s">
        <v>90</v>
      </c>
    </row>
    <row r="874" spans="1:90" x14ac:dyDescent="0.3">
      <c r="A874" t="s">
        <v>72</v>
      </c>
      <c r="B874" t="s">
        <v>73</v>
      </c>
      <c r="C874" t="s">
        <v>74</v>
      </c>
      <c r="E874" t="str">
        <f>"080067081620"</f>
        <v>080067081620</v>
      </c>
      <c r="F874" s="3">
        <v>45876</v>
      </c>
      <c r="G874">
        <v>202605</v>
      </c>
      <c r="H874" t="s">
        <v>75</v>
      </c>
      <c r="I874" t="s">
        <v>76</v>
      </c>
      <c r="J874" t="s">
        <v>77</v>
      </c>
      <c r="K874" t="s">
        <v>78</v>
      </c>
      <c r="L874" t="s">
        <v>400</v>
      </c>
      <c r="M874" t="s">
        <v>401</v>
      </c>
      <c r="N874" t="s">
        <v>1597</v>
      </c>
      <c r="O874" t="s">
        <v>82</v>
      </c>
      <c r="P874" t="str">
        <f>"4170053395                    "</f>
        <v xml:space="preserve">4170053395                    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23.09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0</v>
      </c>
      <c r="BF874">
        <v>0</v>
      </c>
      <c r="BG874">
        <v>0</v>
      </c>
      <c r="BH874">
        <v>1</v>
      </c>
      <c r="BI874">
        <v>2</v>
      </c>
      <c r="BJ874">
        <v>1.1000000000000001</v>
      </c>
      <c r="BK874">
        <v>2</v>
      </c>
      <c r="BL874">
        <v>71.69</v>
      </c>
      <c r="BM874">
        <v>10.75</v>
      </c>
      <c r="BN874">
        <v>82.44</v>
      </c>
      <c r="BO874">
        <v>82.44</v>
      </c>
      <c r="BQ874" t="s">
        <v>1598</v>
      </c>
      <c r="BR874" t="s">
        <v>84</v>
      </c>
      <c r="BS874" s="3">
        <v>45877</v>
      </c>
      <c r="BT874" s="4">
        <v>0.37152777777777779</v>
      </c>
      <c r="BU874" t="s">
        <v>1647</v>
      </c>
      <c r="BV874" t="s">
        <v>86</v>
      </c>
      <c r="BY874">
        <v>5600</v>
      </c>
      <c r="CA874" t="s">
        <v>405</v>
      </c>
      <c r="CC874" t="s">
        <v>401</v>
      </c>
      <c r="CD874">
        <v>6229</v>
      </c>
      <c r="CE874" t="s">
        <v>178</v>
      </c>
      <c r="CF874" s="3">
        <v>45877</v>
      </c>
      <c r="CI874">
        <v>1</v>
      </c>
      <c r="CJ874">
        <v>1</v>
      </c>
      <c r="CK874">
        <v>21</v>
      </c>
      <c r="CL874" t="s">
        <v>90</v>
      </c>
    </row>
    <row r="875" spans="1:90" x14ac:dyDescent="0.3">
      <c r="A875" t="s">
        <v>72</v>
      </c>
      <c r="B875" t="s">
        <v>73</v>
      </c>
      <c r="C875" t="s">
        <v>74</v>
      </c>
      <c r="E875" t="str">
        <f>"080067081917"</f>
        <v>080067081917</v>
      </c>
      <c r="F875" s="3">
        <v>45876</v>
      </c>
      <c r="G875">
        <v>202605</v>
      </c>
      <c r="H875" t="s">
        <v>75</v>
      </c>
      <c r="I875" t="s">
        <v>76</v>
      </c>
      <c r="J875" t="s">
        <v>77</v>
      </c>
      <c r="K875" t="s">
        <v>78</v>
      </c>
      <c r="L875" t="s">
        <v>137</v>
      </c>
      <c r="M875" t="s">
        <v>138</v>
      </c>
      <c r="N875" t="s">
        <v>261</v>
      </c>
      <c r="O875" t="s">
        <v>82</v>
      </c>
      <c r="P875" t="str">
        <f>"4170053385                    "</f>
        <v xml:space="preserve">4170053385                    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23.09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1</v>
      </c>
      <c r="BI875">
        <v>1</v>
      </c>
      <c r="BJ875">
        <v>0.2</v>
      </c>
      <c r="BK875">
        <v>1</v>
      </c>
      <c r="BL875">
        <v>71.69</v>
      </c>
      <c r="BM875">
        <v>10.75</v>
      </c>
      <c r="BN875">
        <v>82.44</v>
      </c>
      <c r="BO875">
        <v>82.44</v>
      </c>
      <c r="BQ875" t="s">
        <v>262</v>
      </c>
      <c r="BR875" t="s">
        <v>84</v>
      </c>
      <c r="BS875" s="3">
        <v>45877</v>
      </c>
      <c r="BT875" s="4">
        <v>0.42986111111111114</v>
      </c>
      <c r="BU875" t="s">
        <v>1648</v>
      </c>
      <c r="BV875" t="s">
        <v>86</v>
      </c>
      <c r="BY875">
        <v>1200</v>
      </c>
      <c r="CA875" t="s">
        <v>264</v>
      </c>
      <c r="CC875" t="s">
        <v>138</v>
      </c>
      <c r="CD875">
        <v>3608</v>
      </c>
      <c r="CE875" t="s">
        <v>109</v>
      </c>
      <c r="CF875" s="3">
        <v>45878</v>
      </c>
      <c r="CI875">
        <v>1</v>
      </c>
      <c r="CJ875">
        <v>1</v>
      </c>
      <c r="CK875">
        <v>21</v>
      </c>
      <c r="CL875" t="s">
        <v>90</v>
      </c>
    </row>
    <row r="876" spans="1:90" x14ac:dyDescent="0.3">
      <c r="A876" t="s">
        <v>72</v>
      </c>
      <c r="B876" t="s">
        <v>73</v>
      </c>
      <c r="C876" t="s">
        <v>74</v>
      </c>
      <c r="E876" t="str">
        <f>"080067081950"</f>
        <v>080067081950</v>
      </c>
      <c r="F876" s="3">
        <v>45876</v>
      </c>
      <c r="G876">
        <v>202605</v>
      </c>
      <c r="H876" t="s">
        <v>75</v>
      </c>
      <c r="I876" t="s">
        <v>76</v>
      </c>
      <c r="J876" t="s">
        <v>77</v>
      </c>
      <c r="K876" t="s">
        <v>78</v>
      </c>
      <c r="L876" t="s">
        <v>75</v>
      </c>
      <c r="M876" t="s">
        <v>76</v>
      </c>
      <c r="N876" t="s">
        <v>1426</v>
      </c>
      <c r="O876" t="s">
        <v>82</v>
      </c>
      <c r="P876" t="str">
        <f>"4170053152                    "</f>
        <v xml:space="preserve">4170053152                    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18.03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1</v>
      </c>
      <c r="BI876">
        <v>1</v>
      </c>
      <c r="BJ876">
        <v>0.2</v>
      </c>
      <c r="BK876">
        <v>1</v>
      </c>
      <c r="BL876">
        <v>55.99</v>
      </c>
      <c r="BM876">
        <v>8.4</v>
      </c>
      <c r="BN876">
        <v>64.39</v>
      </c>
      <c r="BO876">
        <v>64.39</v>
      </c>
      <c r="BQ876" t="s">
        <v>1427</v>
      </c>
      <c r="BR876" t="s">
        <v>84</v>
      </c>
      <c r="BS876" s="3">
        <v>45877</v>
      </c>
      <c r="BT876" s="4">
        <v>0.28888888888888886</v>
      </c>
      <c r="BU876" t="s">
        <v>1649</v>
      </c>
      <c r="BV876" t="s">
        <v>86</v>
      </c>
      <c r="BY876">
        <v>1200</v>
      </c>
      <c r="CA876" t="s">
        <v>1650</v>
      </c>
      <c r="CC876" t="s">
        <v>76</v>
      </c>
      <c r="CD876">
        <v>1600</v>
      </c>
      <c r="CE876" t="s">
        <v>109</v>
      </c>
      <c r="CF876" s="3">
        <v>45877</v>
      </c>
      <c r="CI876">
        <v>1</v>
      </c>
      <c r="CJ876">
        <v>1</v>
      </c>
      <c r="CK876">
        <v>22</v>
      </c>
      <c r="CL876" t="s">
        <v>90</v>
      </c>
    </row>
    <row r="877" spans="1:90" x14ac:dyDescent="0.3">
      <c r="A877" t="s">
        <v>72</v>
      </c>
      <c r="B877" t="s">
        <v>73</v>
      </c>
      <c r="C877" t="s">
        <v>74</v>
      </c>
      <c r="E877" t="str">
        <f>"080067081974"</f>
        <v>080067081974</v>
      </c>
      <c r="F877" s="3">
        <v>45876</v>
      </c>
      <c r="G877">
        <v>202605</v>
      </c>
      <c r="H877" t="s">
        <v>75</v>
      </c>
      <c r="I877" t="s">
        <v>76</v>
      </c>
      <c r="J877" t="s">
        <v>77</v>
      </c>
      <c r="K877" t="s">
        <v>78</v>
      </c>
      <c r="L877" t="s">
        <v>118</v>
      </c>
      <c r="M877" t="s">
        <v>118</v>
      </c>
      <c r="N877" t="s">
        <v>466</v>
      </c>
      <c r="O877" t="s">
        <v>82</v>
      </c>
      <c r="P877" t="str">
        <f>"4170053299                    "</f>
        <v xml:space="preserve">4170053299                    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44.73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1</v>
      </c>
      <c r="BI877">
        <v>1</v>
      </c>
      <c r="BJ877">
        <v>0.2</v>
      </c>
      <c r="BK877">
        <v>1</v>
      </c>
      <c r="BL877">
        <v>138.88999999999999</v>
      </c>
      <c r="BM877">
        <v>20.83</v>
      </c>
      <c r="BN877">
        <v>159.72</v>
      </c>
      <c r="BO877">
        <v>159.72</v>
      </c>
      <c r="BQ877" t="s">
        <v>467</v>
      </c>
      <c r="BR877" t="s">
        <v>84</v>
      </c>
      <c r="BS877" s="3">
        <v>45877</v>
      </c>
      <c r="BT877" s="4">
        <v>0.54166666666666663</v>
      </c>
      <c r="BU877" t="s">
        <v>1651</v>
      </c>
      <c r="BV877" t="s">
        <v>86</v>
      </c>
      <c r="BY877">
        <v>1200</v>
      </c>
      <c r="CA877" t="s">
        <v>1420</v>
      </c>
      <c r="CC877" t="s">
        <v>118</v>
      </c>
      <c r="CD877">
        <v>7646</v>
      </c>
      <c r="CE877" t="s">
        <v>109</v>
      </c>
      <c r="CF877" s="3">
        <v>45880</v>
      </c>
      <c r="CI877">
        <v>1</v>
      </c>
      <c r="CJ877">
        <v>1</v>
      </c>
      <c r="CK877">
        <v>23</v>
      </c>
      <c r="CL877" t="s">
        <v>90</v>
      </c>
    </row>
    <row r="878" spans="1:90" x14ac:dyDescent="0.3">
      <c r="A878" t="s">
        <v>72</v>
      </c>
      <c r="B878" t="s">
        <v>73</v>
      </c>
      <c r="C878" t="s">
        <v>74</v>
      </c>
      <c r="E878" t="str">
        <f>"080067082000"</f>
        <v>080067082000</v>
      </c>
      <c r="F878" s="3">
        <v>45876</v>
      </c>
      <c r="G878">
        <v>202605</v>
      </c>
      <c r="H878" t="s">
        <v>75</v>
      </c>
      <c r="I878" t="s">
        <v>76</v>
      </c>
      <c r="J878" t="s">
        <v>77</v>
      </c>
      <c r="K878" t="s">
        <v>78</v>
      </c>
      <c r="L878" t="s">
        <v>385</v>
      </c>
      <c r="M878" t="s">
        <v>386</v>
      </c>
      <c r="N878" t="s">
        <v>448</v>
      </c>
      <c r="O878" t="s">
        <v>82</v>
      </c>
      <c r="P878" t="str">
        <f>"4170053386                    "</f>
        <v xml:space="preserve">4170053386                    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18.03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1</v>
      </c>
      <c r="BI878">
        <v>1</v>
      </c>
      <c r="BJ878">
        <v>0.2</v>
      </c>
      <c r="BK878">
        <v>1</v>
      </c>
      <c r="BL878">
        <v>55.99</v>
      </c>
      <c r="BM878">
        <v>8.4</v>
      </c>
      <c r="BN878">
        <v>64.39</v>
      </c>
      <c r="BO878">
        <v>64.39</v>
      </c>
      <c r="BQ878" t="s">
        <v>449</v>
      </c>
      <c r="BR878" t="s">
        <v>84</v>
      </c>
      <c r="BS878" s="3">
        <v>45877</v>
      </c>
      <c r="BT878" s="4">
        <v>0.42708333333333331</v>
      </c>
      <c r="BU878" t="s">
        <v>1652</v>
      </c>
      <c r="BV878" t="s">
        <v>86</v>
      </c>
      <c r="BY878">
        <v>1200</v>
      </c>
      <c r="CC878" t="s">
        <v>386</v>
      </c>
      <c r="CD878">
        <v>1559</v>
      </c>
      <c r="CE878" t="s">
        <v>109</v>
      </c>
      <c r="CF878" s="3">
        <v>45877</v>
      </c>
      <c r="CI878">
        <v>1</v>
      </c>
      <c r="CJ878">
        <v>1</v>
      </c>
      <c r="CK878">
        <v>22</v>
      </c>
      <c r="CL878" t="s">
        <v>90</v>
      </c>
    </row>
    <row r="879" spans="1:90" x14ac:dyDescent="0.3">
      <c r="A879" t="s">
        <v>72</v>
      </c>
      <c r="B879" t="s">
        <v>73</v>
      </c>
      <c r="C879" t="s">
        <v>74</v>
      </c>
      <c r="E879" t="str">
        <f>"080067082024"</f>
        <v>080067082024</v>
      </c>
      <c r="F879" s="3">
        <v>45876</v>
      </c>
      <c r="G879">
        <v>202605</v>
      </c>
      <c r="H879" t="s">
        <v>75</v>
      </c>
      <c r="I879" t="s">
        <v>76</v>
      </c>
      <c r="J879" t="s">
        <v>77</v>
      </c>
      <c r="K879" t="s">
        <v>78</v>
      </c>
      <c r="L879" t="s">
        <v>1157</v>
      </c>
      <c r="M879" t="s">
        <v>1158</v>
      </c>
      <c r="N879" t="s">
        <v>1159</v>
      </c>
      <c r="O879" t="s">
        <v>82</v>
      </c>
      <c r="P879" t="str">
        <f>"4170053531                    "</f>
        <v xml:space="preserve">4170053531                    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44.73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1</v>
      </c>
      <c r="BI879">
        <v>1</v>
      </c>
      <c r="BJ879">
        <v>0.2</v>
      </c>
      <c r="BK879">
        <v>1</v>
      </c>
      <c r="BL879">
        <v>138.88999999999999</v>
      </c>
      <c r="BM879">
        <v>20.83</v>
      </c>
      <c r="BN879">
        <v>159.72</v>
      </c>
      <c r="BO879">
        <v>159.72</v>
      </c>
      <c r="BQ879" t="s">
        <v>1160</v>
      </c>
      <c r="BR879" t="s">
        <v>84</v>
      </c>
      <c r="BS879" s="3">
        <v>45877</v>
      </c>
      <c r="BT879" s="4">
        <v>0.3888888888888889</v>
      </c>
      <c r="BU879" t="s">
        <v>1653</v>
      </c>
      <c r="BV879" t="s">
        <v>86</v>
      </c>
      <c r="BY879">
        <v>1200</v>
      </c>
      <c r="CA879" t="s">
        <v>1654</v>
      </c>
      <c r="CC879" t="s">
        <v>1158</v>
      </c>
      <c r="CD879">
        <v>2302</v>
      </c>
      <c r="CE879" t="s">
        <v>109</v>
      </c>
      <c r="CF879" s="3">
        <v>45877</v>
      </c>
      <c r="CI879">
        <v>1</v>
      </c>
      <c r="CJ879">
        <v>1</v>
      </c>
      <c r="CK879">
        <v>23</v>
      </c>
      <c r="CL879" t="s">
        <v>90</v>
      </c>
    </row>
    <row r="880" spans="1:90" x14ac:dyDescent="0.3">
      <c r="A880" t="s">
        <v>72</v>
      </c>
      <c r="B880" t="s">
        <v>73</v>
      </c>
      <c r="C880" t="s">
        <v>74</v>
      </c>
      <c r="E880" t="str">
        <f>"080067082043"</f>
        <v>080067082043</v>
      </c>
      <c r="F880" s="3">
        <v>45876</v>
      </c>
      <c r="G880">
        <v>202605</v>
      </c>
      <c r="H880" t="s">
        <v>75</v>
      </c>
      <c r="I880" t="s">
        <v>76</v>
      </c>
      <c r="J880" t="s">
        <v>77</v>
      </c>
      <c r="K880" t="s">
        <v>78</v>
      </c>
      <c r="L880" t="s">
        <v>75</v>
      </c>
      <c r="M880" t="s">
        <v>76</v>
      </c>
      <c r="N880" t="s">
        <v>1340</v>
      </c>
      <c r="O880" t="s">
        <v>82</v>
      </c>
      <c r="P880" t="str">
        <f>"4170053497                    "</f>
        <v xml:space="preserve">4170053497                    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18.03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1</v>
      </c>
      <c r="BI880">
        <v>1</v>
      </c>
      <c r="BJ880">
        <v>0.2</v>
      </c>
      <c r="BK880">
        <v>1</v>
      </c>
      <c r="BL880">
        <v>55.99</v>
      </c>
      <c r="BM880">
        <v>8.4</v>
      </c>
      <c r="BN880">
        <v>64.39</v>
      </c>
      <c r="BO880">
        <v>64.39</v>
      </c>
      <c r="BQ880" t="s">
        <v>1341</v>
      </c>
      <c r="BR880" t="s">
        <v>84</v>
      </c>
      <c r="BS880" s="3">
        <v>45877</v>
      </c>
      <c r="BT880" s="4">
        <v>0.41666666666666669</v>
      </c>
      <c r="BU880" t="s">
        <v>1342</v>
      </c>
      <c r="BV880" t="s">
        <v>86</v>
      </c>
      <c r="BY880">
        <v>1200</v>
      </c>
      <c r="CA880" t="s">
        <v>1343</v>
      </c>
      <c r="CC880" t="s">
        <v>76</v>
      </c>
      <c r="CD880">
        <v>1609</v>
      </c>
      <c r="CE880" t="s">
        <v>109</v>
      </c>
      <c r="CF880" s="3">
        <v>45877</v>
      </c>
      <c r="CI880">
        <v>1</v>
      </c>
      <c r="CJ880">
        <v>1</v>
      </c>
      <c r="CK880">
        <v>22</v>
      </c>
      <c r="CL880" t="s">
        <v>90</v>
      </c>
    </row>
    <row r="881" spans="1:90" x14ac:dyDescent="0.3">
      <c r="A881" t="s">
        <v>72</v>
      </c>
      <c r="B881" t="s">
        <v>73</v>
      </c>
      <c r="C881" t="s">
        <v>74</v>
      </c>
      <c r="E881" t="str">
        <f>"080067082061"</f>
        <v>080067082061</v>
      </c>
      <c r="F881" s="3">
        <v>45876</v>
      </c>
      <c r="G881">
        <v>202605</v>
      </c>
      <c r="H881" t="s">
        <v>75</v>
      </c>
      <c r="I881" t="s">
        <v>76</v>
      </c>
      <c r="J881" t="s">
        <v>77</v>
      </c>
      <c r="K881" t="s">
        <v>78</v>
      </c>
      <c r="L881" t="s">
        <v>179</v>
      </c>
      <c r="M881" t="s">
        <v>180</v>
      </c>
      <c r="N881" t="s">
        <v>1361</v>
      </c>
      <c r="O881" t="s">
        <v>82</v>
      </c>
      <c r="P881" t="str">
        <f>"4170053119                    "</f>
        <v xml:space="preserve">4170053119                    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32.47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1</v>
      </c>
      <c r="BI881">
        <v>1</v>
      </c>
      <c r="BJ881">
        <v>0.2</v>
      </c>
      <c r="BK881">
        <v>1</v>
      </c>
      <c r="BL881">
        <v>100.82</v>
      </c>
      <c r="BM881">
        <v>15.12</v>
      </c>
      <c r="BN881">
        <v>115.94</v>
      </c>
      <c r="BO881">
        <v>115.94</v>
      </c>
      <c r="BQ881" t="s">
        <v>1362</v>
      </c>
      <c r="BR881" t="s">
        <v>84</v>
      </c>
      <c r="BS881" s="3">
        <v>45877</v>
      </c>
      <c r="BT881" s="4">
        <v>0.46666666666666667</v>
      </c>
      <c r="BU881" t="s">
        <v>1655</v>
      </c>
      <c r="BV881" t="s">
        <v>86</v>
      </c>
      <c r="BY881">
        <v>1200</v>
      </c>
      <c r="CA881" t="s">
        <v>1656</v>
      </c>
      <c r="CC881" t="s">
        <v>180</v>
      </c>
      <c r="CD881">
        <v>1754</v>
      </c>
      <c r="CE881" t="s">
        <v>109</v>
      </c>
      <c r="CF881" s="3">
        <v>45877</v>
      </c>
      <c r="CI881">
        <v>1</v>
      </c>
      <c r="CJ881">
        <v>1</v>
      </c>
      <c r="CK881">
        <v>24</v>
      </c>
      <c r="CL881" t="s">
        <v>90</v>
      </c>
    </row>
    <row r="882" spans="1:90" x14ac:dyDescent="0.3">
      <c r="A882" t="s">
        <v>72</v>
      </c>
      <c r="B882" t="s">
        <v>73</v>
      </c>
      <c r="C882" t="s">
        <v>74</v>
      </c>
      <c r="E882" t="str">
        <f>"080067082074"</f>
        <v>080067082074</v>
      </c>
      <c r="F882" s="3">
        <v>45876</v>
      </c>
      <c r="G882">
        <v>202605</v>
      </c>
      <c r="H882" t="s">
        <v>75</v>
      </c>
      <c r="I882" t="s">
        <v>76</v>
      </c>
      <c r="J882" t="s">
        <v>77</v>
      </c>
      <c r="K882" t="s">
        <v>78</v>
      </c>
      <c r="L882" t="s">
        <v>118</v>
      </c>
      <c r="M882" t="s">
        <v>118</v>
      </c>
      <c r="N882" t="s">
        <v>119</v>
      </c>
      <c r="O882" t="s">
        <v>82</v>
      </c>
      <c r="P882" t="str">
        <f>"4170053347                    "</f>
        <v xml:space="preserve">4170053347                    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44.73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1</v>
      </c>
      <c r="BI882">
        <v>1</v>
      </c>
      <c r="BJ882">
        <v>0.2</v>
      </c>
      <c r="BK882">
        <v>1</v>
      </c>
      <c r="BL882">
        <v>138.88999999999999</v>
      </c>
      <c r="BM882">
        <v>20.83</v>
      </c>
      <c r="BN882">
        <v>159.72</v>
      </c>
      <c r="BO882">
        <v>159.72</v>
      </c>
      <c r="BQ882" t="s">
        <v>120</v>
      </c>
      <c r="BR882" t="s">
        <v>84</v>
      </c>
      <c r="BS882" s="3">
        <v>45877</v>
      </c>
      <c r="BT882" s="4">
        <v>0.54097222222222219</v>
      </c>
      <c r="BU882" t="s">
        <v>1419</v>
      </c>
      <c r="BV882" t="s">
        <v>86</v>
      </c>
      <c r="BY882">
        <v>1200</v>
      </c>
      <c r="CA882" t="s">
        <v>1420</v>
      </c>
      <c r="CC882" t="s">
        <v>118</v>
      </c>
      <c r="CD882">
        <v>7646</v>
      </c>
      <c r="CE882" t="s">
        <v>109</v>
      </c>
      <c r="CF882" s="3">
        <v>45880</v>
      </c>
      <c r="CI882">
        <v>1</v>
      </c>
      <c r="CJ882">
        <v>1</v>
      </c>
      <c r="CK882">
        <v>23</v>
      </c>
      <c r="CL882" t="s">
        <v>90</v>
      </c>
    </row>
    <row r="883" spans="1:90" x14ac:dyDescent="0.3">
      <c r="A883" t="s">
        <v>72</v>
      </c>
      <c r="B883" t="s">
        <v>73</v>
      </c>
      <c r="C883" t="s">
        <v>74</v>
      </c>
      <c r="E883" t="str">
        <f>"080067082104"</f>
        <v>080067082104</v>
      </c>
      <c r="F883" s="3">
        <v>45876</v>
      </c>
      <c r="G883">
        <v>202605</v>
      </c>
      <c r="H883" t="s">
        <v>75</v>
      </c>
      <c r="I883" t="s">
        <v>76</v>
      </c>
      <c r="J883" t="s">
        <v>77</v>
      </c>
      <c r="K883" t="s">
        <v>78</v>
      </c>
      <c r="L883" t="s">
        <v>513</v>
      </c>
      <c r="M883" t="s">
        <v>514</v>
      </c>
      <c r="N883" t="s">
        <v>709</v>
      </c>
      <c r="O883" t="s">
        <v>82</v>
      </c>
      <c r="P883" t="str">
        <f>"4170053393                    "</f>
        <v xml:space="preserve">4170053393                    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44.73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1</v>
      </c>
      <c r="BI883">
        <v>1</v>
      </c>
      <c r="BJ883">
        <v>0.2</v>
      </c>
      <c r="BK883">
        <v>1</v>
      </c>
      <c r="BL883">
        <v>138.88999999999999</v>
      </c>
      <c r="BM883">
        <v>20.83</v>
      </c>
      <c r="BN883">
        <v>159.72</v>
      </c>
      <c r="BO883">
        <v>159.72</v>
      </c>
      <c r="BQ883" t="s">
        <v>710</v>
      </c>
      <c r="BR883" t="s">
        <v>84</v>
      </c>
      <c r="BS883" s="3">
        <v>45877</v>
      </c>
      <c r="BT883" s="4">
        <v>0.42569444444444443</v>
      </c>
      <c r="BU883" t="s">
        <v>1657</v>
      </c>
      <c r="BV883" t="s">
        <v>86</v>
      </c>
      <c r="BY883">
        <v>1200</v>
      </c>
      <c r="CA883" t="s">
        <v>712</v>
      </c>
      <c r="CC883" t="s">
        <v>514</v>
      </c>
      <c r="CD883" s="5" t="s">
        <v>519</v>
      </c>
      <c r="CE883" t="s">
        <v>109</v>
      </c>
      <c r="CF883" s="3">
        <v>45880</v>
      </c>
      <c r="CI883">
        <v>1</v>
      </c>
      <c r="CJ883">
        <v>1</v>
      </c>
      <c r="CK883">
        <v>23</v>
      </c>
      <c r="CL883" t="s">
        <v>90</v>
      </c>
    </row>
    <row r="884" spans="1:90" x14ac:dyDescent="0.3">
      <c r="A884" t="s">
        <v>72</v>
      </c>
      <c r="B884" t="s">
        <v>73</v>
      </c>
      <c r="C884" t="s">
        <v>74</v>
      </c>
      <c r="E884" t="str">
        <f>"080067082126"</f>
        <v>080067082126</v>
      </c>
      <c r="F884" s="3">
        <v>45876</v>
      </c>
      <c r="G884">
        <v>202605</v>
      </c>
      <c r="H884" t="s">
        <v>75</v>
      </c>
      <c r="I884" t="s">
        <v>76</v>
      </c>
      <c r="J884" t="s">
        <v>77</v>
      </c>
      <c r="K884" t="s">
        <v>78</v>
      </c>
      <c r="L884" t="s">
        <v>198</v>
      </c>
      <c r="M884" t="s">
        <v>199</v>
      </c>
      <c r="N884" t="s">
        <v>342</v>
      </c>
      <c r="O884" t="s">
        <v>82</v>
      </c>
      <c r="P884" t="str">
        <f>"4170053381                    "</f>
        <v xml:space="preserve">4170053381                    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23.09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1</v>
      </c>
      <c r="BI884">
        <v>1</v>
      </c>
      <c r="BJ884">
        <v>0.2</v>
      </c>
      <c r="BK884">
        <v>1</v>
      </c>
      <c r="BL884">
        <v>71.69</v>
      </c>
      <c r="BM884">
        <v>10.75</v>
      </c>
      <c r="BN884">
        <v>82.44</v>
      </c>
      <c r="BO884">
        <v>82.44</v>
      </c>
      <c r="BQ884" t="s">
        <v>343</v>
      </c>
      <c r="BR884" t="s">
        <v>84</v>
      </c>
      <c r="BS884" s="3">
        <v>45877</v>
      </c>
      <c r="BT884" s="4">
        <v>0.40138888888888891</v>
      </c>
      <c r="BU884" t="s">
        <v>344</v>
      </c>
      <c r="BV884" t="s">
        <v>86</v>
      </c>
      <c r="BY884">
        <v>1200</v>
      </c>
      <c r="CA884" t="s">
        <v>1570</v>
      </c>
      <c r="CC884" t="s">
        <v>199</v>
      </c>
      <c r="CD884">
        <v>6001</v>
      </c>
      <c r="CE884" t="s">
        <v>109</v>
      </c>
      <c r="CF884" s="3">
        <v>45880</v>
      </c>
      <c r="CI884">
        <v>1</v>
      </c>
      <c r="CJ884">
        <v>1</v>
      </c>
      <c r="CK884">
        <v>21</v>
      </c>
      <c r="CL884" t="s">
        <v>90</v>
      </c>
    </row>
    <row r="885" spans="1:90" x14ac:dyDescent="0.3">
      <c r="A885" t="s">
        <v>72</v>
      </c>
      <c r="B885" t="s">
        <v>73</v>
      </c>
      <c r="C885" t="s">
        <v>74</v>
      </c>
      <c r="E885" t="str">
        <f>"080067082147"</f>
        <v>080067082147</v>
      </c>
      <c r="F885" s="3">
        <v>45876</v>
      </c>
      <c r="G885">
        <v>202605</v>
      </c>
      <c r="H885" t="s">
        <v>75</v>
      </c>
      <c r="I885" t="s">
        <v>76</v>
      </c>
      <c r="J885" t="s">
        <v>77</v>
      </c>
      <c r="K885" t="s">
        <v>78</v>
      </c>
      <c r="L885" t="s">
        <v>234</v>
      </c>
      <c r="M885" t="s">
        <v>235</v>
      </c>
      <c r="N885" t="s">
        <v>236</v>
      </c>
      <c r="O885" t="s">
        <v>82</v>
      </c>
      <c r="P885" t="str">
        <f>"4170053125                    "</f>
        <v xml:space="preserve">4170053125                    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23.09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1</v>
      </c>
      <c r="BI885">
        <v>1</v>
      </c>
      <c r="BJ885">
        <v>0.2</v>
      </c>
      <c r="BK885">
        <v>1</v>
      </c>
      <c r="BL885">
        <v>71.69</v>
      </c>
      <c r="BM885">
        <v>10.75</v>
      </c>
      <c r="BN885">
        <v>82.44</v>
      </c>
      <c r="BO885">
        <v>82.44</v>
      </c>
      <c r="BQ885" t="s">
        <v>237</v>
      </c>
      <c r="BR885" t="s">
        <v>84</v>
      </c>
      <c r="BS885" s="3">
        <v>45877</v>
      </c>
      <c r="BT885" s="4">
        <v>0.35694444444444445</v>
      </c>
      <c r="BU885" t="s">
        <v>650</v>
      </c>
      <c r="BV885" t="s">
        <v>86</v>
      </c>
      <c r="BY885">
        <v>1200</v>
      </c>
      <c r="CA885" t="s">
        <v>239</v>
      </c>
      <c r="CC885" t="s">
        <v>235</v>
      </c>
      <c r="CD885" s="5" t="s">
        <v>240</v>
      </c>
      <c r="CE885" t="s">
        <v>109</v>
      </c>
      <c r="CF885" s="3">
        <v>45877</v>
      </c>
      <c r="CI885">
        <v>1</v>
      </c>
      <c r="CJ885">
        <v>1</v>
      </c>
      <c r="CK885">
        <v>21</v>
      </c>
      <c r="CL885" t="s">
        <v>90</v>
      </c>
    </row>
    <row r="886" spans="1:90" x14ac:dyDescent="0.3">
      <c r="A886" t="s">
        <v>72</v>
      </c>
      <c r="B886" t="s">
        <v>73</v>
      </c>
      <c r="C886" t="s">
        <v>74</v>
      </c>
      <c r="E886" t="str">
        <f>"080067082167"</f>
        <v>080067082167</v>
      </c>
      <c r="F886" s="3">
        <v>45876</v>
      </c>
      <c r="G886">
        <v>202605</v>
      </c>
      <c r="H886" t="s">
        <v>75</v>
      </c>
      <c r="I886" t="s">
        <v>76</v>
      </c>
      <c r="J886" t="s">
        <v>77</v>
      </c>
      <c r="K886" t="s">
        <v>78</v>
      </c>
      <c r="L886" t="s">
        <v>179</v>
      </c>
      <c r="M886" t="s">
        <v>180</v>
      </c>
      <c r="N886" t="s">
        <v>275</v>
      </c>
      <c r="O886" t="s">
        <v>82</v>
      </c>
      <c r="P886" t="str">
        <f>"4170053232                    "</f>
        <v xml:space="preserve">4170053232                    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32.47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1</v>
      </c>
      <c r="BI886">
        <v>1</v>
      </c>
      <c r="BJ886">
        <v>0.2</v>
      </c>
      <c r="BK886">
        <v>1</v>
      </c>
      <c r="BL886">
        <v>100.82</v>
      </c>
      <c r="BM886">
        <v>15.12</v>
      </c>
      <c r="BN886">
        <v>115.94</v>
      </c>
      <c r="BO886">
        <v>115.94</v>
      </c>
      <c r="BQ886" t="s">
        <v>276</v>
      </c>
      <c r="BR886" t="s">
        <v>84</v>
      </c>
      <c r="BS886" s="3">
        <v>45877</v>
      </c>
      <c r="BT886" s="4">
        <v>0.40902777777777777</v>
      </c>
      <c r="BU886" t="s">
        <v>1658</v>
      </c>
      <c r="BV886" t="s">
        <v>86</v>
      </c>
      <c r="BY886">
        <v>1200</v>
      </c>
      <c r="CA886" t="s">
        <v>184</v>
      </c>
      <c r="CC886" t="s">
        <v>180</v>
      </c>
      <c r="CD886">
        <v>1748</v>
      </c>
      <c r="CE886" t="s">
        <v>109</v>
      </c>
      <c r="CF886" s="3">
        <v>45878</v>
      </c>
      <c r="CI886">
        <v>1</v>
      </c>
      <c r="CJ886">
        <v>1</v>
      </c>
      <c r="CK886">
        <v>24</v>
      </c>
      <c r="CL886" t="s">
        <v>90</v>
      </c>
    </row>
    <row r="887" spans="1:90" x14ac:dyDescent="0.3">
      <c r="A887" t="s">
        <v>72</v>
      </c>
      <c r="B887" t="s">
        <v>73</v>
      </c>
      <c r="C887" t="s">
        <v>74</v>
      </c>
      <c r="E887" t="str">
        <f>"080067082188"</f>
        <v>080067082188</v>
      </c>
      <c r="F887" s="3">
        <v>45876</v>
      </c>
      <c r="G887">
        <v>202605</v>
      </c>
      <c r="H887" t="s">
        <v>75</v>
      </c>
      <c r="I887" t="s">
        <v>76</v>
      </c>
      <c r="J887" t="s">
        <v>77</v>
      </c>
      <c r="K887" t="s">
        <v>78</v>
      </c>
      <c r="L887" t="s">
        <v>349</v>
      </c>
      <c r="M887" t="s">
        <v>350</v>
      </c>
      <c r="N887" t="s">
        <v>351</v>
      </c>
      <c r="O887" t="s">
        <v>82</v>
      </c>
      <c r="P887" t="str">
        <f>"4170053124                    "</f>
        <v xml:space="preserve">4170053124                    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44.73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16.739999999999998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1</v>
      </c>
      <c r="BI887">
        <v>1</v>
      </c>
      <c r="BJ887">
        <v>0.2</v>
      </c>
      <c r="BK887">
        <v>1</v>
      </c>
      <c r="BL887">
        <v>155.63</v>
      </c>
      <c r="BM887">
        <v>23.34</v>
      </c>
      <c r="BN887">
        <v>178.97</v>
      </c>
      <c r="BO887">
        <v>178.97</v>
      </c>
      <c r="BQ887" t="s">
        <v>352</v>
      </c>
      <c r="BR887" t="s">
        <v>84</v>
      </c>
      <c r="BS887" s="3">
        <v>45877</v>
      </c>
      <c r="BT887" s="4">
        <v>0.63888888888888884</v>
      </c>
      <c r="BU887" t="s">
        <v>1537</v>
      </c>
      <c r="BV887" t="s">
        <v>86</v>
      </c>
      <c r="BY887">
        <v>1200</v>
      </c>
      <c r="BZ887" t="s">
        <v>30</v>
      </c>
      <c r="CA887" t="s">
        <v>651</v>
      </c>
      <c r="CC887" t="s">
        <v>350</v>
      </c>
      <c r="CD887" s="5" t="s">
        <v>355</v>
      </c>
      <c r="CE887" t="s">
        <v>109</v>
      </c>
      <c r="CF887" s="3">
        <v>45877</v>
      </c>
      <c r="CI887">
        <v>1</v>
      </c>
      <c r="CJ887">
        <v>1</v>
      </c>
      <c r="CK887">
        <v>23</v>
      </c>
      <c r="CL887" t="s">
        <v>90</v>
      </c>
    </row>
    <row r="888" spans="1:90" x14ac:dyDescent="0.3">
      <c r="A888" t="s">
        <v>72</v>
      </c>
      <c r="B888" t="s">
        <v>73</v>
      </c>
      <c r="C888" t="s">
        <v>74</v>
      </c>
      <c r="E888" t="str">
        <f>"080067082221"</f>
        <v>080067082221</v>
      </c>
      <c r="F888" s="3">
        <v>45876</v>
      </c>
      <c r="G888">
        <v>202605</v>
      </c>
      <c r="H888" t="s">
        <v>75</v>
      </c>
      <c r="I888" t="s">
        <v>76</v>
      </c>
      <c r="J888" t="s">
        <v>77</v>
      </c>
      <c r="K888" t="s">
        <v>78</v>
      </c>
      <c r="L888" t="s">
        <v>123</v>
      </c>
      <c r="M888" t="s">
        <v>124</v>
      </c>
      <c r="N888" t="s">
        <v>125</v>
      </c>
      <c r="O888" t="s">
        <v>82</v>
      </c>
      <c r="P888" t="str">
        <f>"4170053515                    "</f>
        <v xml:space="preserve">4170053515                    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23.09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1</v>
      </c>
      <c r="BI888">
        <v>1</v>
      </c>
      <c r="BJ888">
        <v>0.2</v>
      </c>
      <c r="BK888">
        <v>1</v>
      </c>
      <c r="BL888">
        <v>71.69</v>
      </c>
      <c r="BM888">
        <v>10.75</v>
      </c>
      <c r="BN888">
        <v>82.44</v>
      </c>
      <c r="BO888">
        <v>82.44</v>
      </c>
      <c r="BQ888" t="s">
        <v>126</v>
      </c>
      <c r="BR888" t="s">
        <v>84</v>
      </c>
      <c r="BS888" s="3">
        <v>45877</v>
      </c>
      <c r="BT888" s="4">
        <v>0.35208333333333336</v>
      </c>
      <c r="BU888" t="s">
        <v>605</v>
      </c>
      <c r="BV888" t="s">
        <v>86</v>
      </c>
      <c r="BY888">
        <v>1200</v>
      </c>
      <c r="CA888" t="s">
        <v>128</v>
      </c>
      <c r="CC888" t="s">
        <v>124</v>
      </c>
      <c r="CD888">
        <v>7530</v>
      </c>
      <c r="CE888" t="s">
        <v>109</v>
      </c>
      <c r="CF888" s="3">
        <v>45880</v>
      </c>
      <c r="CI888">
        <v>1</v>
      </c>
      <c r="CJ888">
        <v>1</v>
      </c>
      <c r="CK888">
        <v>21</v>
      </c>
      <c r="CL888" t="s">
        <v>90</v>
      </c>
    </row>
    <row r="889" spans="1:90" x14ac:dyDescent="0.3">
      <c r="A889" t="s">
        <v>72</v>
      </c>
      <c r="B889" t="s">
        <v>73</v>
      </c>
      <c r="C889" t="s">
        <v>74</v>
      </c>
      <c r="E889" t="str">
        <f>"080067082235"</f>
        <v>080067082235</v>
      </c>
      <c r="F889" s="3">
        <v>45876</v>
      </c>
      <c r="G889">
        <v>202605</v>
      </c>
      <c r="H889" t="s">
        <v>75</v>
      </c>
      <c r="I889" t="s">
        <v>76</v>
      </c>
      <c r="J889" t="s">
        <v>77</v>
      </c>
      <c r="K889" t="s">
        <v>78</v>
      </c>
      <c r="L889" t="s">
        <v>297</v>
      </c>
      <c r="M889" t="s">
        <v>298</v>
      </c>
      <c r="N889" t="s">
        <v>299</v>
      </c>
      <c r="O889" t="s">
        <v>82</v>
      </c>
      <c r="P889" t="str">
        <f>"4170053485                    "</f>
        <v xml:space="preserve">4170053485                    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23.09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1</v>
      </c>
      <c r="BI889">
        <v>1</v>
      </c>
      <c r="BJ889">
        <v>0.2</v>
      </c>
      <c r="BK889">
        <v>1</v>
      </c>
      <c r="BL889">
        <v>71.69</v>
      </c>
      <c r="BM889">
        <v>10.75</v>
      </c>
      <c r="BN889">
        <v>82.44</v>
      </c>
      <c r="BO889">
        <v>82.44</v>
      </c>
      <c r="BQ889" t="s">
        <v>300</v>
      </c>
      <c r="BR889" t="s">
        <v>84</v>
      </c>
      <c r="BS889" s="3">
        <v>45877</v>
      </c>
      <c r="BT889" s="4">
        <v>0.67500000000000004</v>
      </c>
      <c r="BU889" t="s">
        <v>1659</v>
      </c>
      <c r="BV889" t="s">
        <v>90</v>
      </c>
      <c r="BW889" t="s">
        <v>134</v>
      </c>
      <c r="BX889" t="s">
        <v>1573</v>
      </c>
      <c r="BY889">
        <v>1200</v>
      </c>
      <c r="CA889" t="s">
        <v>302</v>
      </c>
      <c r="CC889" t="s">
        <v>298</v>
      </c>
      <c r="CD889">
        <v>4302</v>
      </c>
      <c r="CE889" t="s">
        <v>109</v>
      </c>
      <c r="CF889" s="3">
        <v>45877</v>
      </c>
      <c r="CI889">
        <v>1</v>
      </c>
      <c r="CJ889">
        <v>1</v>
      </c>
      <c r="CK889">
        <v>21</v>
      </c>
      <c r="CL889" t="s">
        <v>90</v>
      </c>
    </row>
    <row r="890" spans="1:90" x14ac:dyDescent="0.3">
      <c r="A890" t="s">
        <v>72</v>
      </c>
      <c r="B890" t="s">
        <v>73</v>
      </c>
      <c r="C890" t="s">
        <v>74</v>
      </c>
      <c r="E890" t="str">
        <f>"080067082261"</f>
        <v>080067082261</v>
      </c>
      <c r="F890" s="3">
        <v>45876</v>
      </c>
      <c r="G890">
        <v>202605</v>
      </c>
      <c r="H890" t="s">
        <v>75</v>
      </c>
      <c r="I890" t="s">
        <v>76</v>
      </c>
      <c r="J890" t="s">
        <v>77</v>
      </c>
      <c r="K890" t="s">
        <v>78</v>
      </c>
      <c r="L890" t="s">
        <v>198</v>
      </c>
      <c r="M890" t="s">
        <v>199</v>
      </c>
      <c r="N890" t="s">
        <v>1660</v>
      </c>
      <c r="O890" t="s">
        <v>82</v>
      </c>
      <c r="P890" t="str">
        <f>"4170053538                    "</f>
        <v xml:space="preserve">4170053538                    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23.09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1</v>
      </c>
      <c r="BI890">
        <v>1</v>
      </c>
      <c r="BJ890">
        <v>0.2</v>
      </c>
      <c r="BK890">
        <v>1</v>
      </c>
      <c r="BL890">
        <v>71.69</v>
      </c>
      <c r="BM890">
        <v>10.75</v>
      </c>
      <c r="BN890">
        <v>82.44</v>
      </c>
      <c r="BO890">
        <v>82.44</v>
      </c>
      <c r="BQ890" t="s">
        <v>1661</v>
      </c>
      <c r="BR890" t="s">
        <v>84</v>
      </c>
      <c r="BS890" s="3">
        <v>45877</v>
      </c>
      <c r="BT890" s="4">
        <v>0.41736111111111113</v>
      </c>
      <c r="BU890" t="s">
        <v>1662</v>
      </c>
      <c r="BV890" t="s">
        <v>86</v>
      </c>
      <c r="BY890">
        <v>1200</v>
      </c>
      <c r="CA890" t="s">
        <v>405</v>
      </c>
      <c r="CC890" t="s">
        <v>199</v>
      </c>
      <c r="CD890">
        <v>6001</v>
      </c>
      <c r="CE890" t="s">
        <v>109</v>
      </c>
      <c r="CF890" s="3">
        <v>45877</v>
      </c>
      <c r="CI890">
        <v>1</v>
      </c>
      <c r="CJ890">
        <v>1</v>
      </c>
      <c r="CK890">
        <v>21</v>
      </c>
      <c r="CL890" t="s">
        <v>90</v>
      </c>
    </row>
    <row r="891" spans="1:90" x14ac:dyDescent="0.3">
      <c r="A891" t="s">
        <v>72</v>
      </c>
      <c r="B891" t="s">
        <v>73</v>
      </c>
      <c r="C891" t="s">
        <v>74</v>
      </c>
      <c r="E891" t="str">
        <f>"080067082278"</f>
        <v>080067082278</v>
      </c>
      <c r="F891" s="3">
        <v>45876</v>
      </c>
      <c r="G891">
        <v>202605</v>
      </c>
      <c r="H891" t="s">
        <v>75</v>
      </c>
      <c r="I891" t="s">
        <v>76</v>
      </c>
      <c r="J891" t="s">
        <v>77</v>
      </c>
      <c r="K891" t="s">
        <v>78</v>
      </c>
      <c r="L891" t="s">
        <v>198</v>
      </c>
      <c r="M891" t="s">
        <v>199</v>
      </c>
      <c r="N891" t="s">
        <v>410</v>
      </c>
      <c r="O891" t="s">
        <v>82</v>
      </c>
      <c r="P891" t="str">
        <f>"4170053305                    "</f>
        <v xml:space="preserve">4170053305                    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23.09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1</v>
      </c>
      <c r="BJ891">
        <v>0.2</v>
      </c>
      <c r="BK891">
        <v>1</v>
      </c>
      <c r="BL891">
        <v>71.69</v>
      </c>
      <c r="BM891">
        <v>10.75</v>
      </c>
      <c r="BN891">
        <v>82.44</v>
      </c>
      <c r="BO891">
        <v>82.44</v>
      </c>
      <c r="BQ891" t="s">
        <v>411</v>
      </c>
      <c r="BR891" t="s">
        <v>84</v>
      </c>
      <c r="BS891" s="3">
        <v>45877</v>
      </c>
      <c r="BT891" s="4">
        <v>0.43402777777777779</v>
      </c>
      <c r="BU891" t="s">
        <v>1411</v>
      </c>
      <c r="BV891" t="s">
        <v>86</v>
      </c>
      <c r="BY891">
        <v>1200</v>
      </c>
      <c r="CA891">
        <v>4170053305</v>
      </c>
      <c r="CC891" t="s">
        <v>199</v>
      </c>
      <c r="CD891">
        <v>6001</v>
      </c>
      <c r="CE891" t="s">
        <v>109</v>
      </c>
      <c r="CF891" s="3">
        <v>45880</v>
      </c>
      <c r="CI891">
        <v>1</v>
      </c>
      <c r="CJ891">
        <v>1</v>
      </c>
      <c r="CK891">
        <v>21</v>
      </c>
      <c r="CL891" t="s">
        <v>90</v>
      </c>
    </row>
    <row r="892" spans="1:90" x14ac:dyDescent="0.3">
      <c r="A892" t="s">
        <v>72</v>
      </c>
      <c r="B892" t="s">
        <v>73</v>
      </c>
      <c r="C892" t="s">
        <v>74</v>
      </c>
      <c r="E892" t="str">
        <f>"080067082308"</f>
        <v>080067082308</v>
      </c>
      <c r="F892" s="3">
        <v>45876</v>
      </c>
      <c r="G892">
        <v>202605</v>
      </c>
      <c r="H892" t="s">
        <v>75</v>
      </c>
      <c r="I892" t="s">
        <v>76</v>
      </c>
      <c r="J892" t="s">
        <v>77</v>
      </c>
      <c r="K892" t="s">
        <v>78</v>
      </c>
      <c r="L892" t="s">
        <v>1157</v>
      </c>
      <c r="M892" t="s">
        <v>1158</v>
      </c>
      <c r="N892" t="s">
        <v>1535</v>
      </c>
      <c r="O892" t="s">
        <v>82</v>
      </c>
      <c r="P892" t="str">
        <f>"4170053391                    "</f>
        <v xml:space="preserve">4170053391                    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44.73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1</v>
      </c>
      <c r="BI892">
        <v>1</v>
      </c>
      <c r="BJ892">
        <v>0.2</v>
      </c>
      <c r="BK892">
        <v>1</v>
      </c>
      <c r="BL892">
        <v>138.88999999999999</v>
      </c>
      <c r="BM892">
        <v>20.83</v>
      </c>
      <c r="BN892">
        <v>159.72</v>
      </c>
      <c r="BO892">
        <v>159.72</v>
      </c>
      <c r="BQ892" t="s">
        <v>1536</v>
      </c>
      <c r="BR892" t="s">
        <v>84</v>
      </c>
      <c r="BS892" s="3">
        <v>45877</v>
      </c>
      <c r="BT892" s="4">
        <v>0.39652777777777776</v>
      </c>
      <c r="BU892" t="s">
        <v>1537</v>
      </c>
      <c r="BV892" t="s">
        <v>86</v>
      </c>
      <c r="BY892">
        <v>1200</v>
      </c>
      <c r="CA892" t="s">
        <v>1162</v>
      </c>
      <c r="CC892" t="s">
        <v>1158</v>
      </c>
      <c r="CD892">
        <v>2302</v>
      </c>
      <c r="CE892" t="s">
        <v>109</v>
      </c>
      <c r="CF892" s="3">
        <v>45880</v>
      </c>
      <c r="CI892">
        <v>1</v>
      </c>
      <c r="CJ892">
        <v>1</v>
      </c>
      <c r="CK892">
        <v>23</v>
      </c>
      <c r="CL892" t="s">
        <v>90</v>
      </c>
    </row>
    <row r="893" spans="1:90" x14ac:dyDescent="0.3">
      <c r="A893" t="s">
        <v>72</v>
      </c>
      <c r="B893" t="s">
        <v>73</v>
      </c>
      <c r="C893" t="s">
        <v>74</v>
      </c>
      <c r="E893" t="str">
        <f>"080067082563"</f>
        <v>080067082563</v>
      </c>
      <c r="F893" s="3">
        <v>45876</v>
      </c>
      <c r="G893">
        <v>202605</v>
      </c>
      <c r="H893" t="s">
        <v>75</v>
      </c>
      <c r="I893" t="s">
        <v>76</v>
      </c>
      <c r="J893" t="s">
        <v>77</v>
      </c>
      <c r="K893" t="s">
        <v>78</v>
      </c>
      <c r="L893" t="s">
        <v>198</v>
      </c>
      <c r="M893" t="s">
        <v>199</v>
      </c>
      <c r="N893" t="s">
        <v>744</v>
      </c>
      <c r="O893" t="s">
        <v>82</v>
      </c>
      <c r="P893" t="str">
        <f>"4170053459                    "</f>
        <v xml:space="preserve">4170053459                    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46.15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1</v>
      </c>
      <c r="BI893">
        <v>4</v>
      </c>
      <c r="BJ893">
        <v>3.4</v>
      </c>
      <c r="BK893">
        <v>4</v>
      </c>
      <c r="BL893">
        <v>143.31</v>
      </c>
      <c r="BM893">
        <v>21.5</v>
      </c>
      <c r="BN893">
        <v>164.81</v>
      </c>
      <c r="BO893">
        <v>164.81</v>
      </c>
      <c r="BQ893" t="s">
        <v>745</v>
      </c>
      <c r="BR893" t="s">
        <v>84</v>
      </c>
      <c r="BS893" s="3">
        <v>45877</v>
      </c>
      <c r="BT893" s="4">
        <v>0.46805555555555556</v>
      </c>
      <c r="BU893" t="s">
        <v>1663</v>
      </c>
      <c r="BV893" t="s">
        <v>86</v>
      </c>
      <c r="BY893">
        <v>16965</v>
      </c>
      <c r="CA893" t="s">
        <v>810</v>
      </c>
      <c r="CC893" t="s">
        <v>199</v>
      </c>
      <c r="CD893">
        <v>6100</v>
      </c>
      <c r="CE893" t="s">
        <v>147</v>
      </c>
      <c r="CF893" s="3">
        <v>45877</v>
      </c>
      <c r="CI893">
        <v>1</v>
      </c>
      <c r="CJ893">
        <v>1</v>
      </c>
      <c r="CK893">
        <v>21</v>
      </c>
      <c r="CL893" t="s">
        <v>90</v>
      </c>
    </row>
    <row r="894" spans="1:90" x14ac:dyDescent="0.3">
      <c r="A894" t="s">
        <v>72</v>
      </c>
      <c r="B894" t="s">
        <v>73</v>
      </c>
      <c r="C894" t="s">
        <v>74</v>
      </c>
      <c r="E894" t="str">
        <f>"080067082598"</f>
        <v>080067082598</v>
      </c>
      <c r="F894" s="3">
        <v>45876</v>
      </c>
      <c r="G894">
        <v>202605</v>
      </c>
      <c r="H894" t="s">
        <v>75</v>
      </c>
      <c r="I894" t="s">
        <v>76</v>
      </c>
      <c r="J894" t="s">
        <v>77</v>
      </c>
      <c r="K894" t="s">
        <v>78</v>
      </c>
      <c r="L894" t="s">
        <v>118</v>
      </c>
      <c r="M894" t="s">
        <v>118</v>
      </c>
      <c r="N894" t="s">
        <v>669</v>
      </c>
      <c r="O894" t="s">
        <v>82</v>
      </c>
      <c r="P894" t="str">
        <f>"4170053551                    "</f>
        <v xml:space="preserve">4170053551                    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>
        <v>64.92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1</v>
      </c>
      <c r="BI894">
        <v>3</v>
      </c>
      <c r="BJ894">
        <v>1.4</v>
      </c>
      <c r="BK894">
        <v>3</v>
      </c>
      <c r="BL894">
        <v>201.6</v>
      </c>
      <c r="BM894">
        <v>30.24</v>
      </c>
      <c r="BN894">
        <v>231.84</v>
      </c>
      <c r="BO894">
        <v>231.84</v>
      </c>
      <c r="BQ894" t="s">
        <v>670</v>
      </c>
      <c r="BR894" t="s">
        <v>84</v>
      </c>
      <c r="BS894" s="3">
        <v>45877</v>
      </c>
      <c r="BT894" s="4">
        <v>0.66111111111111109</v>
      </c>
      <c r="BU894" t="s">
        <v>1664</v>
      </c>
      <c r="BV894" t="s">
        <v>90</v>
      </c>
      <c r="BW894" t="s">
        <v>1167</v>
      </c>
      <c r="BX894" t="s">
        <v>1324</v>
      </c>
      <c r="BY894">
        <v>7000</v>
      </c>
      <c r="CA894" t="s">
        <v>1420</v>
      </c>
      <c r="CC894" t="s">
        <v>118</v>
      </c>
      <c r="CD894">
        <v>7646</v>
      </c>
      <c r="CE894" t="s">
        <v>147</v>
      </c>
      <c r="CF894" s="3">
        <v>45880</v>
      </c>
      <c r="CI894">
        <v>1</v>
      </c>
      <c r="CJ894">
        <v>1</v>
      </c>
      <c r="CK894">
        <v>23</v>
      </c>
      <c r="CL894" t="s">
        <v>90</v>
      </c>
    </row>
    <row r="895" spans="1:90" x14ac:dyDescent="0.3">
      <c r="A895" t="s">
        <v>72</v>
      </c>
      <c r="B895" t="s">
        <v>73</v>
      </c>
      <c r="C895" t="s">
        <v>74</v>
      </c>
      <c r="E895" t="str">
        <f>"080067082617"</f>
        <v>080067082617</v>
      </c>
      <c r="F895" s="3">
        <v>45876</v>
      </c>
      <c r="G895">
        <v>202605</v>
      </c>
      <c r="H895" t="s">
        <v>75</v>
      </c>
      <c r="I895" t="s">
        <v>76</v>
      </c>
      <c r="J895" t="s">
        <v>77</v>
      </c>
      <c r="K895" t="s">
        <v>78</v>
      </c>
      <c r="L895" t="s">
        <v>123</v>
      </c>
      <c r="M895" t="s">
        <v>124</v>
      </c>
      <c r="N895" t="s">
        <v>1416</v>
      </c>
      <c r="O895" t="s">
        <v>82</v>
      </c>
      <c r="P895" t="str">
        <f>"4170053509                    "</f>
        <v xml:space="preserve">4170053509                    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23.09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1</v>
      </c>
      <c r="BI895">
        <v>1</v>
      </c>
      <c r="BJ895">
        <v>1.9</v>
      </c>
      <c r="BK895">
        <v>2</v>
      </c>
      <c r="BL895">
        <v>71.69</v>
      </c>
      <c r="BM895">
        <v>10.75</v>
      </c>
      <c r="BN895">
        <v>82.44</v>
      </c>
      <c r="BO895">
        <v>82.44</v>
      </c>
      <c r="BQ895" t="s">
        <v>1417</v>
      </c>
      <c r="BR895" t="s">
        <v>84</v>
      </c>
      <c r="BS895" s="3">
        <v>45877</v>
      </c>
      <c r="BT895" s="4">
        <v>0.41736111111111113</v>
      </c>
      <c r="BU895" t="s">
        <v>886</v>
      </c>
      <c r="BV895" t="s">
        <v>86</v>
      </c>
      <c r="BY895">
        <v>9600</v>
      </c>
      <c r="CA895" t="s">
        <v>1238</v>
      </c>
      <c r="CC895" t="s">
        <v>124</v>
      </c>
      <c r="CD895">
        <v>7480</v>
      </c>
      <c r="CE895" t="s">
        <v>147</v>
      </c>
      <c r="CF895" s="3">
        <v>45880</v>
      </c>
      <c r="CI895">
        <v>1</v>
      </c>
      <c r="CJ895">
        <v>1</v>
      </c>
      <c r="CK895">
        <v>21</v>
      </c>
      <c r="CL895" t="s">
        <v>90</v>
      </c>
    </row>
    <row r="896" spans="1:90" x14ac:dyDescent="0.3">
      <c r="A896" t="s">
        <v>72</v>
      </c>
      <c r="B896" t="s">
        <v>73</v>
      </c>
      <c r="C896" t="s">
        <v>74</v>
      </c>
      <c r="E896" t="str">
        <f>"080067082654"</f>
        <v>080067082654</v>
      </c>
      <c r="F896" s="3">
        <v>45876</v>
      </c>
      <c r="G896">
        <v>202605</v>
      </c>
      <c r="H896" t="s">
        <v>75</v>
      </c>
      <c r="I896" t="s">
        <v>76</v>
      </c>
      <c r="J896" t="s">
        <v>77</v>
      </c>
      <c r="K896" t="s">
        <v>78</v>
      </c>
      <c r="L896" t="s">
        <v>79</v>
      </c>
      <c r="M896" t="s">
        <v>80</v>
      </c>
      <c r="N896" t="s">
        <v>635</v>
      </c>
      <c r="O896" t="s">
        <v>82</v>
      </c>
      <c r="P896" t="str">
        <f>"4170053519                    "</f>
        <v xml:space="preserve">4170053519                    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18.03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1</v>
      </c>
      <c r="BI896">
        <v>2</v>
      </c>
      <c r="BJ896">
        <v>1.1000000000000001</v>
      </c>
      <c r="BK896">
        <v>2</v>
      </c>
      <c r="BL896">
        <v>55.99</v>
      </c>
      <c r="BM896">
        <v>8.4</v>
      </c>
      <c r="BN896">
        <v>64.39</v>
      </c>
      <c r="BO896">
        <v>64.39</v>
      </c>
      <c r="BQ896" t="s">
        <v>636</v>
      </c>
      <c r="BR896" t="s">
        <v>84</v>
      </c>
      <c r="BS896" s="3">
        <v>45877</v>
      </c>
      <c r="BT896" s="4">
        <v>0.3576388888888889</v>
      </c>
      <c r="BU896" t="s">
        <v>1600</v>
      </c>
      <c r="BV896" t="s">
        <v>86</v>
      </c>
      <c r="BY896">
        <v>5320</v>
      </c>
      <c r="CA896" t="s">
        <v>1069</v>
      </c>
      <c r="CC896" t="s">
        <v>80</v>
      </c>
      <c r="CD896">
        <v>1428</v>
      </c>
      <c r="CE896" t="s">
        <v>147</v>
      </c>
      <c r="CF896" s="3">
        <v>45878</v>
      </c>
      <c r="CI896">
        <v>1</v>
      </c>
      <c r="CJ896">
        <v>1</v>
      </c>
      <c r="CK896">
        <v>22</v>
      </c>
      <c r="CL896" t="s">
        <v>90</v>
      </c>
    </row>
    <row r="897" spans="1:90" x14ac:dyDescent="0.3">
      <c r="A897" t="s">
        <v>72</v>
      </c>
      <c r="B897" t="s">
        <v>73</v>
      </c>
      <c r="C897" t="s">
        <v>74</v>
      </c>
      <c r="E897" t="str">
        <f>"080067082679"</f>
        <v>080067082679</v>
      </c>
      <c r="F897" s="3">
        <v>45876</v>
      </c>
      <c r="G897">
        <v>202605</v>
      </c>
      <c r="H897" t="s">
        <v>75</v>
      </c>
      <c r="I897" t="s">
        <v>76</v>
      </c>
      <c r="J897" t="s">
        <v>77</v>
      </c>
      <c r="K897" t="s">
        <v>78</v>
      </c>
      <c r="L897" t="s">
        <v>278</v>
      </c>
      <c r="M897" t="s">
        <v>279</v>
      </c>
      <c r="N897" t="s">
        <v>131</v>
      </c>
      <c r="O897" t="s">
        <v>95</v>
      </c>
      <c r="P897" t="str">
        <f>"4170053534                    "</f>
        <v xml:space="preserve">4170053534                    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44.64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1</v>
      </c>
      <c r="BI897">
        <v>3</v>
      </c>
      <c r="BJ897">
        <v>5</v>
      </c>
      <c r="BK897">
        <v>5</v>
      </c>
      <c r="BL897">
        <v>144.49</v>
      </c>
      <c r="BM897">
        <v>21.67</v>
      </c>
      <c r="BN897">
        <v>166.16</v>
      </c>
      <c r="BO897">
        <v>166.16</v>
      </c>
      <c r="BQ897" t="s">
        <v>132</v>
      </c>
      <c r="BR897" t="s">
        <v>84</v>
      </c>
      <c r="BS897" s="3">
        <v>45877</v>
      </c>
      <c r="BT897" s="4">
        <v>0.39027777777777778</v>
      </c>
      <c r="BU897" t="s">
        <v>531</v>
      </c>
      <c r="BV897" t="s">
        <v>86</v>
      </c>
      <c r="BY897">
        <v>24882</v>
      </c>
      <c r="CA897" t="s">
        <v>532</v>
      </c>
      <c r="CC897" t="s">
        <v>279</v>
      </c>
      <c r="CD897" s="5" t="s">
        <v>533</v>
      </c>
      <c r="CE897" t="s">
        <v>147</v>
      </c>
      <c r="CF897" s="3">
        <v>45877</v>
      </c>
      <c r="CI897">
        <v>1</v>
      </c>
      <c r="CJ897">
        <v>1</v>
      </c>
      <c r="CK897">
        <v>41</v>
      </c>
      <c r="CL897" t="s">
        <v>90</v>
      </c>
    </row>
    <row r="898" spans="1:90" x14ac:dyDescent="0.3">
      <c r="A898" t="s">
        <v>72</v>
      </c>
      <c r="B898" t="s">
        <v>73</v>
      </c>
      <c r="C898" t="s">
        <v>74</v>
      </c>
      <c r="E898" t="str">
        <f>"080067082703"</f>
        <v>080067082703</v>
      </c>
      <c r="F898" s="3">
        <v>45876</v>
      </c>
      <c r="G898">
        <v>202605</v>
      </c>
      <c r="H898" t="s">
        <v>75</v>
      </c>
      <c r="I898" t="s">
        <v>76</v>
      </c>
      <c r="J898" t="s">
        <v>77</v>
      </c>
      <c r="K898" t="s">
        <v>78</v>
      </c>
      <c r="L898" t="s">
        <v>198</v>
      </c>
      <c r="M898" t="s">
        <v>199</v>
      </c>
      <c r="N898" t="s">
        <v>430</v>
      </c>
      <c r="O898" t="s">
        <v>82</v>
      </c>
      <c r="P898" t="str">
        <f>"4170053537                    "</f>
        <v xml:space="preserve">4170053537                    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46.15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1</v>
      </c>
      <c r="BI898">
        <v>4</v>
      </c>
      <c r="BJ898">
        <v>1.4</v>
      </c>
      <c r="BK898">
        <v>4</v>
      </c>
      <c r="BL898">
        <v>143.31</v>
      </c>
      <c r="BM898">
        <v>21.5</v>
      </c>
      <c r="BN898">
        <v>164.81</v>
      </c>
      <c r="BO898">
        <v>164.81</v>
      </c>
      <c r="BQ898" t="s">
        <v>431</v>
      </c>
      <c r="BR898" t="s">
        <v>84</v>
      </c>
      <c r="BS898" s="3">
        <v>45877</v>
      </c>
      <c r="BT898" s="4">
        <v>0.3611111111111111</v>
      </c>
      <c r="BU898" t="s">
        <v>1665</v>
      </c>
      <c r="BV898" t="s">
        <v>86</v>
      </c>
      <c r="BY898">
        <v>7000</v>
      </c>
      <c r="CA898" t="s">
        <v>433</v>
      </c>
      <c r="CC898" t="s">
        <v>199</v>
      </c>
      <c r="CD898">
        <v>6001</v>
      </c>
      <c r="CE898" t="s">
        <v>147</v>
      </c>
      <c r="CF898" s="3">
        <v>45877</v>
      </c>
      <c r="CI898">
        <v>1</v>
      </c>
      <c r="CJ898">
        <v>1</v>
      </c>
      <c r="CK898">
        <v>21</v>
      </c>
      <c r="CL898" t="s">
        <v>90</v>
      </c>
    </row>
    <row r="899" spans="1:90" x14ac:dyDescent="0.3">
      <c r="A899" t="s">
        <v>72</v>
      </c>
      <c r="B899" t="s">
        <v>73</v>
      </c>
      <c r="C899" t="s">
        <v>74</v>
      </c>
      <c r="E899" t="str">
        <f>"080067082734"</f>
        <v>080067082734</v>
      </c>
      <c r="F899" s="3">
        <v>45876</v>
      </c>
      <c r="G899">
        <v>202605</v>
      </c>
      <c r="H899" t="s">
        <v>75</v>
      </c>
      <c r="I899" t="s">
        <v>76</v>
      </c>
      <c r="J899" t="s">
        <v>77</v>
      </c>
      <c r="K899" t="s">
        <v>78</v>
      </c>
      <c r="L899" t="s">
        <v>75</v>
      </c>
      <c r="M899" t="s">
        <v>76</v>
      </c>
      <c r="N899" t="s">
        <v>1666</v>
      </c>
      <c r="O899" t="s">
        <v>82</v>
      </c>
      <c r="P899" t="str">
        <f>"4170053478                    "</f>
        <v xml:space="preserve">4170053478                    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18.03</v>
      </c>
      <c r="AR899">
        <v>0</v>
      </c>
      <c r="AS899">
        <v>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1</v>
      </c>
      <c r="BI899">
        <v>3</v>
      </c>
      <c r="BJ899">
        <v>1.7</v>
      </c>
      <c r="BK899">
        <v>3</v>
      </c>
      <c r="BL899">
        <v>55.99</v>
      </c>
      <c r="BM899">
        <v>8.4</v>
      </c>
      <c r="BN899">
        <v>64.39</v>
      </c>
      <c r="BO899">
        <v>64.39</v>
      </c>
      <c r="BQ899" t="s">
        <v>1667</v>
      </c>
      <c r="BR899" t="s">
        <v>84</v>
      </c>
      <c r="BS899" s="3">
        <v>45877</v>
      </c>
      <c r="BT899" s="4">
        <v>0.3659722222222222</v>
      </c>
      <c r="BU899" t="s">
        <v>1668</v>
      </c>
      <c r="BV899" t="s">
        <v>86</v>
      </c>
      <c r="BY899">
        <v>8512</v>
      </c>
      <c r="CA899" t="s">
        <v>1650</v>
      </c>
      <c r="CC899" t="s">
        <v>76</v>
      </c>
      <c r="CD899">
        <v>1624</v>
      </c>
      <c r="CE899" t="s">
        <v>147</v>
      </c>
      <c r="CF899" s="3">
        <v>45877</v>
      </c>
      <c r="CI899">
        <v>1</v>
      </c>
      <c r="CJ899">
        <v>1</v>
      </c>
      <c r="CK899">
        <v>22</v>
      </c>
      <c r="CL899" t="s">
        <v>90</v>
      </c>
    </row>
    <row r="900" spans="1:90" x14ac:dyDescent="0.3">
      <c r="A900" t="s">
        <v>72</v>
      </c>
      <c r="B900" t="s">
        <v>73</v>
      </c>
      <c r="C900" t="s">
        <v>74</v>
      </c>
      <c r="E900" t="str">
        <f>"080067082784"</f>
        <v>080067082784</v>
      </c>
      <c r="F900" s="3">
        <v>45876</v>
      </c>
      <c r="G900">
        <v>202605</v>
      </c>
      <c r="H900" t="s">
        <v>75</v>
      </c>
      <c r="I900" t="s">
        <v>76</v>
      </c>
      <c r="J900" t="s">
        <v>77</v>
      </c>
      <c r="K900" t="s">
        <v>78</v>
      </c>
      <c r="L900" t="s">
        <v>1669</v>
      </c>
      <c r="M900" t="s">
        <v>1670</v>
      </c>
      <c r="N900" t="s">
        <v>1671</v>
      </c>
      <c r="O900" t="s">
        <v>82</v>
      </c>
      <c r="P900" t="str">
        <f>"4170053513                    "</f>
        <v xml:space="preserve">4170053513                    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85.12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1</v>
      </c>
      <c r="BI900">
        <v>4</v>
      </c>
      <c r="BJ900">
        <v>1.7</v>
      </c>
      <c r="BK900">
        <v>4</v>
      </c>
      <c r="BL900">
        <v>264.32</v>
      </c>
      <c r="BM900">
        <v>39.65</v>
      </c>
      <c r="BN900">
        <v>303.97000000000003</v>
      </c>
      <c r="BO900">
        <v>303.97000000000003</v>
      </c>
      <c r="BQ900" t="s">
        <v>1672</v>
      </c>
      <c r="BR900" t="s">
        <v>84</v>
      </c>
      <c r="BS900" s="3">
        <v>45880</v>
      </c>
      <c r="BT900" s="4">
        <v>0.38819444444444445</v>
      </c>
      <c r="BU900" t="s">
        <v>1673</v>
      </c>
      <c r="BV900" t="s">
        <v>86</v>
      </c>
      <c r="BY900">
        <v>8512</v>
      </c>
      <c r="CC900" t="s">
        <v>1670</v>
      </c>
      <c r="CD900">
        <v>4252</v>
      </c>
      <c r="CE900" t="s">
        <v>147</v>
      </c>
      <c r="CF900" s="3">
        <v>45881</v>
      </c>
      <c r="CI900">
        <v>2</v>
      </c>
      <c r="CJ900">
        <v>2</v>
      </c>
      <c r="CK900">
        <v>23</v>
      </c>
      <c r="CL900" t="s">
        <v>90</v>
      </c>
    </row>
    <row r="901" spans="1:90" x14ac:dyDescent="0.3">
      <c r="A901" t="s">
        <v>72</v>
      </c>
      <c r="B901" t="s">
        <v>73</v>
      </c>
      <c r="C901" t="s">
        <v>74</v>
      </c>
      <c r="E901" t="str">
        <f>"080067082811"</f>
        <v>080067082811</v>
      </c>
      <c r="F901" s="3">
        <v>45876</v>
      </c>
      <c r="G901">
        <v>202605</v>
      </c>
      <c r="H901" t="s">
        <v>75</v>
      </c>
      <c r="I901" t="s">
        <v>76</v>
      </c>
      <c r="J901" t="s">
        <v>77</v>
      </c>
      <c r="K901" t="s">
        <v>78</v>
      </c>
      <c r="L901" t="s">
        <v>349</v>
      </c>
      <c r="M901" t="s">
        <v>350</v>
      </c>
      <c r="N901" t="s">
        <v>1008</v>
      </c>
      <c r="O901" t="s">
        <v>82</v>
      </c>
      <c r="P901" t="str">
        <f>"4170053510                    "</f>
        <v xml:space="preserve">4170053510                    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54.82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16.739999999999998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1</v>
      </c>
      <c r="BI901">
        <v>1</v>
      </c>
      <c r="BJ901">
        <v>2.2999999999999998</v>
      </c>
      <c r="BK901">
        <v>2.5</v>
      </c>
      <c r="BL901">
        <v>186.98</v>
      </c>
      <c r="BM901">
        <v>28.05</v>
      </c>
      <c r="BN901">
        <v>215.03</v>
      </c>
      <c r="BO901">
        <v>215.03</v>
      </c>
      <c r="BQ901" t="s">
        <v>1009</v>
      </c>
      <c r="BR901" t="s">
        <v>84</v>
      </c>
      <c r="BS901" s="3">
        <v>45877</v>
      </c>
      <c r="BT901" s="4">
        <v>0.65138888888888891</v>
      </c>
      <c r="BU901" t="s">
        <v>1010</v>
      </c>
      <c r="BV901" t="s">
        <v>86</v>
      </c>
      <c r="BY901">
        <v>11616</v>
      </c>
      <c r="BZ901" t="s">
        <v>30</v>
      </c>
      <c r="CA901" t="s">
        <v>651</v>
      </c>
      <c r="CC901" t="s">
        <v>350</v>
      </c>
      <c r="CD901" s="5" t="s">
        <v>1011</v>
      </c>
      <c r="CE901" t="s">
        <v>117</v>
      </c>
      <c r="CF901" s="3">
        <v>45877</v>
      </c>
      <c r="CI901">
        <v>1</v>
      </c>
      <c r="CJ901">
        <v>1</v>
      </c>
      <c r="CK901">
        <v>23</v>
      </c>
      <c r="CL901" t="s">
        <v>90</v>
      </c>
    </row>
    <row r="902" spans="1:90" x14ac:dyDescent="0.3">
      <c r="A902" t="s">
        <v>72</v>
      </c>
      <c r="B902" t="s">
        <v>73</v>
      </c>
      <c r="C902" t="s">
        <v>74</v>
      </c>
      <c r="E902" t="str">
        <f>"080067082830"</f>
        <v>080067082830</v>
      </c>
      <c r="F902" s="3">
        <v>45876</v>
      </c>
      <c r="G902">
        <v>202605</v>
      </c>
      <c r="H902" t="s">
        <v>75</v>
      </c>
      <c r="I902" t="s">
        <v>76</v>
      </c>
      <c r="J902" t="s">
        <v>77</v>
      </c>
      <c r="K902" t="s">
        <v>78</v>
      </c>
      <c r="L902" t="s">
        <v>162</v>
      </c>
      <c r="M902" t="s">
        <v>163</v>
      </c>
      <c r="N902" t="s">
        <v>164</v>
      </c>
      <c r="O902" t="s">
        <v>82</v>
      </c>
      <c r="P902" t="str">
        <f>"4170053556                    "</f>
        <v xml:space="preserve">4170053556                    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23.09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1</v>
      </c>
      <c r="BI902">
        <v>1</v>
      </c>
      <c r="BJ902">
        <v>0.2</v>
      </c>
      <c r="BK902">
        <v>1</v>
      </c>
      <c r="BL902">
        <v>71.69</v>
      </c>
      <c r="BM902">
        <v>10.75</v>
      </c>
      <c r="BN902">
        <v>82.44</v>
      </c>
      <c r="BO902">
        <v>82.44</v>
      </c>
      <c r="BQ902" t="s">
        <v>165</v>
      </c>
      <c r="BR902" t="s">
        <v>84</v>
      </c>
      <c r="BS902" s="3">
        <v>45877</v>
      </c>
      <c r="BT902" s="4">
        <v>0.41666666666666669</v>
      </c>
      <c r="BU902" t="s">
        <v>1378</v>
      </c>
      <c r="BV902" t="s">
        <v>86</v>
      </c>
      <c r="BY902">
        <v>1200</v>
      </c>
      <c r="CC902" t="s">
        <v>163</v>
      </c>
      <c r="CD902">
        <v>3212</v>
      </c>
      <c r="CE902" t="s">
        <v>109</v>
      </c>
      <c r="CF902" s="3">
        <v>45877</v>
      </c>
      <c r="CI902">
        <v>2</v>
      </c>
      <c r="CJ902">
        <v>1</v>
      </c>
      <c r="CK902">
        <v>21</v>
      </c>
      <c r="CL902" t="s">
        <v>90</v>
      </c>
    </row>
    <row r="903" spans="1:90" x14ac:dyDescent="0.3">
      <c r="A903" t="s">
        <v>72</v>
      </c>
      <c r="B903" t="s">
        <v>73</v>
      </c>
      <c r="C903" t="s">
        <v>74</v>
      </c>
      <c r="E903" t="str">
        <f>"080067082846"</f>
        <v>080067082846</v>
      </c>
      <c r="F903" s="3">
        <v>45876</v>
      </c>
      <c r="G903">
        <v>202605</v>
      </c>
      <c r="H903" t="s">
        <v>75</v>
      </c>
      <c r="I903" t="s">
        <v>76</v>
      </c>
      <c r="J903" t="s">
        <v>77</v>
      </c>
      <c r="K903" t="s">
        <v>78</v>
      </c>
      <c r="L903" t="s">
        <v>179</v>
      </c>
      <c r="M903" t="s">
        <v>180</v>
      </c>
      <c r="N903" t="s">
        <v>1674</v>
      </c>
      <c r="O903" t="s">
        <v>82</v>
      </c>
      <c r="P903" t="str">
        <f>"4170053564                    "</f>
        <v xml:space="preserve">4170053564                    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32.47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1</v>
      </c>
      <c r="BI903">
        <v>1</v>
      </c>
      <c r="BJ903">
        <v>0.2</v>
      </c>
      <c r="BK903">
        <v>1</v>
      </c>
      <c r="BL903">
        <v>100.82</v>
      </c>
      <c r="BM903">
        <v>15.12</v>
      </c>
      <c r="BN903">
        <v>115.94</v>
      </c>
      <c r="BO903">
        <v>115.94</v>
      </c>
      <c r="BQ903" t="s">
        <v>1675</v>
      </c>
      <c r="BR903" t="s">
        <v>84</v>
      </c>
      <c r="BS903" s="3">
        <v>45877</v>
      </c>
      <c r="BT903" s="4">
        <v>0.42638888888888887</v>
      </c>
      <c r="BU903" t="s">
        <v>1676</v>
      </c>
      <c r="BV903" t="s">
        <v>86</v>
      </c>
      <c r="BY903">
        <v>1200</v>
      </c>
      <c r="CA903" t="s">
        <v>1656</v>
      </c>
      <c r="CC903" t="s">
        <v>180</v>
      </c>
      <c r="CD903">
        <v>1739</v>
      </c>
      <c r="CE903" t="s">
        <v>109</v>
      </c>
      <c r="CF903" s="3">
        <v>45877</v>
      </c>
      <c r="CI903">
        <v>1</v>
      </c>
      <c r="CJ903">
        <v>1</v>
      </c>
      <c r="CK903">
        <v>24</v>
      </c>
      <c r="CL903" t="s">
        <v>90</v>
      </c>
    </row>
    <row r="904" spans="1:90" x14ac:dyDescent="0.3">
      <c r="A904" t="s">
        <v>72</v>
      </c>
      <c r="B904" t="s">
        <v>73</v>
      </c>
      <c r="C904" t="s">
        <v>74</v>
      </c>
      <c r="E904" t="str">
        <f>"080067082868"</f>
        <v>080067082868</v>
      </c>
      <c r="F904" s="3">
        <v>45876</v>
      </c>
      <c r="G904">
        <v>202605</v>
      </c>
      <c r="H904" t="s">
        <v>75</v>
      </c>
      <c r="I904" t="s">
        <v>76</v>
      </c>
      <c r="J904" t="s">
        <v>77</v>
      </c>
      <c r="K904" t="s">
        <v>78</v>
      </c>
      <c r="L904" t="s">
        <v>198</v>
      </c>
      <c r="M904" t="s">
        <v>199</v>
      </c>
      <c r="N904" t="s">
        <v>680</v>
      </c>
      <c r="O904" t="s">
        <v>82</v>
      </c>
      <c r="P904" t="str">
        <f>"4170053547                    "</f>
        <v xml:space="preserve">4170053547                    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23.09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1</v>
      </c>
      <c r="BI904">
        <v>1</v>
      </c>
      <c r="BJ904">
        <v>0.2</v>
      </c>
      <c r="BK904">
        <v>1</v>
      </c>
      <c r="BL904">
        <v>71.69</v>
      </c>
      <c r="BM904">
        <v>10.75</v>
      </c>
      <c r="BN904">
        <v>82.44</v>
      </c>
      <c r="BO904">
        <v>82.44</v>
      </c>
      <c r="BQ904" t="s">
        <v>681</v>
      </c>
      <c r="BR904" t="s">
        <v>84</v>
      </c>
      <c r="BS904" s="3">
        <v>45877</v>
      </c>
      <c r="BT904" s="4">
        <v>0.4</v>
      </c>
      <c r="BU904" t="s">
        <v>1430</v>
      </c>
      <c r="BV904" t="s">
        <v>86</v>
      </c>
      <c r="BY904">
        <v>1200</v>
      </c>
      <c r="CA904" t="s">
        <v>413</v>
      </c>
      <c r="CC904" t="s">
        <v>199</v>
      </c>
      <c r="CD904">
        <v>6001</v>
      </c>
      <c r="CE904" t="s">
        <v>109</v>
      </c>
      <c r="CF904" s="3">
        <v>45880</v>
      </c>
      <c r="CI904">
        <v>1</v>
      </c>
      <c r="CJ904">
        <v>1</v>
      </c>
      <c r="CK904">
        <v>21</v>
      </c>
      <c r="CL904" t="s">
        <v>90</v>
      </c>
    </row>
    <row r="905" spans="1:90" x14ac:dyDescent="0.3">
      <c r="A905" t="s">
        <v>72</v>
      </c>
      <c r="B905" t="s">
        <v>73</v>
      </c>
      <c r="C905" t="s">
        <v>74</v>
      </c>
      <c r="E905" t="str">
        <f>"080067082882"</f>
        <v>080067082882</v>
      </c>
      <c r="F905" s="3">
        <v>45876</v>
      </c>
      <c r="G905">
        <v>202605</v>
      </c>
      <c r="H905" t="s">
        <v>75</v>
      </c>
      <c r="I905" t="s">
        <v>76</v>
      </c>
      <c r="J905" t="s">
        <v>77</v>
      </c>
      <c r="K905" t="s">
        <v>78</v>
      </c>
      <c r="L905" t="s">
        <v>229</v>
      </c>
      <c r="M905" t="s">
        <v>230</v>
      </c>
      <c r="N905" t="s">
        <v>231</v>
      </c>
      <c r="O905" t="s">
        <v>82</v>
      </c>
      <c r="P905" t="str">
        <f>"4170053455                    "</f>
        <v xml:space="preserve">4170053455                    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246.7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1</v>
      </c>
      <c r="BI905">
        <v>7</v>
      </c>
      <c r="BJ905">
        <v>12</v>
      </c>
      <c r="BK905">
        <v>12</v>
      </c>
      <c r="BL905">
        <v>766.06</v>
      </c>
      <c r="BM905">
        <v>114.91</v>
      </c>
      <c r="BN905">
        <v>880.97</v>
      </c>
      <c r="BO905">
        <v>880.97</v>
      </c>
      <c r="BQ905" t="s">
        <v>232</v>
      </c>
      <c r="BR905" t="s">
        <v>84</v>
      </c>
      <c r="BS905" s="3">
        <v>45877</v>
      </c>
      <c r="BT905" s="4">
        <v>0.35416666666666669</v>
      </c>
      <c r="BU905" t="s">
        <v>233</v>
      </c>
      <c r="BV905" t="s">
        <v>86</v>
      </c>
      <c r="BY905">
        <v>59904</v>
      </c>
      <c r="CC905" t="s">
        <v>230</v>
      </c>
      <c r="CD905">
        <v>2740</v>
      </c>
      <c r="CE905" t="s">
        <v>117</v>
      </c>
      <c r="CF905" s="3">
        <v>45880</v>
      </c>
      <c r="CI905">
        <v>1</v>
      </c>
      <c r="CJ905">
        <v>1</v>
      </c>
      <c r="CK905">
        <v>23</v>
      </c>
      <c r="CL905" t="s">
        <v>90</v>
      </c>
    </row>
    <row r="906" spans="1:90" x14ac:dyDescent="0.3">
      <c r="A906" t="s">
        <v>72</v>
      </c>
      <c r="B906" t="s">
        <v>73</v>
      </c>
      <c r="C906" t="s">
        <v>74</v>
      </c>
      <c r="E906" t="str">
        <f>"080067082891"</f>
        <v>080067082891</v>
      </c>
      <c r="F906" s="3">
        <v>45876</v>
      </c>
      <c r="G906">
        <v>202605</v>
      </c>
      <c r="H906" t="s">
        <v>75</v>
      </c>
      <c r="I906" t="s">
        <v>76</v>
      </c>
      <c r="J906" t="s">
        <v>77</v>
      </c>
      <c r="K906" t="s">
        <v>78</v>
      </c>
      <c r="L906" t="s">
        <v>291</v>
      </c>
      <c r="M906" t="s">
        <v>292</v>
      </c>
      <c r="N906" t="s">
        <v>131</v>
      </c>
      <c r="O906" t="s">
        <v>82</v>
      </c>
      <c r="P906" t="str">
        <f>"4170053432                    "</f>
        <v xml:space="preserve">4170053432                    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18.03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1</v>
      </c>
      <c r="BI906">
        <v>1</v>
      </c>
      <c r="BJ906">
        <v>0.2</v>
      </c>
      <c r="BK906">
        <v>1</v>
      </c>
      <c r="BL906">
        <v>55.99</v>
      </c>
      <c r="BM906">
        <v>8.4</v>
      </c>
      <c r="BN906">
        <v>64.39</v>
      </c>
      <c r="BO906">
        <v>64.39</v>
      </c>
      <c r="BQ906" t="s">
        <v>132</v>
      </c>
      <c r="BR906" t="s">
        <v>84</v>
      </c>
      <c r="BS906" s="3">
        <v>45877</v>
      </c>
      <c r="BT906" s="4">
        <v>0.3611111111111111</v>
      </c>
      <c r="BU906" t="s">
        <v>1677</v>
      </c>
      <c r="BV906" t="s">
        <v>86</v>
      </c>
      <c r="BY906">
        <v>1200</v>
      </c>
      <c r="CA906" t="s">
        <v>296</v>
      </c>
      <c r="CC906" t="s">
        <v>292</v>
      </c>
      <c r="CD906">
        <v>1451</v>
      </c>
      <c r="CE906" t="s">
        <v>109</v>
      </c>
      <c r="CF906" s="3">
        <v>45877</v>
      </c>
      <c r="CI906">
        <v>1</v>
      </c>
      <c r="CJ906">
        <v>1</v>
      </c>
      <c r="CK906">
        <v>22</v>
      </c>
      <c r="CL906" t="s">
        <v>90</v>
      </c>
    </row>
    <row r="907" spans="1:90" x14ac:dyDescent="0.3">
      <c r="A907" t="s">
        <v>72</v>
      </c>
      <c r="B907" t="s">
        <v>73</v>
      </c>
      <c r="C907" t="s">
        <v>74</v>
      </c>
      <c r="E907" t="str">
        <f>"080067082912"</f>
        <v>080067082912</v>
      </c>
      <c r="F907" s="3">
        <v>45876</v>
      </c>
      <c r="G907">
        <v>202605</v>
      </c>
      <c r="H907" t="s">
        <v>75</v>
      </c>
      <c r="I907" t="s">
        <v>76</v>
      </c>
      <c r="J907" t="s">
        <v>77</v>
      </c>
      <c r="K907" t="s">
        <v>78</v>
      </c>
      <c r="L907" t="s">
        <v>217</v>
      </c>
      <c r="M907" t="s">
        <v>218</v>
      </c>
      <c r="N907" t="s">
        <v>249</v>
      </c>
      <c r="O907" t="s">
        <v>82</v>
      </c>
      <c r="P907" t="str">
        <f>"4170053525                    "</f>
        <v xml:space="preserve">4170053525                    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23.09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1</v>
      </c>
      <c r="BI907">
        <v>1</v>
      </c>
      <c r="BJ907">
        <v>1.1000000000000001</v>
      </c>
      <c r="BK907">
        <v>1.5</v>
      </c>
      <c r="BL907">
        <v>71.69</v>
      </c>
      <c r="BM907">
        <v>10.75</v>
      </c>
      <c r="BN907">
        <v>82.44</v>
      </c>
      <c r="BO907">
        <v>82.44</v>
      </c>
      <c r="BQ907" t="s">
        <v>250</v>
      </c>
      <c r="BR907" t="s">
        <v>84</v>
      </c>
      <c r="BS907" s="3">
        <v>45877</v>
      </c>
      <c r="BT907" s="4">
        <v>0.42499999999999999</v>
      </c>
      <c r="BU907" t="s">
        <v>787</v>
      </c>
      <c r="BV907" t="s">
        <v>86</v>
      </c>
      <c r="BY907">
        <v>5320</v>
      </c>
      <c r="CA907" t="s">
        <v>136</v>
      </c>
      <c r="CC907" t="s">
        <v>218</v>
      </c>
      <c r="CD907">
        <v>4052</v>
      </c>
      <c r="CE907" t="s">
        <v>147</v>
      </c>
      <c r="CF907" s="3">
        <v>45877</v>
      </c>
      <c r="CI907">
        <v>1</v>
      </c>
      <c r="CJ907">
        <v>1</v>
      </c>
      <c r="CK907">
        <v>21</v>
      </c>
      <c r="CL907" t="s">
        <v>90</v>
      </c>
    </row>
    <row r="908" spans="1:90" x14ac:dyDescent="0.3">
      <c r="A908" t="s">
        <v>72</v>
      </c>
      <c r="B908" t="s">
        <v>73</v>
      </c>
      <c r="C908" t="s">
        <v>74</v>
      </c>
      <c r="E908" t="str">
        <f>"080067082922"</f>
        <v>080067082922</v>
      </c>
      <c r="F908" s="3">
        <v>45876</v>
      </c>
      <c r="G908">
        <v>202605</v>
      </c>
      <c r="H908" t="s">
        <v>75</v>
      </c>
      <c r="I908" t="s">
        <v>76</v>
      </c>
      <c r="J908" t="s">
        <v>77</v>
      </c>
      <c r="K908" t="s">
        <v>78</v>
      </c>
      <c r="L908" t="s">
        <v>520</v>
      </c>
      <c r="M908" t="s">
        <v>521</v>
      </c>
      <c r="N908" t="s">
        <v>1678</v>
      </c>
      <c r="O908" t="s">
        <v>82</v>
      </c>
      <c r="P908" t="str">
        <f>"4170053550                    "</f>
        <v xml:space="preserve">4170053550                    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44.73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1</v>
      </c>
      <c r="BI908">
        <v>1</v>
      </c>
      <c r="BJ908">
        <v>0.2</v>
      </c>
      <c r="BK908">
        <v>1</v>
      </c>
      <c r="BL908">
        <v>138.88999999999999</v>
      </c>
      <c r="BM908">
        <v>20.83</v>
      </c>
      <c r="BN908">
        <v>159.72</v>
      </c>
      <c r="BO908">
        <v>159.72</v>
      </c>
      <c r="BQ908" t="s">
        <v>1679</v>
      </c>
      <c r="BR908" t="s">
        <v>84</v>
      </c>
      <c r="BS908" s="3">
        <v>45877</v>
      </c>
      <c r="BT908" s="4">
        <v>0.41041666666666665</v>
      </c>
      <c r="BU908" t="s">
        <v>1680</v>
      </c>
      <c r="BV908" t="s">
        <v>86</v>
      </c>
      <c r="BY908">
        <v>1200</v>
      </c>
      <c r="CA908" t="s">
        <v>525</v>
      </c>
      <c r="CC908" t="s">
        <v>521</v>
      </c>
      <c r="CD908">
        <v>1960</v>
      </c>
      <c r="CE908" t="s">
        <v>109</v>
      </c>
      <c r="CF908" s="3">
        <v>45881</v>
      </c>
      <c r="CI908">
        <v>1</v>
      </c>
      <c r="CJ908">
        <v>1</v>
      </c>
      <c r="CK908">
        <v>23</v>
      </c>
      <c r="CL908" t="s">
        <v>90</v>
      </c>
    </row>
    <row r="909" spans="1:90" x14ac:dyDescent="0.3">
      <c r="A909" t="s">
        <v>72</v>
      </c>
      <c r="B909" t="s">
        <v>73</v>
      </c>
      <c r="C909" t="s">
        <v>74</v>
      </c>
      <c r="E909" t="str">
        <f>"080067082927"</f>
        <v>080067082927</v>
      </c>
      <c r="F909" s="3">
        <v>45876</v>
      </c>
      <c r="G909">
        <v>202605</v>
      </c>
      <c r="H909" t="s">
        <v>75</v>
      </c>
      <c r="I909" t="s">
        <v>76</v>
      </c>
      <c r="J909" t="s">
        <v>77</v>
      </c>
      <c r="K909" t="s">
        <v>78</v>
      </c>
      <c r="L909" t="s">
        <v>123</v>
      </c>
      <c r="M909" t="s">
        <v>124</v>
      </c>
      <c r="N909" t="s">
        <v>406</v>
      </c>
      <c r="O909" t="s">
        <v>82</v>
      </c>
      <c r="P909" t="str">
        <f>"4170053545                    "</f>
        <v xml:space="preserve">4170053545                    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34.619999999999997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1</v>
      </c>
      <c r="BI909">
        <v>3</v>
      </c>
      <c r="BJ909">
        <v>1.9</v>
      </c>
      <c r="BK909">
        <v>3</v>
      </c>
      <c r="BL909">
        <v>107.5</v>
      </c>
      <c r="BM909">
        <v>16.13</v>
      </c>
      <c r="BN909">
        <v>123.63</v>
      </c>
      <c r="BO909">
        <v>123.63</v>
      </c>
      <c r="BQ909" t="s">
        <v>407</v>
      </c>
      <c r="BR909" t="s">
        <v>84</v>
      </c>
      <c r="BS909" s="3">
        <v>45877</v>
      </c>
      <c r="BT909" s="4">
        <v>0.4375</v>
      </c>
      <c r="BU909" t="s">
        <v>408</v>
      </c>
      <c r="BV909" t="s">
        <v>86</v>
      </c>
      <c r="BY909">
        <v>9600</v>
      </c>
      <c r="CA909" t="s">
        <v>192</v>
      </c>
      <c r="CC909" t="s">
        <v>124</v>
      </c>
      <c r="CD909">
        <v>7441</v>
      </c>
      <c r="CE909" t="s">
        <v>147</v>
      </c>
      <c r="CF909" s="3">
        <v>45880</v>
      </c>
      <c r="CI909">
        <v>1</v>
      </c>
      <c r="CJ909">
        <v>1</v>
      </c>
      <c r="CK909">
        <v>21</v>
      </c>
      <c r="CL909" t="s">
        <v>90</v>
      </c>
    </row>
    <row r="910" spans="1:90" x14ac:dyDescent="0.3">
      <c r="A910" t="s">
        <v>72</v>
      </c>
      <c r="B910" t="s">
        <v>73</v>
      </c>
      <c r="C910" t="s">
        <v>74</v>
      </c>
      <c r="E910" t="str">
        <f>"080067082936"</f>
        <v>080067082936</v>
      </c>
      <c r="F910" s="3">
        <v>45876</v>
      </c>
      <c r="G910">
        <v>202605</v>
      </c>
      <c r="H910" t="s">
        <v>75</v>
      </c>
      <c r="I910" t="s">
        <v>76</v>
      </c>
      <c r="J910" t="s">
        <v>77</v>
      </c>
      <c r="K910" t="s">
        <v>78</v>
      </c>
      <c r="L910" t="s">
        <v>217</v>
      </c>
      <c r="M910" t="s">
        <v>218</v>
      </c>
      <c r="N910" t="s">
        <v>544</v>
      </c>
      <c r="O910" t="s">
        <v>82</v>
      </c>
      <c r="P910" t="str">
        <f>"4170053549                    "</f>
        <v xml:space="preserve">4170053549                    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23.09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1</v>
      </c>
      <c r="BI910">
        <v>1</v>
      </c>
      <c r="BJ910">
        <v>0.2</v>
      </c>
      <c r="BK910">
        <v>1</v>
      </c>
      <c r="BL910">
        <v>71.69</v>
      </c>
      <c r="BM910">
        <v>10.75</v>
      </c>
      <c r="BN910">
        <v>82.44</v>
      </c>
      <c r="BO910">
        <v>82.44</v>
      </c>
      <c r="BQ910" t="s">
        <v>545</v>
      </c>
      <c r="BR910" t="s">
        <v>84</v>
      </c>
      <c r="BS910" s="3">
        <v>45877</v>
      </c>
      <c r="BT910" s="4">
        <v>0.45</v>
      </c>
      <c r="BU910" t="s">
        <v>1571</v>
      </c>
      <c r="BV910" t="s">
        <v>90</v>
      </c>
      <c r="BW910" t="s">
        <v>134</v>
      </c>
      <c r="BX910" t="s">
        <v>135</v>
      </c>
      <c r="BY910">
        <v>1200</v>
      </c>
      <c r="CA910" t="s">
        <v>953</v>
      </c>
      <c r="CC910" t="s">
        <v>218</v>
      </c>
      <c r="CD910">
        <v>4000</v>
      </c>
      <c r="CE910" t="s">
        <v>109</v>
      </c>
      <c r="CF910" s="3">
        <v>45877</v>
      </c>
      <c r="CI910">
        <v>1</v>
      </c>
      <c r="CJ910">
        <v>1</v>
      </c>
      <c r="CK910">
        <v>21</v>
      </c>
      <c r="CL910" t="s">
        <v>90</v>
      </c>
    </row>
    <row r="911" spans="1:90" x14ac:dyDescent="0.3">
      <c r="A911" t="s">
        <v>72</v>
      </c>
      <c r="B911" t="s">
        <v>73</v>
      </c>
      <c r="C911" t="s">
        <v>74</v>
      </c>
      <c r="E911" t="str">
        <f>"080067082958"</f>
        <v>080067082958</v>
      </c>
      <c r="F911" s="3">
        <v>45876</v>
      </c>
      <c r="G911">
        <v>202605</v>
      </c>
      <c r="H911" t="s">
        <v>75</v>
      </c>
      <c r="I911" t="s">
        <v>76</v>
      </c>
      <c r="J911" t="s">
        <v>77</v>
      </c>
      <c r="K911" t="s">
        <v>78</v>
      </c>
      <c r="L911" t="s">
        <v>325</v>
      </c>
      <c r="M911" t="s">
        <v>326</v>
      </c>
      <c r="N911" t="s">
        <v>1681</v>
      </c>
      <c r="O911" t="s">
        <v>113</v>
      </c>
      <c r="P911" t="str">
        <f>"4170053554                    "</f>
        <v xml:space="preserve">4170053554                    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18.04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1</v>
      </c>
      <c r="BI911">
        <v>4</v>
      </c>
      <c r="BJ911">
        <v>4.0999999999999996</v>
      </c>
      <c r="BK911">
        <v>5</v>
      </c>
      <c r="BL911">
        <v>56.01</v>
      </c>
      <c r="BM911">
        <v>8.4</v>
      </c>
      <c r="BN911">
        <v>64.41</v>
      </c>
      <c r="BO911">
        <v>64.41</v>
      </c>
      <c r="BQ911" t="s">
        <v>1682</v>
      </c>
      <c r="BR911" t="s">
        <v>84</v>
      </c>
      <c r="BS911" s="3">
        <v>45877</v>
      </c>
      <c r="BT911" s="4">
        <v>0.38055555555555554</v>
      </c>
      <c r="BU911" t="s">
        <v>1683</v>
      </c>
      <c r="BV911" t="s">
        <v>86</v>
      </c>
      <c r="BY911">
        <v>20720</v>
      </c>
      <c r="CA911" t="s">
        <v>331</v>
      </c>
      <c r="CC911" t="s">
        <v>326</v>
      </c>
      <c r="CD911">
        <v>2190</v>
      </c>
      <c r="CE911" t="s">
        <v>117</v>
      </c>
      <c r="CF911" s="3">
        <v>45878</v>
      </c>
      <c r="CI911">
        <v>1</v>
      </c>
      <c r="CJ911">
        <v>1</v>
      </c>
      <c r="CK911">
        <v>32</v>
      </c>
      <c r="CL911" t="s">
        <v>90</v>
      </c>
    </row>
    <row r="912" spans="1:90" x14ac:dyDescent="0.3">
      <c r="A912" t="s">
        <v>72</v>
      </c>
      <c r="B912" t="s">
        <v>73</v>
      </c>
      <c r="C912" t="s">
        <v>74</v>
      </c>
      <c r="E912" t="str">
        <f>"080067082961"</f>
        <v>080067082961</v>
      </c>
      <c r="F912" s="3">
        <v>45876</v>
      </c>
      <c r="G912">
        <v>202605</v>
      </c>
      <c r="H912" t="s">
        <v>75</v>
      </c>
      <c r="I912" t="s">
        <v>76</v>
      </c>
      <c r="J912" t="s">
        <v>77</v>
      </c>
      <c r="K912" t="s">
        <v>78</v>
      </c>
      <c r="L912" t="s">
        <v>452</v>
      </c>
      <c r="M912" t="s">
        <v>453</v>
      </c>
      <c r="N912" t="s">
        <v>1684</v>
      </c>
      <c r="O912" t="s">
        <v>82</v>
      </c>
      <c r="P912" t="str">
        <f>"4170053476                    "</f>
        <v xml:space="preserve">4170053476                    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44.73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1</v>
      </c>
      <c r="BI912">
        <v>1</v>
      </c>
      <c r="BJ912">
        <v>0.2</v>
      </c>
      <c r="BK912">
        <v>1</v>
      </c>
      <c r="BL912">
        <v>138.88999999999999</v>
      </c>
      <c r="BM912">
        <v>20.83</v>
      </c>
      <c r="BN912">
        <v>159.72</v>
      </c>
      <c r="BO912">
        <v>159.72</v>
      </c>
      <c r="BQ912" t="s">
        <v>1685</v>
      </c>
      <c r="BR912" t="s">
        <v>84</v>
      </c>
      <c r="BS912" s="3">
        <v>45877</v>
      </c>
      <c r="BT912" s="4">
        <v>0.37986111111111109</v>
      </c>
      <c r="BU912" t="s">
        <v>1686</v>
      </c>
      <c r="BV912" t="s">
        <v>86</v>
      </c>
      <c r="BY912">
        <v>1200</v>
      </c>
      <c r="CA912" t="s">
        <v>484</v>
      </c>
      <c r="CC912" t="s">
        <v>453</v>
      </c>
      <c r="CD912">
        <v>1947</v>
      </c>
      <c r="CE912" t="s">
        <v>109</v>
      </c>
      <c r="CF912" s="3">
        <v>45880</v>
      </c>
      <c r="CI912">
        <v>1</v>
      </c>
      <c r="CJ912">
        <v>1</v>
      </c>
      <c r="CK912">
        <v>23</v>
      </c>
      <c r="CL912" t="s">
        <v>90</v>
      </c>
    </row>
    <row r="913" spans="1:90" x14ac:dyDescent="0.3">
      <c r="A913" t="s">
        <v>72</v>
      </c>
      <c r="B913" t="s">
        <v>73</v>
      </c>
      <c r="C913" t="s">
        <v>74</v>
      </c>
      <c r="E913" t="str">
        <f>"080067082983"</f>
        <v>080067082983</v>
      </c>
      <c r="F913" s="3">
        <v>45876</v>
      </c>
      <c r="G913">
        <v>202605</v>
      </c>
      <c r="H913" t="s">
        <v>75</v>
      </c>
      <c r="I913" t="s">
        <v>76</v>
      </c>
      <c r="J913" t="s">
        <v>77</v>
      </c>
      <c r="K913" t="s">
        <v>78</v>
      </c>
      <c r="L913" t="s">
        <v>452</v>
      </c>
      <c r="M913" t="s">
        <v>453</v>
      </c>
      <c r="N913" t="s">
        <v>454</v>
      </c>
      <c r="O913" t="s">
        <v>82</v>
      </c>
      <c r="P913" t="str">
        <f>"4170053447                    "</f>
        <v xml:space="preserve">4170053447                    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44.73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1</v>
      </c>
      <c r="BI913">
        <v>2</v>
      </c>
      <c r="BJ913">
        <v>1.1000000000000001</v>
      </c>
      <c r="BK913">
        <v>2</v>
      </c>
      <c r="BL913">
        <v>138.88999999999999</v>
      </c>
      <c r="BM913">
        <v>20.83</v>
      </c>
      <c r="BN913">
        <v>159.72</v>
      </c>
      <c r="BO913">
        <v>159.72</v>
      </c>
      <c r="BQ913" t="s">
        <v>455</v>
      </c>
      <c r="BR913" t="s">
        <v>84</v>
      </c>
      <c r="BS913" s="3">
        <v>45877</v>
      </c>
      <c r="BT913" s="4">
        <v>0.33333333333333331</v>
      </c>
      <c r="BU913" t="s">
        <v>1687</v>
      </c>
      <c r="BV913" t="s">
        <v>86</v>
      </c>
      <c r="BY913">
        <v>5320</v>
      </c>
      <c r="CC913" t="s">
        <v>453</v>
      </c>
      <c r="CD913">
        <v>1947</v>
      </c>
      <c r="CE913" t="s">
        <v>147</v>
      </c>
      <c r="CF913" s="3">
        <v>45877</v>
      </c>
      <c r="CI913">
        <v>1</v>
      </c>
      <c r="CJ913">
        <v>1</v>
      </c>
      <c r="CK913">
        <v>23</v>
      </c>
      <c r="CL913" t="s">
        <v>90</v>
      </c>
    </row>
    <row r="914" spans="1:90" x14ac:dyDescent="0.3">
      <c r="A914" t="s">
        <v>72</v>
      </c>
      <c r="B914" t="s">
        <v>73</v>
      </c>
      <c r="C914" t="s">
        <v>74</v>
      </c>
      <c r="E914" t="str">
        <f>"080067083013"</f>
        <v>080067083013</v>
      </c>
      <c r="F914" s="3">
        <v>45876</v>
      </c>
      <c r="G914">
        <v>202605</v>
      </c>
      <c r="H914" t="s">
        <v>75</v>
      </c>
      <c r="I914" t="s">
        <v>76</v>
      </c>
      <c r="J914" t="s">
        <v>77</v>
      </c>
      <c r="K914" t="s">
        <v>78</v>
      </c>
      <c r="L914" t="s">
        <v>255</v>
      </c>
      <c r="M914" t="s">
        <v>256</v>
      </c>
      <c r="N914" t="s">
        <v>884</v>
      </c>
      <c r="O914" t="s">
        <v>82</v>
      </c>
      <c r="P914" t="str">
        <f>"4170053494                    "</f>
        <v xml:space="preserve">4170053494                    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18.03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1</v>
      </c>
      <c r="BI914">
        <v>3</v>
      </c>
      <c r="BJ914">
        <v>0.6</v>
      </c>
      <c r="BK914">
        <v>3</v>
      </c>
      <c r="BL914">
        <v>55.99</v>
      </c>
      <c r="BM914">
        <v>8.4</v>
      </c>
      <c r="BN914">
        <v>64.39</v>
      </c>
      <c r="BO914">
        <v>64.39</v>
      </c>
      <c r="BQ914" t="s">
        <v>885</v>
      </c>
      <c r="BR914" t="s">
        <v>84</v>
      </c>
      <c r="BS914" s="3">
        <v>45877</v>
      </c>
      <c r="BT914" s="4">
        <v>0.43541666666666667</v>
      </c>
      <c r="BU914" t="s">
        <v>1688</v>
      </c>
      <c r="BV914" t="s">
        <v>86</v>
      </c>
      <c r="BY914">
        <v>3192</v>
      </c>
      <c r="CA914" t="s">
        <v>623</v>
      </c>
      <c r="CC914" t="s">
        <v>256</v>
      </c>
      <c r="CD914">
        <v>1502</v>
      </c>
      <c r="CE914" t="s">
        <v>147</v>
      </c>
      <c r="CF914" s="3">
        <v>45878</v>
      </c>
      <c r="CI914">
        <v>1</v>
      </c>
      <c r="CJ914">
        <v>1</v>
      </c>
      <c r="CK914">
        <v>22</v>
      </c>
      <c r="CL914" t="s">
        <v>90</v>
      </c>
    </row>
    <row r="915" spans="1:90" x14ac:dyDescent="0.3">
      <c r="A915" t="s">
        <v>72</v>
      </c>
      <c r="B915" t="s">
        <v>73</v>
      </c>
      <c r="C915" t="s">
        <v>74</v>
      </c>
      <c r="E915" t="str">
        <f>"080067083017"</f>
        <v>080067083017</v>
      </c>
      <c r="F915" s="3">
        <v>45876</v>
      </c>
      <c r="G915">
        <v>202605</v>
      </c>
      <c r="H915" t="s">
        <v>75</v>
      </c>
      <c r="I915" t="s">
        <v>76</v>
      </c>
      <c r="J915" t="s">
        <v>77</v>
      </c>
      <c r="K915" t="s">
        <v>78</v>
      </c>
      <c r="L915" t="s">
        <v>123</v>
      </c>
      <c r="M915" t="s">
        <v>124</v>
      </c>
      <c r="N915" t="s">
        <v>406</v>
      </c>
      <c r="O915" t="s">
        <v>82</v>
      </c>
      <c r="P915" t="str">
        <f>"4170053546                    "</f>
        <v xml:space="preserve">4170053546                    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23.09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0</v>
      </c>
      <c r="BF915">
        <v>0</v>
      </c>
      <c r="BG915">
        <v>0</v>
      </c>
      <c r="BH915">
        <v>1</v>
      </c>
      <c r="BI915">
        <v>1</v>
      </c>
      <c r="BJ915">
        <v>0.2</v>
      </c>
      <c r="BK915">
        <v>1</v>
      </c>
      <c r="BL915">
        <v>71.69</v>
      </c>
      <c r="BM915">
        <v>10.75</v>
      </c>
      <c r="BN915">
        <v>82.44</v>
      </c>
      <c r="BO915">
        <v>82.44</v>
      </c>
      <c r="BQ915" t="s">
        <v>407</v>
      </c>
      <c r="BR915" t="s">
        <v>84</v>
      </c>
      <c r="BS915" s="3">
        <v>45877</v>
      </c>
      <c r="BT915" s="4">
        <v>0.4375</v>
      </c>
      <c r="BU915" t="s">
        <v>408</v>
      </c>
      <c r="BV915" t="s">
        <v>86</v>
      </c>
      <c r="BY915">
        <v>1200</v>
      </c>
      <c r="CA915" t="s">
        <v>192</v>
      </c>
      <c r="CC915" t="s">
        <v>124</v>
      </c>
      <c r="CD915">
        <v>7441</v>
      </c>
      <c r="CE915" t="s">
        <v>109</v>
      </c>
      <c r="CF915" s="3">
        <v>45880</v>
      </c>
      <c r="CI915">
        <v>1</v>
      </c>
      <c r="CJ915">
        <v>1</v>
      </c>
      <c r="CK915">
        <v>21</v>
      </c>
      <c r="CL915" t="s">
        <v>90</v>
      </c>
    </row>
    <row r="916" spans="1:90" x14ac:dyDescent="0.3">
      <c r="A916" t="s">
        <v>72</v>
      </c>
      <c r="B916" t="s">
        <v>73</v>
      </c>
      <c r="C916" t="s">
        <v>74</v>
      </c>
      <c r="E916" t="str">
        <f>"080067083039"</f>
        <v>080067083039</v>
      </c>
      <c r="F916" s="3">
        <v>45876</v>
      </c>
      <c r="G916">
        <v>202605</v>
      </c>
      <c r="H916" t="s">
        <v>75</v>
      </c>
      <c r="I916" t="s">
        <v>76</v>
      </c>
      <c r="J916" t="s">
        <v>77</v>
      </c>
      <c r="K916" t="s">
        <v>78</v>
      </c>
      <c r="L916" t="s">
        <v>217</v>
      </c>
      <c r="M916" t="s">
        <v>218</v>
      </c>
      <c r="N916" t="s">
        <v>1261</v>
      </c>
      <c r="O916" t="s">
        <v>82</v>
      </c>
      <c r="P916" t="str">
        <f>"4170053463                    "</f>
        <v xml:space="preserve">4170053463                    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23.09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1</v>
      </c>
      <c r="BI916">
        <v>1</v>
      </c>
      <c r="BJ916">
        <v>0.2</v>
      </c>
      <c r="BK916">
        <v>1</v>
      </c>
      <c r="BL916">
        <v>71.69</v>
      </c>
      <c r="BM916">
        <v>10.75</v>
      </c>
      <c r="BN916">
        <v>82.44</v>
      </c>
      <c r="BO916">
        <v>82.44</v>
      </c>
      <c r="BQ916" t="s">
        <v>1262</v>
      </c>
      <c r="BR916" t="s">
        <v>84</v>
      </c>
      <c r="BS916" s="3">
        <v>45877</v>
      </c>
      <c r="BT916" s="4">
        <v>0.37569444444444444</v>
      </c>
      <c r="BU916" t="s">
        <v>1263</v>
      </c>
      <c r="BV916" t="s">
        <v>86</v>
      </c>
      <c r="BY916">
        <v>1200</v>
      </c>
      <c r="CA916" t="s">
        <v>864</v>
      </c>
      <c r="CC916" t="s">
        <v>218</v>
      </c>
      <c r="CD916">
        <v>4000</v>
      </c>
      <c r="CE916" t="s">
        <v>109</v>
      </c>
      <c r="CF916" s="3">
        <v>45878</v>
      </c>
      <c r="CI916">
        <v>1</v>
      </c>
      <c r="CJ916">
        <v>1</v>
      </c>
      <c r="CK916">
        <v>21</v>
      </c>
      <c r="CL916" t="s">
        <v>90</v>
      </c>
    </row>
    <row r="917" spans="1:90" x14ac:dyDescent="0.3">
      <c r="A917" t="s">
        <v>72</v>
      </c>
      <c r="B917" t="s">
        <v>73</v>
      </c>
      <c r="C917" t="s">
        <v>74</v>
      </c>
      <c r="E917" t="str">
        <f>"080067083041"</f>
        <v>080067083041</v>
      </c>
      <c r="F917" s="3">
        <v>45876</v>
      </c>
      <c r="G917">
        <v>202605</v>
      </c>
      <c r="H917" t="s">
        <v>75</v>
      </c>
      <c r="I917" t="s">
        <v>76</v>
      </c>
      <c r="J917" t="s">
        <v>77</v>
      </c>
      <c r="K917" t="s">
        <v>78</v>
      </c>
      <c r="L917" t="s">
        <v>1157</v>
      </c>
      <c r="M917" t="s">
        <v>1158</v>
      </c>
      <c r="N917" t="s">
        <v>1159</v>
      </c>
      <c r="O917" t="s">
        <v>82</v>
      </c>
      <c r="P917" t="str">
        <f>"4170053451                    "</f>
        <v xml:space="preserve">4170053451                    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44.73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1</v>
      </c>
      <c r="BI917">
        <v>2</v>
      </c>
      <c r="BJ917">
        <v>0.6</v>
      </c>
      <c r="BK917">
        <v>2</v>
      </c>
      <c r="BL917">
        <v>138.88999999999999</v>
      </c>
      <c r="BM917">
        <v>20.83</v>
      </c>
      <c r="BN917">
        <v>159.72</v>
      </c>
      <c r="BO917">
        <v>159.72</v>
      </c>
      <c r="BQ917" t="s">
        <v>1160</v>
      </c>
      <c r="BR917" t="s">
        <v>84</v>
      </c>
      <c r="BS917" s="3">
        <v>45877</v>
      </c>
      <c r="BT917" s="4">
        <v>0.43402777777777779</v>
      </c>
      <c r="BU917" t="s">
        <v>1161</v>
      </c>
      <c r="BV917" t="s">
        <v>86</v>
      </c>
      <c r="BY917">
        <v>3192</v>
      </c>
      <c r="CA917" t="s">
        <v>1654</v>
      </c>
      <c r="CC917" t="s">
        <v>1158</v>
      </c>
      <c r="CD917">
        <v>2302</v>
      </c>
      <c r="CE917" t="s">
        <v>147</v>
      </c>
      <c r="CF917" s="3">
        <v>45877</v>
      </c>
      <c r="CI917">
        <v>1</v>
      </c>
      <c r="CJ917">
        <v>1</v>
      </c>
      <c r="CK917">
        <v>23</v>
      </c>
      <c r="CL917" t="s">
        <v>90</v>
      </c>
    </row>
    <row r="918" spans="1:90" x14ac:dyDescent="0.3">
      <c r="A918" t="s">
        <v>72</v>
      </c>
      <c r="B918" t="s">
        <v>73</v>
      </c>
      <c r="C918" t="s">
        <v>74</v>
      </c>
      <c r="E918" t="str">
        <f>"080067083052"</f>
        <v>080067083052</v>
      </c>
      <c r="F918" s="3">
        <v>45876</v>
      </c>
      <c r="G918">
        <v>202605</v>
      </c>
      <c r="H918" t="s">
        <v>75</v>
      </c>
      <c r="I918" t="s">
        <v>76</v>
      </c>
      <c r="J918" t="s">
        <v>77</v>
      </c>
      <c r="K918" t="s">
        <v>78</v>
      </c>
      <c r="L918" t="s">
        <v>162</v>
      </c>
      <c r="M918" t="s">
        <v>163</v>
      </c>
      <c r="N918" t="s">
        <v>764</v>
      </c>
      <c r="O918" t="s">
        <v>82</v>
      </c>
      <c r="P918" t="str">
        <f>"4170053437                    "</f>
        <v xml:space="preserve">4170053437                    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23.09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16.739999999999998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1</v>
      </c>
      <c r="BI918">
        <v>1</v>
      </c>
      <c r="BJ918">
        <v>0.2</v>
      </c>
      <c r="BK918">
        <v>1</v>
      </c>
      <c r="BL918">
        <v>88.43</v>
      </c>
      <c r="BM918">
        <v>13.26</v>
      </c>
      <c r="BN918">
        <v>101.69</v>
      </c>
      <c r="BO918">
        <v>101.69</v>
      </c>
      <c r="BQ918" t="s">
        <v>765</v>
      </c>
      <c r="BR918" t="s">
        <v>84</v>
      </c>
      <c r="BS918" s="3">
        <v>45877</v>
      </c>
      <c r="BT918" s="4">
        <v>0.41666666666666669</v>
      </c>
      <c r="BU918" t="s">
        <v>766</v>
      </c>
      <c r="BV918" t="s">
        <v>86</v>
      </c>
      <c r="BY918">
        <v>1200</v>
      </c>
      <c r="BZ918" t="s">
        <v>30</v>
      </c>
      <c r="CA918" t="s">
        <v>593</v>
      </c>
      <c r="CC918" t="s">
        <v>163</v>
      </c>
      <c r="CD918">
        <v>3699</v>
      </c>
      <c r="CE918" t="s">
        <v>109</v>
      </c>
      <c r="CF918" s="3">
        <v>45880</v>
      </c>
      <c r="CI918">
        <v>1</v>
      </c>
      <c r="CJ918">
        <v>1</v>
      </c>
      <c r="CK918">
        <v>21</v>
      </c>
      <c r="CL918" t="s">
        <v>90</v>
      </c>
    </row>
    <row r="919" spans="1:90" x14ac:dyDescent="0.3">
      <c r="A919" t="s">
        <v>72</v>
      </c>
      <c r="B919" t="s">
        <v>73</v>
      </c>
      <c r="C919" t="s">
        <v>74</v>
      </c>
      <c r="E919" t="str">
        <f>"080067083059"</f>
        <v>080067083059</v>
      </c>
      <c r="F919" s="3">
        <v>45876</v>
      </c>
      <c r="G919">
        <v>202605</v>
      </c>
      <c r="H919" t="s">
        <v>75</v>
      </c>
      <c r="I919" t="s">
        <v>76</v>
      </c>
      <c r="J919" t="s">
        <v>77</v>
      </c>
      <c r="K919" t="s">
        <v>78</v>
      </c>
      <c r="L919" t="s">
        <v>278</v>
      </c>
      <c r="M919" t="s">
        <v>279</v>
      </c>
      <c r="N919" t="s">
        <v>1689</v>
      </c>
      <c r="O919" t="s">
        <v>82</v>
      </c>
      <c r="P919" t="str">
        <f>"4170053443                    "</f>
        <v xml:space="preserve">4170053443                    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23.09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1</v>
      </c>
      <c r="BI919">
        <v>1</v>
      </c>
      <c r="BJ919">
        <v>1.1000000000000001</v>
      </c>
      <c r="BK919">
        <v>1.5</v>
      </c>
      <c r="BL919">
        <v>71.69</v>
      </c>
      <c r="BM919">
        <v>10.75</v>
      </c>
      <c r="BN919">
        <v>82.44</v>
      </c>
      <c r="BO919">
        <v>82.44</v>
      </c>
      <c r="BQ919" t="s">
        <v>1690</v>
      </c>
      <c r="BR919" t="s">
        <v>84</v>
      </c>
      <c r="BS919" s="3">
        <v>45877</v>
      </c>
      <c r="BT919" s="4">
        <v>0.35694444444444445</v>
      </c>
      <c r="BU919" t="s">
        <v>1691</v>
      </c>
      <c r="BV919" t="s">
        <v>86</v>
      </c>
      <c r="BY919">
        <v>5320</v>
      </c>
      <c r="CA919" t="s">
        <v>511</v>
      </c>
      <c r="CC919" t="s">
        <v>279</v>
      </c>
      <c r="CD919" s="5" t="s">
        <v>962</v>
      </c>
      <c r="CE919" t="s">
        <v>147</v>
      </c>
      <c r="CF919" s="3">
        <v>45880</v>
      </c>
      <c r="CI919">
        <v>1</v>
      </c>
      <c r="CJ919">
        <v>1</v>
      </c>
      <c r="CK919">
        <v>21</v>
      </c>
      <c r="CL919" t="s">
        <v>90</v>
      </c>
    </row>
    <row r="920" spans="1:90" x14ac:dyDescent="0.3">
      <c r="A920" t="s">
        <v>72</v>
      </c>
      <c r="B920" t="s">
        <v>73</v>
      </c>
      <c r="C920" t="s">
        <v>74</v>
      </c>
      <c r="E920" t="str">
        <f>"080067083066"</f>
        <v>080067083066</v>
      </c>
      <c r="F920" s="3">
        <v>45876</v>
      </c>
      <c r="G920">
        <v>202605</v>
      </c>
      <c r="H920" t="s">
        <v>75</v>
      </c>
      <c r="I920" t="s">
        <v>76</v>
      </c>
      <c r="J920" t="s">
        <v>77</v>
      </c>
      <c r="K920" t="s">
        <v>78</v>
      </c>
      <c r="L920" t="s">
        <v>241</v>
      </c>
      <c r="M920" t="s">
        <v>242</v>
      </c>
      <c r="N920" t="s">
        <v>1566</v>
      </c>
      <c r="O920" t="s">
        <v>82</v>
      </c>
      <c r="P920" t="str">
        <f>"4170053430                    "</f>
        <v xml:space="preserve">4170053430                    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18.03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1</v>
      </c>
      <c r="BI920">
        <v>1</v>
      </c>
      <c r="BJ920">
        <v>0.2</v>
      </c>
      <c r="BK920">
        <v>1</v>
      </c>
      <c r="BL920">
        <v>55.99</v>
      </c>
      <c r="BM920">
        <v>8.4</v>
      </c>
      <c r="BN920">
        <v>64.39</v>
      </c>
      <c r="BO920">
        <v>64.39</v>
      </c>
      <c r="BQ920" t="s">
        <v>1567</v>
      </c>
      <c r="BR920" t="s">
        <v>84</v>
      </c>
      <c r="BS920" s="3">
        <v>45877</v>
      </c>
      <c r="BT920" s="4">
        <v>0.39930555555555558</v>
      </c>
      <c r="BU920" t="s">
        <v>1568</v>
      </c>
      <c r="BV920" t="s">
        <v>86</v>
      </c>
      <c r="BY920">
        <v>1200</v>
      </c>
      <c r="CA920" t="s">
        <v>720</v>
      </c>
      <c r="CC920" t="s">
        <v>242</v>
      </c>
      <c r="CD920">
        <v>1459</v>
      </c>
      <c r="CE920" t="s">
        <v>109</v>
      </c>
      <c r="CF920" s="3">
        <v>45877</v>
      </c>
      <c r="CI920">
        <v>1</v>
      </c>
      <c r="CJ920">
        <v>1</v>
      </c>
      <c r="CK920">
        <v>22</v>
      </c>
      <c r="CL920" t="s">
        <v>90</v>
      </c>
    </row>
    <row r="921" spans="1:90" x14ac:dyDescent="0.3">
      <c r="A921" t="s">
        <v>72</v>
      </c>
      <c r="B921" t="s">
        <v>73</v>
      </c>
      <c r="C921" t="s">
        <v>74</v>
      </c>
      <c r="E921" t="str">
        <f>"080067083078"</f>
        <v>080067083078</v>
      </c>
      <c r="F921" s="3">
        <v>45876</v>
      </c>
      <c r="G921">
        <v>202605</v>
      </c>
      <c r="H921" t="s">
        <v>75</v>
      </c>
      <c r="I921" t="s">
        <v>76</v>
      </c>
      <c r="J921" t="s">
        <v>77</v>
      </c>
      <c r="K921" t="s">
        <v>78</v>
      </c>
      <c r="L921" t="s">
        <v>1003</v>
      </c>
      <c r="M921" t="s">
        <v>1004</v>
      </c>
      <c r="N921" t="s">
        <v>1692</v>
      </c>
      <c r="O921" t="s">
        <v>82</v>
      </c>
      <c r="P921" t="str">
        <f>"4170053468                    "</f>
        <v xml:space="preserve">4170053468                    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44.73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1</v>
      </c>
      <c r="BI921">
        <v>1</v>
      </c>
      <c r="BJ921">
        <v>0.2</v>
      </c>
      <c r="BK921">
        <v>1</v>
      </c>
      <c r="BL921">
        <v>138.88999999999999</v>
      </c>
      <c r="BM921">
        <v>20.83</v>
      </c>
      <c r="BN921">
        <v>159.72</v>
      </c>
      <c r="BO921">
        <v>159.72</v>
      </c>
      <c r="BQ921" t="s">
        <v>1693</v>
      </c>
      <c r="BR921" t="s">
        <v>84</v>
      </c>
      <c r="BS921" s="3">
        <v>45880</v>
      </c>
      <c r="BT921" s="4">
        <v>0.41666666666666669</v>
      </c>
      <c r="BU921" t="s">
        <v>1694</v>
      </c>
      <c r="BV921" t="s">
        <v>90</v>
      </c>
      <c r="BY921">
        <v>1200</v>
      </c>
      <c r="CC921" t="s">
        <v>1004</v>
      </c>
      <c r="CD921">
        <v>3310</v>
      </c>
      <c r="CE921" t="s">
        <v>109</v>
      </c>
      <c r="CF921" s="3">
        <v>45881</v>
      </c>
      <c r="CI921">
        <v>1</v>
      </c>
      <c r="CJ921">
        <v>2</v>
      </c>
      <c r="CK921">
        <v>23</v>
      </c>
      <c r="CL921" t="s">
        <v>90</v>
      </c>
    </row>
    <row r="922" spans="1:90" x14ac:dyDescent="0.3">
      <c r="A922" t="s">
        <v>72</v>
      </c>
      <c r="B922" t="s">
        <v>73</v>
      </c>
      <c r="C922" t="s">
        <v>74</v>
      </c>
      <c r="E922" t="str">
        <f>"080067083079"</f>
        <v>080067083079</v>
      </c>
      <c r="F922" s="3">
        <v>45876</v>
      </c>
      <c r="G922">
        <v>202605</v>
      </c>
      <c r="H922" t="s">
        <v>75</v>
      </c>
      <c r="I922" t="s">
        <v>76</v>
      </c>
      <c r="J922" t="s">
        <v>77</v>
      </c>
      <c r="K922" t="s">
        <v>78</v>
      </c>
      <c r="L922" t="s">
        <v>373</v>
      </c>
      <c r="M922" t="s">
        <v>374</v>
      </c>
      <c r="N922" t="s">
        <v>1695</v>
      </c>
      <c r="O922" t="s">
        <v>82</v>
      </c>
      <c r="P922" t="str">
        <f>"4170053421                    "</f>
        <v xml:space="preserve">4170053421                    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121.12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1</v>
      </c>
      <c r="BI922">
        <v>7</v>
      </c>
      <c r="BJ922">
        <v>10.3</v>
      </c>
      <c r="BK922">
        <v>10.5</v>
      </c>
      <c r="BL922">
        <v>376.1</v>
      </c>
      <c r="BM922">
        <v>56.42</v>
      </c>
      <c r="BN922">
        <v>432.52</v>
      </c>
      <c r="BO922">
        <v>432.52</v>
      </c>
      <c r="BQ922" t="s">
        <v>1696</v>
      </c>
      <c r="BR922" t="s">
        <v>84</v>
      </c>
      <c r="BS922" s="3">
        <v>45877</v>
      </c>
      <c r="BT922" s="4">
        <v>0.43125000000000002</v>
      </c>
      <c r="BU922" t="s">
        <v>1697</v>
      </c>
      <c r="BV922" t="s">
        <v>86</v>
      </c>
      <c r="BY922">
        <v>51480</v>
      </c>
      <c r="CA922" t="s">
        <v>203</v>
      </c>
      <c r="CC922" t="s">
        <v>374</v>
      </c>
      <c r="CD922">
        <v>6220</v>
      </c>
      <c r="CE922" t="s">
        <v>147</v>
      </c>
      <c r="CF922" s="3">
        <v>45877</v>
      </c>
      <c r="CI922">
        <v>1</v>
      </c>
      <c r="CJ922">
        <v>1</v>
      </c>
      <c r="CK922">
        <v>21</v>
      </c>
      <c r="CL922" t="s">
        <v>90</v>
      </c>
    </row>
    <row r="923" spans="1:90" x14ac:dyDescent="0.3">
      <c r="A923" t="s">
        <v>72</v>
      </c>
      <c r="B923" t="s">
        <v>73</v>
      </c>
      <c r="C923" t="s">
        <v>74</v>
      </c>
      <c r="E923" t="str">
        <f>"080067083088"</f>
        <v>080067083088</v>
      </c>
      <c r="F923" s="3">
        <v>45876</v>
      </c>
      <c r="G923">
        <v>202605</v>
      </c>
      <c r="H923" t="s">
        <v>75</v>
      </c>
      <c r="I923" t="s">
        <v>76</v>
      </c>
      <c r="J923" t="s">
        <v>77</v>
      </c>
      <c r="K923" t="s">
        <v>78</v>
      </c>
      <c r="L923" t="s">
        <v>118</v>
      </c>
      <c r="M923" t="s">
        <v>118</v>
      </c>
      <c r="N923" t="s">
        <v>119</v>
      </c>
      <c r="O923" t="s">
        <v>82</v>
      </c>
      <c r="P923" t="str">
        <f>"4170053535                    "</f>
        <v xml:space="preserve">4170053535                    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44.73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0</v>
      </c>
      <c r="BF923">
        <v>0</v>
      </c>
      <c r="BG923">
        <v>0</v>
      </c>
      <c r="BH923">
        <v>1</v>
      </c>
      <c r="BI923">
        <v>1</v>
      </c>
      <c r="BJ923">
        <v>0.2</v>
      </c>
      <c r="BK923">
        <v>1</v>
      </c>
      <c r="BL923">
        <v>138.88999999999999</v>
      </c>
      <c r="BM923">
        <v>20.83</v>
      </c>
      <c r="BN923">
        <v>159.72</v>
      </c>
      <c r="BO923">
        <v>159.72</v>
      </c>
      <c r="BQ923" t="s">
        <v>120</v>
      </c>
      <c r="BR923" t="s">
        <v>84</v>
      </c>
      <c r="BS923" s="3">
        <v>45877</v>
      </c>
      <c r="BT923" s="4">
        <v>0.54097222222222219</v>
      </c>
      <c r="BU923" t="s">
        <v>1419</v>
      </c>
      <c r="BV923" t="s">
        <v>86</v>
      </c>
      <c r="BY923">
        <v>1200</v>
      </c>
      <c r="CA923" t="s">
        <v>1420</v>
      </c>
      <c r="CC923" t="s">
        <v>118</v>
      </c>
      <c r="CD923">
        <v>7646</v>
      </c>
      <c r="CE923" t="s">
        <v>109</v>
      </c>
      <c r="CF923" s="3">
        <v>45880</v>
      </c>
      <c r="CI923">
        <v>1</v>
      </c>
      <c r="CJ923">
        <v>1</v>
      </c>
      <c r="CK923">
        <v>23</v>
      </c>
      <c r="CL923" t="s">
        <v>90</v>
      </c>
    </row>
    <row r="924" spans="1:90" x14ac:dyDescent="0.3">
      <c r="A924" t="s">
        <v>72</v>
      </c>
      <c r="B924" t="s">
        <v>73</v>
      </c>
      <c r="C924" t="s">
        <v>74</v>
      </c>
      <c r="E924" t="str">
        <f>"080067083093"</f>
        <v>080067083093</v>
      </c>
      <c r="F924" s="3">
        <v>45876</v>
      </c>
      <c r="G924">
        <v>202605</v>
      </c>
      <c r="H924" t="s">
        <v>75</v>
      </c>
      <c r="I924" t="s">
        <v>76</v>
      </c>
      <c r="J924" t="s">
        <v>77</v>
      </c>
      <c r="K924" t="s">
        <v>78</v>
      </c>
      <c r="L924" t="s">
        <v>162</v>
      </c>
      <c r="M924" t="s">
        <v>163</v>
      </c>
      <c r="N924" t="s">
        <v>902</v>
      </c>
      <c r="O924" t="s">
        <v>82</v>
      </c>
      <c r="P924" t="str">
        <f>"4170053392                    "</f>
        <v xml:space="preserve">4170053392                    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138.41999999999999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1</v>
      </c>
      <c r="BI924">
        <v>6</v>
      </c>
      <c r="BJ924">
        <v>11.8</v>
      </c>
      <c r="BK924">
        <v>12</v>
      </c>
      <c r="BL924">
        <v>429.82</v>
      </c>
      <c r="BM924">
        <v>64.47</v>
      </c>
      <c r="BN924">
        <v>494.29</v>
      </c>
      <c r="BO924">
        <v>494.29</v>
      </c>
      <c r="BQ924" t="s">
        <v>903</v>
      </c>
      <c r="BR924" t="s">
        <v>84</v>
      </c>
      <c r="BS924" s="3">
        <v>45877</v>
      </c>
      <c r="BT924" s="4">
        <v>0.41666666666666669</v>
      </c>
      <c r="BU924" t="s">
        <v>1698</v>
      </c>
      <c r="BV924" t="s">
        <v>86</v>
      </c>
      <c r="BY924">
        <v>58800</v>
      </c>
      <c r="CA924" t="s">
        <v>919</v>
      </c>
      <c r="CC924" t="s">
        <v>163</v>
      </c>
      <c r="CD924">
        <v>3201</v>
      </c>
      <c r="CE924" t="s">
        <v>117</v>
      </c>
      <c r="CF924" s="3">
        <v>45880</v>
      </c>
      <c r="CI924">
        <v>1</v>
      </c>
      <c r="CJ924">
        <v>1</v>
      </c>
      <c r="CK924">
        <v>21</v>
      </c>
      <c r="CL924" t="s">
        <v>90</v>
      </c>
    </row>
    <row r="925" spans="1:90" x14ac:dyDescent="0.3">
      <c r="A925" t="s">
        <v>72</v>
      </c>
      <c r="B925" t="s">
        <v>73</v>
      </c>
      <c r="C925" t="s">
        <v>74</v>
      </c>
      <c r="E925" t="str">
        <f>"080067083099"</f>
        <v>080067083099</v>
      </c>
      <c r="F925" s="3">
        <v>45876</v>
      </c>
      <c r="G925">
        <v>202605</v>
      </c>
      <c r="H925" t="s">
        <v>75</v>
      </c>
      <c r="I925" t="s">
        <v>76</v>
      </c>
      <c r="J925" t="s">
        <v>77</v>
      </c>
      <c r="K925" t="s">
        <v>78</v>
      </c>
      <c r="L925" t="s">
        <v>75</v>
      </c>
      <c r="M925" t="s">
        <v>76</v>
      </c>
      <c r="N925" t="s">
        <v>152</v>
      </c>
      <c r="O925" t="s">
        <v>82</v>
      </c>
      <c r="P925" t="str">
        <f>"4170053475                    "</f>
        <v xml:space="preserve">4170053475                    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>
        <v>18.03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1</v>
      </c>
      <c r="BI925">
        <v>1</v>
      </c>
      <c r="BJ925">
        <v>0.2</v>
      </c>
      <c r="BK925">
        <v>1</v>
      </c>
      <c r="BL925">
        <v>55.99</v>
      </c>
      <c r="BM925">
        <v>8.4</v>
      </c>
      <c r="BN925">
        <v>64.39</v>
      </c>
      <c r="BO925">
        <v>64.39</v>
      </c>
      <c r="BQ925" t="s">
        <v>153</v>
      </c>
      <c r="BR925" t="s">
        <v>84</v>
      </c>
      <c r="BS925" s="3">
        <v>45877</v>
      </c>
      <c r="BT925" s="4">
        <v>0.32291666666666669</v>
      </c>
      <c r="BU925" t="s">
        <v>1699</v>
      </c>
      <c r="BV925" t="s">
        <v>86</v>
      </c>
      <c r="BY925">
        <v>1200</v>
      </c>
      <c r="CA925" t="s">
        <v>1650</v>
      </c>
      <c r="CC925" t="s">
        <v>76</v>
      </c>
      <c r="CD925">
        <v>1600</v>
      </c>
      <c r="CE925" t="s">
        <v>109</v>
      </c>
      <c r="CF925" s="3">
        <v>45877</v>
      </c>
      <c r="CI925">
        <v>1</v>
      </c>
      <c r="CJ925">
        <v>1</v>
      </c>
      <c r="CK925">
        <v>22</v>
      </c>
      <c r="CL925" t="s">
        <v>90</v>
      </c>
    </row>
    <row r="926" spans="1:90" x14ac:dyDescent="0.3">
      <c r="A926" t="s">
        <v>72</v>
      </c>
      <c r="B926" t="s">
        <v>73</v>
      </c>
      <c r="C926" t="s">
        <v>74</v>
      </c>
      <c r="E926" t="str">
        <f>"080067083122"</f>
        <v>080067083122</v>
      </c>
      <c r="F926" s="3">
        <v>45876</v>
      </c>
      <c r="G926">
        <v>202605</v>
      </c>
      <c r="H926" t="s">
        <v>75</v>
      </c>
      <c r="I926" t="s">
        <v>76</v>
      </c>
      <c r="J926" t="s">
        <v>77</v>
      </c>
      <c r="K926" t="s">
        <v>78</v>
      </c>
      <c r="L926" t="s">
        <v>217</v>
      </c>
      <c r="M926" t="s">
        <v>218</v>
      </c>
      <c r="N926" t="s">
        <v>249</v>
      </c>
      <c r="O926" t="s">
        <v>82</v>
      </c>
      <c r="P926" t="str">
        <f>"4170053484                    "</f>
        <v xml:space="preserve">4170053484                    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23.09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1</v>
      </c>
      <c r="BI926">
        <v>1</v>
      </c>
      <c r="BJ926">
        <v>0.2</v>
      </c>
      <c r="BK926">
        <v>1</v>
      </c>
      <c r="BL926">
        <v>71.69</v>
      </c>
      <c r="BM926">
        <v>10.75</v>
      </c>
      <c r="BN926">
        <v>82.44</v>
      </c>
      <c r="BO926">
        <v>82.44</v>
      </c>
      <c r="BQ926" t="s">
        <v>250</v>
      </c>
      <c r="BR926" t="s">
        <v>84</v>
      </c>
      <c r="BS926" s="3">
        <v>45877</v>
      </c>
      <c r="BT926" s="4">
        <v>0.5493055555555556</v>
      </c>
      <c r="BU926" t="s">
        <v>787</v>
      </c>
      <c r="BV926" t="s">
        <v>90</v>
      </c>
      <c r="BW926" t="s">
        <v>134</v>
      </c>
      <c r="BX926" t="s">
        <v>1573</v>
      </c>
      <c r="BY926">
        <v>1200</v>
      </c>
      <c r="CA926" t="s">
        <v>136</v>
      </c>
      <c r="CC926" t="s">
        <v>218</v>
      </c>
      <c r="CD926">
        <v>4052</v>
      </c>
      <c r="CE926" t="s">
        <v>109</v>
      </c>
      <c r="CF926" s="3">
        <v>45877</v>
      </c>
      <c r="CI926">
        <v>1</v>
      </c>
      <c r="CJ926">
        <v>1</v>
      </c>
      <c r="CK926">
        <v>21</v>
      </c>
      <c r="CL926" t="s">
        <v>90</v>
      </c>
    </row>
    <row r="927" spans="1:90" x14ac:dyDescent="0.3">
      <c r="A927" t="s">
        <v>72</v>
      </c>
      <c r="B927" t="s">
        <v>73</v>
      </c>
      <c r="C927" t="s">
        <v>74</v>
      </c>
      <c r="E927" t="str">
        <f>"080067083136"</f>
        <v>080067083136</v>
      </c>
      <c r="F927" s="3">
        <v>45876</v>
      </c>
      <c r="G927">
        <v>202605</v>
      </c>
      <c r="H927" t="s">
        <v>75</v>
      </c>
      <c r="I927" t="s">
        <v>76</v>
      </c>
      <c r="J927" t="s">
        <v>77</v>
      </c>
      <c r="K927" t="s">
        <v>78</v>
      </c>
      <c r="L927" t="s">
        <v>118</v>
      </c>
      <c r="M927" t="s">
        <v>118</v>
      </c>
      <c r="N927" t="s">
        <v>119</v>
      </c>
      <c r="O927" t="s">
        <v>82</v>
      </c>
      <c r="P927" t="str">
        <f>"4170053523                    "</f>
        <v xml:space="preserve">4170053523                    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44.73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1</v>
      </c>
      <c r="BI927">
        <v>1</v>
      </c>
      <c r="BJ927">
        <v>0.2</v>
      </c>
      <c r="BK927">
        <v>1</v>
      </c>
      <c r="BL927">
        <v>138.88999999999999</v>
      </c>
      <c r="BM927">
        <v>20.83</v>
      </c>
      <c r="BN927">
        <v>159.72</v>
      </c>
      <c r="BO927">
        <v>159.72</v>
      </c>
      <c r="BQ927" t="s">
        <v>120</v>
      </c>
      <c r="BR927" t="s">
        <v>84</v>
      </c>
      <c r="BS927" s="3">
        <v>45877</v>
      </c>
      <c r="BT927" s="4">
        <v>0.54097222222222219</v>
      </c>
      <c r="BU927" t="s">
        <v>1419</v>
      </c>
      <c r="BV927" t="s">
        <v>86</v>
      </c>
      <c r="BY927">
        <v>1200</v>
      </c>
      <c r="CA927" t="s">
        <v>1420</v>
      </c>
      <c r="CC927" t="s">
        <v>118</v>
      </c>
      <c r="CD927">
        <v>7646</v>
      </c>
      <c r="CE927" t="s">
        <v>109</v>
      </c>
      <c r="CF927" s="3">
        <v>45880</v>
      </c>
      <c r="CI927">
        <v>1</v>
      </c>
      <c r="CJ927">
        <v>1</v>
      </c>
      <c r="CK927">
        <v>23</v>
      </c>
      <c r="CL927" t="s">
        <v>90</v>
      </c>
    </row>
    <row r="928" spans="1:90" x14ac:dyDescent="0.3">
      <c r="A928" t="s">
        <v>72</v>
      </c>
      <c r="B928" t="s">
        <v>73</v>
      </c>
      <c r="C928" t="s">
        <v>74</v>
      </c>
      <c r="E928" t="str">
        <f>"080067083152"</f>
        <v>080067083152</v>
      </c>
      <c r="F928" s="3">
        <v>45876</v>
      </c>
      <c r="G928">
        <v>202605</v>
      </c>
      <c r="H928" t="s">
        <v>75</v>
      </c>
      <c r="I928" t="s">
        <v>76</v>
      </c>
      <c r="J928" t="s">
        <v>77</v>
      </c>
      <c r="K928" t="s">
        <v>78</v>
      </c>
      <c r="L928" t="s">
        <v>123</v>
      </c>
      <c r="M928" t="s">
        <v>124</v>
      </c>
      <c r="N928" t="s">
        <v>406</v>
      </c>
      <c r="O928" t="s">
        <v>82</v>
      </c>
      <c r="P928" t="str">
        <f>"4170053480                    "</f>
        <v xml:space="preserve">4170053480                    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23.09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1</v>
      </c>
      <c r="BI928">
        <v>1</v>
      </c>
      <c r="BJ928">
        <v>0.2</v>
      </c>
      <c r="BK928">
        <v>1</v>
      </c>
      <c r="BL928">
        <v>71.69</v>
      </c>
      <c r="BM928">
        <v>10.75</v>
      </c>
      <c r="BN928">
        <v>82.44</v>
      </c>
      <c r="BO928">
        <v>82.44</v>
      </c>
      <c r="BQ928" t="s">
        <v>407</v>
      </c>
      <c r="BR928" t="s">
        <v>84</v>
      </c>
      <c r="BS928" s="3">
        <v>45877</v>
      </c>
      <c r="BT928" s="4">
        <v>0.4375</v>
      </c>
      <c r="BU928" t="s">
        <v>408</v>
      </c>
      <c r="BV928" t="s">
        <v>86</v>
      </c>
      <c r="BY928">
        <v>1200</v>
      </c>
      <c r="CA928" t="s">
        <v>192</v>
      </c>
      <c r="CC928" t="s">
        <v>124</v>
      </c>
      <c r="CD928">
        <v>7441</v>
      </c>
      <c r="CE928" t="s">
        <v>109</v>
      </c>
      <c r="CF928" s="3">
        <v>45880</v>
      </c>
      <c r="CI928">
        <v>1</v>
      </c>
      <c r="CJ928">
        <v>1</v>
      </c>
      <c r="CK928">
        <v>21</v>
      </c>
      <c r="CL928" t="s">
        <v>90</v>
      </c>
    </row>
    <row r="929" spans="1:90" x14ac:dyDescent="0.3">
      <c r="A929" t="s">
        <v>72</v>
      </c>
      <c r="B929" t="s">
        <v>73</v>
      </c>
      <c r="C929" t="s">
        <v>74</v>
      </c>
      <c r="E929" t="str">
        <f>"080067083170"</f>
        <v>080067083170</v>
      </c>
      <c r="F929" s="3">
        <v>45876</v>
      </c>
      <c r="G929">
        <v>202605</v>
      </c>
      <c r="H929" t="s">
        <v>75</v>
      </c>
      <c r="I929" t="s">
        <v>76</v>
      </c>
      <c r="J929" t="s">
        <v>77</v>
      </c>
      <c r="K929" t="s">
        <v>78</v>
      </c>
      <c r="L929" t="s">
        <v>325</v>
      </c>
      <c r="M929" t="s">
        <v>326</v>
      </c>
      <c r="N929" t="s">
        <v>1700</v>
      </c>
      <c r="O929" t="s">
        <v>82</v>
      </c>
      <c r="P929" t="str">
        <f>"4170053456                    "</f>
        <v xml:space="preserve">4170053456                    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18.03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16.739999999999998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1</v>
      </c>
      <c r="BI929">
        <v>1</v>
      </c>
      <c r="BJ929">
        <v>0.2</v>
      </c>
      <c r="BK929">
        <v>1</v>
      </c>
      <c r="BL929">
        <v>72.73</v>
      </c>
      <c r="BM929">
        <v>10.91</v>
      </c>
      <c r="BN929">
        <v>83.64</v>
      </c>
      <c r="BO929">
        <v>83.64</v>
      </c>
      <c r="BQ929" t="s">
        <v>1701</v>
      </c>
      <c r="BR929" t="s">
        <v>84</v>
      </c>
      <c r="BS929" s="3">
        <v>45877</v>
      </c>
      <c r="BT929" s="4">
        <v>0.39583333333333331</v>
      </c>
      <c r="BU929" t="s">
        <v>1702</v>
      </c>
      <c r="BV929" t="s">
        <v>86</v>
      </c>
      <c r="BY929">
        <v>1200</v>
      </c>
      <c r="BZ929" t="s">
        <v>30</v>
      </c>
      <c r="CA929" t="s">
        <v>116</v>
      </c>
      <c r="CC929" t="s">
        <v>326</v>
      </c>
      <c r="CD929">
        <v>2188</v>
      </c>
      <c r="CE929" t="s">
        <v>109</v>
      </c>
      <c r="CF929" s="3">
        <v>45877</v>
      </c>
      <c r="CI929">
        <v>1</v>
      </c>
      <c r="CJ929">
        <v>1</v>
      </c>
      <c r="CK929">
        <v>22</v>
      </c>
      <c r="CL929" t="s">
        <v>90</v>
      </c>
    </row>
    <row r="930" spans="1:90" x14ac:dyDescent="0.3">
      <c r="A930" t="s">
        <v>72</v>
      </c>
      <c r="B930" t="s">
        <v>73</v>
      </c>
      <c r="C930" t="s">
        <v>74</v>
      </c>
      <c r="E930" t="str">
        <f>"080067083194"</f>
        <v>080067083194</v>
      </c>
      <c r="F930" s="3">
        <v>45876</v>
      </c>
      <c r="G930">
        <v>202605</v>
      </c>
      <c r="H930" t="s">
        <v>75</v>
      </c>
      <c r="I930" t="s">
        <v>76</v>
      </c>
      <c r="J930" t="s">
        <v>77</v>
      </c>
      <c r="K930" t="s">
        <v>78</v>
      </c>
      <c r="L930" t="s">
        <v>452</v>
      </c>
      <c r="M930" t="s">
        <v>453</v>
      </c>
      <c r="N930" t="s">
        <v>1684</v>
      </c>
      <c r="O930" t="s">
        <v>82</v>
      </c>
      <c r="P930" t="str">
        <f>"4170053429                    "</f>
        <v xml:space="preserve">4170053429                    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44.73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1</v>
      </c>
      <c r="BI930">
        <v>1</v>
      </c>
      <c r="BJ930">
        <v>0.2</v>
      </c>
      <c r="BK930">
        <v>1</v>
      </c>
      <c r="BL930">
        <v>138.88999999999999</v>
      </c>
      <c r="BM930">
        <v>20.83</v>
      </c>
      <c r="BN930">
        <v>159.72</v>
      </c>
      <c r="BO930">
        <v>159.72</v>
      </c>
      <c r="BQ930" t="s">
        <v>1685</v>
      </c>
      <c r="BR930" t="s">
        <v>84</v>
      </c>
      <c r="BS930" s="3">
        <v>45877</v>
      </c>
      <c r="BT930" s="4">
        <v>0.37986111111111109</v>
      </c>
      <c r="BU930" t="s">
        <v>1686</v>
      </c>
      <c r="BV930" t="s">
        <v>86</v>
      </c>
      <c r="BY930">
        <v>1200</v>
      </c>
      <c r="CA930" t="s">
        <v>484</v>
      </c>
      <c r="CC930" t="s">
        <v>453</v>
      </c>
      <c r="CD930">
        <v>1947</v>
      </c>
      <c r="CE930" t="s">
        <v>109</v>
      </c>
      <c r="CF930" s="3">
        <v>45880</v>
      </c>
      <c r="CI930">
        <v>1</v>
      </c>
      <c r="CJ930">
        <v>1</v>
      </c>
      <c r="CK930">
        <v>23</v>
      </c>
      <c r="CL930" t="s">
        <v>90</v>
      </c>
    </row>
    <row r="931" spans="1:90" x14ac:dyDescent="0.3">
      <c r="A931" t="s">
        <v>72</v>
      </c>
      <c r="B931" t="s">
        <v>73</v>
      </c>
      <c r="C931" t="s">
        <v>74</v>
      </c>
      <c r="E931" t="str">
        <f>"080067083220"</f>
        <v>080067083220</v>
      </c>
      <c r="F931" s="3">
        <v>45876</v>
      </c>
      <c r="G931">
        <v>202605</v>
      </c>
      <c r="H931" t="s">
        <v>75</v>
      </c>
      <c r="I931" t="s">
        <v>76</v>
      </c>
      <c r="J931" t="s">
        <v>77</v>
      </c>
      <c r="K931" t="s">
        <v>78</v>
      </c>
      <c r="L931" t="s">
        <v>75</v>
      </c>
      <c r="M931" t="s">
        <v>76</v>
      </c>
      <c r="N931" t="s">
        <v>1703</v>
      </c>
      <c r="O931" t="s">
        <v>82</v>
      </c>
      <c r="P931" t="str">
        <f>"4170053483                    "</f>
        <v xml:space="preserve">4170053483                    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18.03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1</v>
      </c>
      <c r="BI931">
        <v>1</v>
      </c>
      <c r="BJ931">
        <v>0.2</v>
      </c>
      <c r="BK931">
        <v>1</v>
      </c>
      <c r="BL931">
        <v>55.99</v>
      </c>
      <c r="BM931">
        <v>8.4</v>
      </c>
      <c r="BN931">
        <v>64.39</v>
      </c>
      <c r="BO931">
        <v>64.39</v>
      </c>
      <c r="BQ931" t="s">
        <v>1704</v>
      </c>
      <c r="BR931" t="s">
        <v>84</v>
      </c>
      <c r="BS931" s="3">
        <v>45880</v>
      </c>
      <c r="BT931" s="4">
        <v>0.36805555555555558</v>
      </c>
      <c r="BU931" t="s">
        <v>1705</v>
      </c>
      <c r="BV931" t="s">
        <v>90</v>
      </c>
      <c r="BW931" t="s">
        <v>1167</v>
      </c>
      <c r="BX931" t="s">
        <v>1706</v>
      </c>
      <c r="BY931">
        <v>1200</v>
      </c>
      <c r="CA931" t="s">
        <v>1707</v>
      </c>
      <c r="CC931" t="s">
        <v>76</v>
      </c>
      <c r="CD931">
        <v>1609</v>
      </c>
      <c r="CE931" t="s">
        <v>109</v>
      </c>
      <c r="CF931" s="3">
        <v>45880</v>
      </c>
      <c r="CI931">
        <v>1</v>
      </c>
      <c r="CJ931">
        <v>2</v>
      </c>
      <c r="CK931">
        <v>22</v>
      </c>
      <c r="CL931" t="s">
        <v>90</v>
      </c>
    </row>
    <row r="932" spans="1:90" x14ac:dyDescent="0.3">
      <c r="A932" t="s">
        <v>72</v>
      </c>
      <c r="B932" t="s">
        <v>73</v>
      </c>
      <c r="C932" t="s">
        <v>74</v>
      </c>
      <c r="E932" t="str">
        <f>"080067083230"</f>
        <v>080067083230</v>
      </c>
      <c r="F932" s="3">
        <v>45876</v>
      </c>
      <c r="G932">
        <v>202605</v>
      </c>
      <c r="H932" t="s">
        <v>75</v>
      </c>
      <c r="I932" t="s">
        <v>76</v>
      </c>
      <c r="J932" t="s">
        <v>77</v>
      </c>
      <c r="K932" t="s">
        <v>78</v>
      </c>
      <c r="L932" t="s">
        <v>520</v>
      </c>
      <c r="M932" t="s">
        <v>521</v>
      </c>
      <c r="N932" t="s">
        <v>522</v>
      </c>
      <c r="O932" t="s">
        <v>82</v>
      </c>
      <c r="P932" t="str">
        <f>"4170053500                    "</f>
        <v xml:space="preserve">4170053500                    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44.73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1</v>
      </c>
      <c r="BI932">
        <v>1</v>
      </c>
      <c r="BJ932">
        <v>0.2</v>
      </c>
      <c r="BK932">
        <v>1</v>
      </c>
      <c r="BL932">
        <v>138.88999999999999</v>
      </c>
      <c r="BM932">
        <v>20.83</v>
      </c>
      <c r="BN932">
        <v>159.72</v>
      </c>
      <c r="BO932">
        <v>159.72</v>
      </c>
      <c r="BQ932" t="s">
        <v>523</v>
      </c>
      <c r="BR932" t="s">
        <v>84</v>
      </c>
      <c r="BS932" s="3">
        <v>45877</v>
      </c>
      <c r="BT932" s="4">
        <v>0.43472222222222223</v>
      </c>
      <c r="BU932" t="s">
        <v>1708</v>
      </c>
      <c r="BV932" t="s">
        <v>86</v>
      </c>
      <c r="BY932">
        <v>1200</v>
      </c>
      <c r="CA932" t="s">
        <v>525</v>
      </c>
      <c r="CC932" t="s">
        <v>521</v>
      </c>
      <c r="CD932">
        <v>1871</v>
      </c>
      <c r="CE932" t="s">
        <v>109</v>
      </c>
      <c r="CF932" s="3">
        <v>45880</v>
      </c>
      <c r="CI932">
        <v>1</v>
      </c>
      <c r="CJ932">
        <v>1</v>
      </c>
      <c r="CK932">
        <v>23</v>
      </c>
      <c r="CL932" t="s">
        <v>90</v>
      </c>
    </row>
    <row r="933" spans="1:90" x14ac:dyDescent="0.3">
      <c r="A933" t="s">
        <v>72</v>
      </c>
      <c r="B933" t="s">
        <v>73</v>
      </c>
      <c r="C933" t="s">
        <v>74</v>
      </c>
      <c r="E933" t="str">
        <f>"080067083254"</f>
        <v>080067083254</v>
      </c>
      <c r="F933" s="3">
        <v>45876</v>
      </c>
      <c r="G933">
        <v>202605</v>
      </c>
      <c r="H933" t="s">
        <v>75</v>
      </c>
      <c r="I933" t="s">
        <v>76</v>
      </c>
      <c r="J933" t="s">
        <v>77</v>
      </c>
      <c r="K933" t="s">
        <v>78</v>
      </c>
      <c r="L933" t="s">
        <v>75</v>
      </c>
      <c r="M933" t="s">
        <v>76</v>
      </c>
      <c r="N933" t="s">
        <v>152</v>
      </c>
      <c r="O933" t="s">
        <v>82</v>
      </c>
      <c r="P933" t="str">
        <f>"4170053499                    "</f>
        <v xml:space="preserve">4170053499                    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18.03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1</v>
      </c>
      <c r="BI933">
        <v>1</v>
      </c>
      <c r="BJ933">
        <v>0.2</v>
      </c>
      <c r="BK933">
        <v>1</v>
      </c>
      <c r="BL933">
        <v>55.99</v>
      </c>
      <c r="BM933">
        <v>8.4</v>
      </c>
      <c r="BN933">
        <v>64.39</v>
      </c>
      <c r="BO933">
        <v>64.39</v>
      </c>
      <c r="BQ933" t="s">
        <v>153</v>
      </c>
      <c r="BR933" t="s">
        <v>84</v>
      </c>
      <c r="BS933" s="3">
        <v>45877</v>
      </c>
      <c r="BT933" s="4">
        <v>0.32291666666666669</v>
      </c>
      <c r="BU933" t="s">
        <v>1699</v>
      </c>
      <c r="BV933" t="s">
        <v>86</v>
      </c>
      <c r="BY933">
        <v>1200</v>
      </c>
      <c r="CA933" t="s">
        <v>1650</v>
      </c>
      <c r="CC933" t="s">
        <v>76</v>
      </c>
      <c r="CD933">
        <v>1600</v>
      </c>
      <c r="CE933" t="s">
        <v>109</v>
      </c>
      <c r="CF933" s="3">
        <v>45877</v>
      </c>
      <c r="CI933">
        <v>1</v>
      </c>
      <c r="CJ933">
        <v>1</v>
      </c>
      <c r="CK933">
        <v>22</v>
      </c>
      <c r="CL933" t="s">
        <v>90</v>
      </c>
    </row>
    <row r="934" spans="1:90" x14ac:dyDescent="0.3">
      <c r="A934" t="s">
        <v>72</v>
      </c>
      <c r="B934" t="s">
        <v>73</v>
      </c>
      <c r="C934" t="s">
        <v>74</v>
      </c>
      <c r="E934" t="str">
        <f>"080067083270"</f>
        <v>080067083270</v>
      </c>
      <c r="F934" s="3">
        <v>45876</v>
      </c>
      <c r="G934">
        <v>202605</v>
      </c>
      <c r="H934" t="s">
        <v>75</v>
      </c>
      <c r="I934" t="s">
        <v>76</v>
      </c>
      <c r="J934" t="s">
        <v>77</v>
      </c>
      <c r="K934" t="s">
        <v>78</v>
      </c>
      <c r="L934" t="s">
        <v>255</v>
      </c>
      <c r="M934" t="s">
        <v>256</v>
      </c>
      <c r="N934" t="s">
        <v>884</v>
      </c>
      <c r="O934" t="s">
        <v>82</v>
      </c>
      <c r="P934" t="str">
        <f>"4170053433                    "</f>
        <v xml:space="preserve">4170053433                    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18.03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1</v>
      </c>
      <c r="BI934">
        <v>1</v>
      </c>
      <c r="BJ934">
        <v>0.2</v>
      </c>
      <c r="BK934">
        <v>1</v>
      </c>
      <c r="BL934">
        <v>55.99</v>
      </c>
      <c r="BM934">
        <v>8.4</v>
      </c>
      <c r="BN934">
        <v>64.39</v>
      </c>
      <c r="BO934">
        <v>64.39</v>
      </c>
      <c r="BQ934" t="s">
        <v>885</v>
      </c>
      <c r="BR934" t="s">
        <v>84</v>
      </c>
      <c r="BS934" s="3">
        <v>45877</v>
      </c>
      <c r="BT934" s="4">
        <v>0.43472222222222223</v>
      </c>
      <c r="BU934" t="s">
        <v>1688</v>
      </c>
      <c r="BV934" t="s">
        <v>86</v>
      </c>
      <c r="BY934">
        <v>1200</v>
      </c>
      <c r="CA934" t="s">
        <v>623</v>
      </c>
      <c r="CC934" t="s">
        <v>256</v>
      </c>
      <c r="CD934">
        <v>1502</v>
      </c>
      <c r="CE934" t="s">
        <v>109</v>
      </c>
      <c r="CF934" s="3">
        <v>45878</v>
      </c>
      <c r="CI934">
        <v>1</v>
      </c>
      <c r="CJ934">
        <v>1</v>
      </c>
      <c r="CK934">
        <v>22</v>
      </c>
      <c r="CL934" t="s">
        <v>90</v>
      </c>
    </row>
    <row r="935" spans="1:90" x14ac:dyDescent="0.3">
      <c r="A935" t="s">
        <v>72</v>
      </c>
      <c r="B935" t="s">
        <v>73</v>
      </c>
      <c r="C935" t="s">
        <v>74</v>
      </c>
      <c r="E935" t="str">
        <f>"080067083280"</f>
        <v>080067083280</v>
      </c>
      <c r="F935" s="3">
        <v>45876</v>
      </c>
      <c r="G935">
        <v>202605</v>
      </c>
      <c r="H935" t="s">
        <v>75</v>
      </c>
      <c r="I935" t="s">
        <v>76</v>
      </c>
      <c r="J935" t="s">
        <v>77</v>
      </c>
      <c r="K935" t="s">
        <v>78</v>
      </c>
      <c r="L935" t="s">
        <v>229</v>
      </c>
      <c r="M935" t="s">
        <v>230</v>
      </c>
      <c r="N935" t="s">
        <v>231</v>
      </c>
      <c r="O935" t="s">
        <v>82</v>
      </c>
      <c r="P935" t="str">
        <f>"4170053491                    "</f>
        <v xml:space="preserve">4170053491                    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44.73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1</v>
      </c>
      <c r="BI935">
        <v>1</v>
      </c>
      <c r="BJ935">
        <v>0.2</v>
      </c>
      <c r="BK935">
        <v>1</v>
      </c>
      <c r="BL935">
        <v>138.88999999999999</v>
      </c>
      <c r="BM935">
        <v>20.83</v>
      </c>
      <c r="BN935">
        <v>159.72</v>
      </c>
      <c r="BO935">
        <v>159.72</v>
      </c>
      <c r="BQ935" t="s">
        <v>232</v>
      </c>
      <c r="BR935" t="s">
        <v>84</v>
      </c>
      <c r="BS935" s="3">
        <v>45877</v>
      </c>
      <c r="BT935" s="4">
        <v>0.35416666666666669</v>
      </c>
      <c r="BU935" t="s">
        <v>233</v>
      </c>
      <c r="BV935" t="s">
        <v>86</v>
      </c>
      <c r="BY935">
        <v>1200</v>
      </c>
      <c r="CC935" t="s">
        <v>230</v>
      </c>
      <c r="CD935">
        <v>2740</v>
      </c>
      <c r="CE935" t="s">
        <v>109</v>
      </c>
      <c r="CF935" s="3">
        <v>45880</v>
      </c>
      <c r="CI935">
        <v>1</v>
      </c>
      <c r="CJ935">
        <v>1</v>
      </c>
      <c r="CK935">
        <v>23</v>
      </c>
      <c r="CL935" t="s">
        <v>90</v>
      </c>
    </row>
    <row r="936" spans="1:90" x14ac:dyDescent="0.3">
      <c r="A936" t="s">
        <v>72</v>
      </c>
      <c r="B936" t="s">
        <v>73</v>
      </c>
      <c r="C936" t="s">
        <v>74</v>
      </c>
      <c r="E936" t="str">
        <f>"080067083294"</f>
        <v>080067083294</v>
      </c>
      <c r="F936" s="3">
        <v>45876</v>
      </c>
      <c r="G936">
        <v>202605</v>
      </c>
      <c r="H936" t="s">
        <v>75</v>
      </c>
      <c r="I936" t="s">
        <v>76</v>
      </c>
      <c r="J936" t="s">
        <v>77</v>
      </c>
      <c r="K936" t="s">
        <v>78</v>
      </c>
      <c r="L936" t="s">
        <v>75</v>
      </c>
      <c r="M936" t="s">
        <v>76</v>
      </c>
      <c r="N936" t="s">
        <v>152</v>
      </c>
      <c r="O936" t="s">
        <v>82</v>
      </c>
      <c r="P936" t="str">
        <f>"4170053482                    "</f>
        <v xml:space="preserve">4170053482                    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18.03</v>
      </c>
      <c r="AR936">
        <v>0</v>
      </c>
      <c r="AS936">
        <v>0</v>
      </c>
      <c r="AT936">
        <v>0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1</v>
      </c>
      <c r="BI936">
        <v>1</v>
      </c>
      <c r="BJ936">
        <v>0.2</v>
      </c>
      <c r="BK936">
        <v>1</v>
      </c>
      <c r="BL936">
        <v>55.99</v>
      </c>
      <c r="BM936">
        <v>8.4</v>
      </c>
      <c r="BN936">
        <v>64.39</v>
      </c>
      <c r="BO936">
        <v>64.39</v>
      </c>
      <c r="BQ936" t="s">
        <v>153</v>
      </c>
      <c r="BR936" t="s">
        <v>84</v>
      </c>
      <c r="BS936" s="3">
        <v>45877</v>
      </c>
      <c r="BT936" s="4">
        <v>0.31944444444444442</v>
      </c>
      <c r="BU936" t="s">
        <v>1709</v>
      </c>
      <c r="BV936" t="s">
        <v>86</v>
      </c>
      <c r="BY936">
        <v>1200</v>
      </c>
      <c r="CA936" t="s">
        <v>1650</v>
      </c>
      <c r="CC936" t="s">
        <v>76</v>
      </c>
      <c r="CD936">
        <v>1600</v>
      </c>
      <c r="CE936" t="s">
        <v>109</v>
      </c>
      <c r="CF936" s="3">
        <v>45877</v>
      </c>
      <c r="CI936">
        <v>1</v>
      </c>
      <c r="CJ936">
        <v>1</v>
      </c>
      <c r="CK936">
        <v>22</v>
      </c>
      <c r="CL936" t="s">
        <v>90</v>
      </c>
    </row>
    <row r="937" spans="1:90" x14ac:dyDescent="0.3">
      <c r="A937" t="s">
        <v>72</v>
      </c>
      <c r="B937" t="s">
        <v>73</v>
      </c>
      <c r="C937" t="s">
        <v>74</v>
      </c>
      <c r="E937" t="str">
        <f>"080067083309"</f>
        <v>080067083309</v>
      </c>
      <c r="F937" s="3">
        <v>45876</v>
      </c>
      <c r="G937">
        <v>202605</v>
      </c>
      <c r="H937" t="s">
        <v>75</v>
      </c>
      <c r="I937" t="s">
        <v>76</v>
      </c>
      <c r="J937" t="s">
        <v>77</v>
      </c>
      <c r="K937" t="s">
        <v>78</v>
      </c>
      <c r="L937" t="s">
        <v>229</v>
      </c>
      <c r="M937" t="s">
        <v>230</v>
      </c>
      <c r="N937" t="s">
        <v>231</v>
      </c>
      <c r="O937" t="s">
        <v>82</v>
      </c>
      <c r="P937" t="str">
        <f>"4170053486                    "</f>
        <v xml:space="preserve">4170053486                    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44.73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1</v>
      </c>
      <c r="BI937">
        <v>1</v>
      </c>
      <c r="BJ937">
        <v>0.2</v>
      </c>
      <c r="BK937">
        <v>1</v>
      </c>
      <c r="BL937">
        <v>138.88999999999999</v>
      </c>
      <c r="BM937">
        <v>20.83</v>
      </c>
      <c r="BN937">
        <v>159.72</v>
      </c>
      <c r="BO937">
        <v>159.72</v>
      </c>
      <c r="BQ937" t="s">
        <v>232</v>
      </c>
      <c r="BR937" t="s">
        <v>84</v>
      </c>
      <c r="BS937" s="3">
        <v>45877</v>
      </c>
      <c r="BT937" s="4">
        <v>0.35416666666666669</v>
      </c>
      <c r="BU937" t="s">
        <v>233</v>
      </c>
      <c r="BV937" t="s">
        <v>86</v>
      </c>
      <c r="BY937">
        <v>1200</v>
      </c>
      <c r="CC937" t="s">
        <v>230</v>
      </c>
      <c r="CD937">
        <v>2740</v>
      </c>
      <c r="CE937" t="s">
        <v>109</v>
      </c>
      <c r="CF937" s="3">
        <v>45880</v>
      </c>
      <c r="CI937">
        <v>1</v>
      </c>
      <c r="CJ937">
        <v>1</v>
      </c>
      <c r="CK937">
        <v>23</v>
      </c>
      <c r="CL937" t="s">
        <v>90</v>
      </c>
    </row>
    <row r="938" spans="1:90" x14ac:dyDescent="0.3">
      <c r="A938" t="s">
        <v>72</v>
      </c>
      <c r="B938" t="s">
        <v>73</v>
      </c>
      <c r="C938" t="s">
        <v>74</v>
      </c>
      <c r="E938" t="str">
        <f>"080067083334"</f>
        <v>080067083334</v>
      </c>
      <c r="F938" s="3">
        <v>45876</v>
      </c>
      <c r="G938">
        <v>202605</v>
      </c>
      <c r="H938" t="s">
        <v>75</v>
      </c>
      <c r="I938" t="s">
        <v>76</v>
      </c>
      <c r="J938" t="s">
        <v>77</v>
      </c>
      <c r="K938" t="s">
        <v>78</v>
      </c>
      <c r="L938" t="s">
        <v>123</v>
      </c>
      <c r="M938" t="s">
        <v>124</v>
      </c>
      <c r="N938" t="s">
        <v>1151</v>
      </c>
      <c r="O938" t="s">
        <v>82</v>
      </c>
      <c r="P938" t="str">
        <f>"4170053477                    "</f>
        <v xml:space="preserve">4170053477                    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23.09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0</v>
      </c>
      <c r="BF938">
        <v>0</v>
      </c>
      <c r="BG938">
        <v>0</v>
      </c>
      <c r="BH938">
        <v>1</v>
      </c>
      <c r="BI938">
        <v>1</v>
      </c>
      <c r="BJ938">
        <v>0.2</v>
      </c>
      <c r="BK938">
        <v>1</v>
      </c>
      <c r="BL938">
        <v>71.69</v>
      </c>
      <c r="BM938">
        <v>10.75</v>
      </c>
      <c r="BN938">
        <v>82.44</v>
      </c>
      <c r="BO938">
        <v>82.44</v>
      </c>
      <c r="BQ938" t="s">
        <v>1152</v>
      </c>
      <c r="BR938" t="s">
        <v>84</v>
      </c>
      <c r="BS938" s="3">
        <v>45877</v>
      </c>
      <c r="BT938" s="4">
        <v>0.3659722222222222</v>
      </c>
      <c r="BU938" t="s">
        <v>1710</v>
      </c>
      <c r="BV938" t="s">
        <v>86</v>
      </c>
      <c r="BY938">
        <v>1200</v>
      </c>
      <c r="CA938" t="s">
        <v>128</v>
      </c>
      <c r="CC938" t="s">
        <v>124</v>
      </c>
      <c r="CD938">
        <v>7530</v>
      </c>
      <c r="CE938" t="s">
        <v>109</v>
      </c>
      <c r="CF938" s="3">
        <v>45880</v>
      </c>
      <c r="CI938">
        <v>1</v>
      </c>
      <c r="CJ938">
        <v>1</v>
      </c>
      <c r="CK938">
        <v>21</v>
      </c>
      <c r="CL938" t="s">
        <v>90</v>
      </c>
    </row>
    <row r="939" spans="1:90" x14ac:dyDescent="0.3">
      <c r="A939" t="s">
        <v>72</v>
      </c>
      <c r="B939" t="s">
        <v>73</v>
      </c>
      <c r="C939" t="s">
        <v>74</v>
      </c>
      <c r="E939" t="str">
        <f>"080067083480"</f>
        <v>080067083480</v>
      </c>
      <c r="F939" s="3">
        <v>45876</v>
      </c>
      <c r="G939">
        <v>202605</v>
      </c>
      <c r="H939" t="s">
        <v>75</v>
      </c>
      <c r="I939" t="s">
        <v>76</v>
      </c>
      <c r="J939" t="s">
        <v>77</v>
      </c>
      <c r="K939" t="s">
        <v>78</v>
      </c>
      <c r="L939" t="s">
        <v>123</v>
      </c>
      <c r="M939" t="s">
        <v>124</v>
      </c>
      <c r="N939" t="s">
        <v>189</v>
      </c>
      <c r="O939" t="s">
        <v>82</v>
      </c>
      <c r="P939" t="str">
        <f>"4170053427                    "</f>
        <v xml:space="preserve">4170053427                    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23.09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1</v>
      </c>
      <c r="BI939">
        <v>1</v>
      </c>
      <c r="BJ939">
        <v>0.2</v>
      </c>
      <c r="BK939">
        <v>1</v>
      </c>
      <c r="BL939">
        <v>71.69</v>
      </c>
      <c r="BM939">
        <v>10.75</v>
      </c>
      <c r="BN939">
        <v>82.44</v>
      </c>
      <c r="BO939">
        <v>82.44</v>
      </c>
      <c r="BQ939" t="s">
        <v>190</v>
      </c>
      <c r="BR939" t="s">
        <v>84</v>
      </c>
      <c r="BS939" s="3">
        <v>45877</v>
      </c>
      <c r="BT939" s="4">
        <v>0.42430555555555555</v>
      </c>
      <c r="BU939" t="s">
        <v>1457</v>
      </c>
      <c r="BV939" t="s">
        <v>86</v>
      </c>
      <c r="BY939">
        <v>1200</v>
      </c>
      <c r="CA939" t="s">
        <v>192</v>
      </c>
      <c r="CC939" t="s">
        <v>124</v>
      </c>
      <c r="CD939">
        <v>8001</v>
      </c>
      <c r="CE939" t="s">
        <v>109</v>
      </c>
      <c r="CF939" s="3">
        <v>45880</v>
      </c>
      <c r="CI939">
        <v>1</v>
      </c>
      <c r="CJ939">
        <v>1</v>
      </c>
      <c r="CK939">
        <v>21</v>
      </c>
      <c r="CL939" t="s">
        <v>90</v>
      </c>
    </row>
    <row r="940" spans="1:90" x14ac:dyDescent="0.3">
      <c r="A940" t="s">
        <v>72</v>
      </c>
      <c r="B940" t="s">
        <v>73</v>
      </c>
      <c r="C940" t="s">
        <v>74</v>
      </c>
      <c r="E940" t="str">
        <f>"080067083498"</f>
        <v>080067083498</v>
      </c>
      <c r="F940" s="3">
        <v>45876</v>
      </c>
      <c r="G940">
        <v>202605</v>
      </c>
      <c r="H940" t="s">
        <v>75</v>
      </c>
      <c r="I940" t="s">
        <v>76</v>
      </c>
      <c r="J940" t="s">
        <v>77</v>
      </c>
      <c r="K940" t="s">
        <v>78</v>
      </c>
      <c r="L940" t="s">
        <v>123</v>
      </c>
      <c r="M940" t="s">
        <v>124</v>
      </c>
      <c r="N940" t="s">
        <v>1711</v>
      </c>
      <c r="O940" t="s">
        <v>82</v>
      </c>
      <c r="P940" t="str">
        <f>"4170053470                    "</f>
        <v xml:space="preserve">4170053470                    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23.09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0</v>
      </c>
      <c r="BF940">
        <v>0</v>
      </c>
      <c r="BG940">
        <v>0</v>
      </c>
      <c r="BH940">
        <v>1</v>
      </c>
      <c r="BI940">
        <v>1</v>
      </c>
      <c r="BJ940">
        <v>0.2</v>
      </c>
      <c r="BK940">
        <v>1</v>
      </c>
      <c r="BL940">
        <v>71.69</v>
      </c>
      <c r="BM940">
        <v>10.75</v>
      </c>
      <c r="BN940">
        <v>82.44</v>
      </c>
      <c r="BO940">
        <v>82.44</v>
      </c>
      <c r="BQ940" t="s">
        <v>1712</v>
      </c>
      <c r="BR940" t="s">
        <v>84</v>
      </c>
      <c r="BS940" s="3">
        <v>45877</v>
      </c>
      <c r="BT940" s="4">
        <v>0.40277777777777779</v>
      </c>
      <c r="BU940" t="s">
        <v>1713</v>
      </c>
      <c r="BV940" t="s">
        <v>86</v>
      </c>
      <c r="BY940">
        <v>1200</v>
      </c>
      <c r="CA940" t="s">
        <v>128</v>
      </c>
      <c r="CC940" t="s">
        <v>124</v>
      </c>
      <c r="CD940">
        <v>7560</v>
      </c>
      <c r="CE940" t="s">
        <v>109</v>
      </c>
      <c r="CF940" s="3">
        <v>45880</v>
      </c>
      <c r="CI940">
        <v>1</v>
      </c>
      <c r="CJ940">
        <v>1</v>
      </c>
      <c r="CK940">
        <v>21</v>
      </c>
      <c r="CL940" t="s">
        <v>90</v>
      </c>
    </row>
    <row r="941" spans="1:90" x14ac:dyDescent="0.3">
      <c r="A941" t="s">
        <v>72</v>
      </c>
      <c r="B941" t="s">
        <v>73</v>
      </c>
      <c r="C941" t="s">
        <v>74</v>
      </c>
      <c r="E941" t="str">
        <f>"080067083519"</f>
        <v>080067083519</v>
      </c>
      <c r="F941" s="3">
        <v>45876</v>
      </c>
      <c r="G941">
        <v>202605</v>
      </c>
      <c r="H941" t="s">
        <v>75</v>
      </c>
      <c r="I941" t="s">
        <v>76</v>
      </c>
      <c r="J941" t="s">
        <v>77</v>
      </c>
      <c r="K941" t="s">
        <v>78</v>
      </c>
      <c r="L941" t="s">
        <v>123</v>
      </c>
      <c r="M941" t="s">
        <v>124</v>
      </c>
      <c r="N941" t="s">
        <v>1714</v>
      </c>
      <c r="O941" t="s">
        <v>82</v>
      </c>
      <c r="P941" t="str">
        <f>"4170053462                    "</f>
        <v xml:space="preserve">4170053462                    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23.09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1</v>
      </c>
      <c r="BI941">
        <v>1</v>
      </c>
      <c r="BJ941">
        <v>0.2</v>
      </c>
      <c r="BK941">
        <v>1</v>
      </c>
      <c r="BL941">
        <v>71.69</v>
      </c>
      <c r="BM941">
        <v>10.75</v>
      </c>
      <c r="BN941">
        <v>82.44</v>
      </c>
      <c r="BO941">
        <v>82.44</v>
      </c>
      <c r="BQ941" t="s">
        <v>1715</v>
      </c>
      <c r="BR941" t="s">
        <v>84</v>
      </c>
      <c r="BS941" s="3">
        <v>45877</v>
      </c>
      <c r="BT941" s="4">
        <v>0.43055555555555558</v>
      </c>
      <c r="BU941" t="s">
        <v>1716</v>
      </c>
      <c r="BV941" t="s">
        <v>86</v>
      </c>
      <c r="BY941">
        <v>1200</v>
      </c>
      <c r="CA941" t="s">
        <v>1229</v>
      </c>
      <c r="CC941" t="s">
        <v>124</v>
      </c>
      <c r="CD941">
        <v>7500</v>
      </c>
      <c r="CE941" t="s">
        <v>109</v>
      </c>
      <c r="CF941" s="3">
        <v>45880</v>
      </c>
      <c r="CI941">
        <v>1</v>
      </c>
      <c r="CJ941">
        <v>1</v>
      </c>
      <c r="CK941">
        <v>21</v>
      </c>
      <c r="CL941" t="s">
        <v>90</v>
      </c>
    </row>
    <row r="942" spans="1:90" x14ac:dyDescent="0.3">
      <c r="A942" t="s">
        <v>72</v>
      </c>
      <c r="B942" t="s">
        <v>73</v>
      </c>
      <c r="C942" t="s">
        <v>74</v>
      </c>
      <c r="E942" t="str">
        <f>"080067083530"</f>
        <v>080067083530</v>
      </c>
      <c r="F942" s="3">
        <v>45876</v>
      </c>
      <c r="G942">
        <v>202605</v>
      </c>
      <c r="H942" t="s">
        <v>75</v>
      </c>
      <c r="I942" t="s">
        <v>76</v>
      </c>
      <c r="J942" t="s">
        <v>77</v>
      </c>
      <c r="K942" t="s">
        <v>78</v>
      </c>
      <c r="L942" t="s">
        <v>137</v>
      </c>
      <c r="M942" t="s">
        <v>138</v>
      </c>
      <c r="N942" t="s">
        <v>1717</v>
      </c>
      <c r="O942" t="s">
        <v>82</v>
      </c>
      <c r="P942" t="str">
        <f>"4170053426                    "</f>
        <v xml:space="preserve">4170053426                    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23.09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1</v>
      </c>
      <c r="BI942">
        <v>1</v>
      </c>
      <c r="BJ942">
        <v>0.2</v>
      </c>
      <c r="BK942">
        <v>1</v>
      </c>
      <c r="BL942">
        <v>71.69</v>
      </c>
      <c r="BM942">
        <v>10.75</v>
      </c>
      <c r="BN942">
        <v>82.44</v>
      </c>
      <c r="BO942">
        <v>82.44</v>
      </c>
      <c r="BQ942" t="s">
        <v>1718</v>
      </c>
      <c r="BR942" t="s">
        <v>84</v>
      </c>
      <c r="BS942" s="3">
        <v>45877</v>
      </c>
      <c r="BT942" s="4">
        <v>0.4201388888888889</v>
      </c>
      <c r="BU942" t="s">
        <v>1346</v>
      </c>
      <c r="BV942" t="s">
        <v>86</v>
      </c>
      <c r="BY942">
        <v>1200</v>
      </c>
      <c r="CA942" t="s">
        <v>264</v>
      </c>
      <c r="CC942" t="s">
        <v>138</v>
      </c>
      <c r="CD942">
        <v>3610</v>
      </c>
      <c r="CE942" t="s">
        <v>109</v>
      </c>
      <c r="CF942" s="3">
        <v>45878</v>
      </c>
      <c r="CI942">
        <v>1</v>
      </c>
      <c r="CJ942">
        <v>1</v>
      </c>
      <c r="CK942">
        <v>21</v>
      </c>
      <c r="CL942" t="s">
        <v>90</v>
      </c>
    </row>
    <row r="943" spans="1:90" x14ac:dyDescent="0.3">
      <c r="A943" t="s">
        <v>72</v>
      </c>
      <c r="B943" t="s">
        <v>73</v>
      </c>
      <c r="C943" t="s">
        <v>74</v>
      </c>
      <c r="E943" t="str">
        <f>"080067083546"</f>
        <v>080067083546</v>
      </c>
      <c r="F943" s="3">
        <v>45876</v>
      </c>
      <c r="G943">
        <v>202605</v>
      </c>
      <c r="H943" t="s">
        <v>75</v>
      </c>
      <c r="I943" t="s">
        <v>76</v>
      </c>
      <c r="J943" t="s">
        <v>77</v>
      </c>
      <c r="K943" t="s">
        <v>78</v>
      </c>
      <c r="L943" t="s">
        <v>198</v>
      </c>
      <c r="M943" t="s">
        <v>199</v>
      </c>
      <c r="N943" t="s">
        <v>955</v>
      </c>
      <c r="O943" t="s">
        <v>82</v>
      </c>
      <c r="P943" t="str">
        <f>"4170053465                    "</f>
        <v xml:space="preserve">4170053465                    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23.09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1</v>
      </c>
      <c r="BI943">
        <v>1</v>
      </c>
      <c r="BJ943">
        <v>0.2</v>
      </c>
      <c r="BK943">
        <v>1</v>
      </c>
      <c r="BL943">
        <v>71.69</v>
      </c>
      <c r="BM943">
        <v>10.75</v>
      </c>
      <c r="BN943">
        <v>82.44</v>
      </c>
      <c r="BO943">
        <v>82.44</v>
      </c>
      <c r="BQ943" t="s">
        <v>956</v>
      </c>
      <c r="BR943" t="s">
        <v>84</v>
      </c>
      <c r="BS943" s="3">
        <v>45877</v>
      </c>
      <c r="BT943" s="4">
        <v>0.41111111111111109</v>
      </c>
      <c r="BU943" t="s">
        <v>1719</v>
      </c>
      <c r="BV943" t="s">
        <v>86</v>
      </c>
      <c r="BY943">
        <v>1200</v>
      </c>
      <c r="CA943" t="s">
        <v>433</v>
      </c>
      <c r="CC943" t="s">
        <v>199</v>
      </c>
      <c r="CD943">
        <v>6012</v>
      </c>
      <c r="CE943" t="s">
        <v>109</v>
      </c>
      <c r="CF943" s="3">
        <v>45877</v>
      </c>
      <c r="CI943">
        <v>1</v>
      </c>
      <c r="CJ943">
        <v>1</v>
      </c>
      <c r="CK943">
        <v>21</v>
      </c>
      <c r="CL943" t="s">
        <v>90</v>
      </c>
    </row>
    <row r="944" spans="1:90" x14ac:dyDescent="0.3">
      <c r="A944" t="s">
        <v>72</v>
      </c>
      <c r="B944" t="s">
        <v>73</v>
      </c>
      <c r="C944" t="s">
        <v>74</v>
      </c>
      <c r="E944" t="str">
        <f>"080067083555"</f>
        <v>080067083555</v>
      </c>
      <c r="F944" s="3">
        <v>45876</v>
      </c>
      <c r="G944">
        <v>202605</v>
      </c>
      <c r="H944" t="s">
        <v>75</v>
      </c>
      <c r="I944" t="s">
        <v>76</v>
      </c>
      <c r="J944" t="s">
        <v>77</v>
      </c>
      <c r="K944" t="s">
        <v>78</v>
      </c>
      <c r="L944" t="s">
        <v>198</v>
      </c>
      <c r="M944" t="s">
        <v>199</v>
      </c>
      <c r="N944" t="s">
        <v>955</v>
      </c>
      <c r="O944" t="s">
        <v>82</v>
      </c>
      <c r="P944" t="str">
        <f>"4170053464                    "</f>
        <v xml:space="preserve">4170053464                    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23.09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0</v>
      </c>
      <c r="BF944">
        <v>0</v>
      </c>
      <c r="BG944">
        <v>0</v>
      </c>
      <c r="BH944">
        <v>1</v>
      </c>
      <c r="BI944">
        <v>1</v>
      </c>
      <c r="BJ944">
        <v>0.2</v>
      </c>
      <c r="BK944">
        <v>1</v>
      </c>
      <c r="BL944">
        <v>71.69</v>
      </c>
      <c r="BM944">
        <v>10.75</v>
      </c>
      <c r="BN944">
        <v>82.44</v>
      </c>
      <c r="BO944">
        <v>82.44</v>
      </c>
      <c r="BQ944" t="s">
        <v>956</v>
      </c>
      <c r="BR944" t="s">
        <v>84</v>
      </c>
      <c r="BS944" s="3">
        <v>45877</v>
      </c>
      <c r="BT944" s="4">
        <v>0.41111111111111109</v>
      </c>
      <c r="BU944" t="s">
        <v>1720</v>
      </c>
      <c r="BV944" t="s">
        <v>86</v>
      </c>
      <c r="BY944">
        <v>1200</v>
      </c>
      <c r="CA944" t="s">
        <v>433</v>
      </c>
      <c r="CC944" t="s">
        <v>199</v>
      </c>
      <c r="CD944">
        <v>6012</v>
      </c>
      <c r="CE944" t="s">
        <v>109</v>
      </c>
      <c r="CF944" s="3">
        <v>45877</v>
      </c>
      <c r="CI944">
        <v>1</v>
      </c>
      <c r="CJ944">
        <v>1</v>
      </c>
      <c r="CK944">
        <v>21</v>
      </c>
      <c r="CL944" t="s">
        <v>90</v>
      </c>
    </row>
    <row r="945" spans="1:90" x14ac:dyDescent="0.3">
      <c r="A945" t="s">
        <v>72</v>
      </c>
      <c r="B945" t="s">
        <v>73</v>
      </c>
      <c r="C945" t="s">
        <v>74</v>
      </c>
      <c r="E945" t="str">
        <f>"080067083574"</f>
        <v>080067083574</v>
      </c>
      <c r="F945" s="3">
        <v>45876</v>
      </c>
      <c r="G945">
        <v>202605</v>
      </c>
      <c r="H945" t="s">
        <v>75</v>
      </c>
      <c r="I945" t="s">
        <v>76</v>
      </c>
      <c r="J945" t="s">
        <v>77</v>
      </c>
      <c r="K945" t="s">
        <v>78</v>
      </c>
      <c r="L945" t="s">
        <v>198</v>
      </c>
      <c r="M945" t="s">
        <v>199</v>
      </c>
      <c r="N945" t="s">
        <v>430</v>
      </c>
      <c r="O945" t="s">
        <v>82</v>
      </c>
      <c r="P945" t="str">
        <f>"4170053542                    "</f>
        <v xml:space="preserve">4170053542                    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23.09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1</v>
      </c>
      <c r="BI945">
        <v>1</v>
      </c>
      <c r="BJ945">
        <v>0.2</v>
      </c>
      <c r="BK945">
        <v>1</v>
      </c>
      <c r="BL945">
        <v>71.69</v>
      </c>
      <c r="BM945">
        <v>10.75</v>
      </c>
      <c r="BN945">
        <v>82.44</v>
      </c>
      <c r="BO945">
        <v>82.44</v>
      </c>
      <c r="BQ945" t="s">
        <v>431</v>
      </c>
      <c r="BR945" t="s">
        <v>84</v>
      </c>
      <c r="BS945" s="3">
        <v>45877</v>
      </c>
      <c r="BT945" s="4">
        <v>0.35972222222222222</v>
      </c>
      <c r="BU945" t="s">
        <v>432</v>
      </c>
      <c r="BV945" t="s">
        <v>86</v>
      </c>
      <c r="BY945">
        <v>1200</v>
      </c>
      <c r="CA945" t="s">
        <v>433</v>
      </c>
      <c r="CC945" t="s">
        <v>199</v>
      </c>
      <c r="CD945">
        <v>6001</v>
      </c>
      <c r="CE945" t="s">
        <v>109</v>
      </c>
      <c r="CF945" s="3">
        <v>45877</v>
      </c>
      <c r="CI945">
        <v>1</v>
      </c>
      <c r="CJ945">
        <v>1</v>
      </c>
      <c r="CK945">
        <v>21</v>
      </c>
      <c r="CL945" t="s">
        <v>90</v>
      </c>
    </row>
    <row r="946" spans="1:90" x14ac:dyDescent="0.3">
      <c r="A946" t="s">
        <v>72</v>
      </c>
      <c r="B946" t="s">
        <v>73</v>
      </c>
      <c r="C946" t="s">
        <v>74</v>
      </c>
      <c r="E946" t="str">
        <f>"080067083584"</f>
        <v>080067083584</v>
      </c>
      <c r="F946" s="3">
        <v>45876</v>
      </c>
      <c r="G946">
        <v>202605</v>
      </c>
      <c r="H946" t="s">
        <v>75</v>
      </c>
      <c r="I946" t="s">
        <v>76</v>
      </c>
      <c r="J946" t="s">
        <v>77</v>
      </c>
      <c r="K946" t="s">
        <v>78</v>
      </c>
      <c r="L946" t="s">
        <v>217</v>
      </c>
      <c r="M946" t="s">
        <v>218</v>
      </c>
      <c r="N946" t="s">
        <v>1721</v>
      </c>
      <c r="O946" t="s">
        <v>82</v>
      </c>
      <c r="P946" t="str">
        <f>"4170053524                    "</f>
        <v xml:space="preserve">4170053524                    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115.35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1</v>
      </c>
      <c r="BI946">
        <v>10</v>
      </c>
      <c r="BJ946">
        <v>0.2</v>
      </c>
      <c r="BK946">
        <v>10</v>
      </c>
      <c r="BL946">
        <v>358.19</v>
      </c>
      <c r="BM946">
        <v>53.73</v>
      </c>
      <c r="BN946">
        <v>411.92</v>
      </c>
      <c r="BO946">
        <v>411.92</v>
      </c>
      <c r="BQ946" t="s">
        <v>1722</v>
      </c>
      <c r="BR946" t="s">
        <v>84</v>
      </c>
      <c r="BS946" s="3">
        <v>45877</v>
      </c>
      <c r="BT946" s="4">
        <v>0.42222222222222222</v>
      </c>
      <c r="BU946" t="s">
        <v>1723</v>
      </c>
      <c r="BV946" t="s">
        <v>86</v>
      </c>
      <c r="BY946">
        <v>1200</v>
      </c>
      <c r="CA946" t="s">
        <v>1724</v>
      </c>
      <c r="CC946" t="s">
        <v>218</v>
      </c>
      <c r="CD946">
        <v>4000</v>
      </c>
      <c r="CE946" t="s">
        <v>290</v>
      </c>
      <c r="CF946" s="3">
        <v>45877</v>
      </c>
      <c r="CI946">
        <v>1</v>
      </c>
      <c r="CJ946">
        <v>1</v>
      </c>
      <c r="CK946">
        <v>21</v>
      </c>
      <c r="CL946" t="s">
        <v>90</v>
      </c>
    </row>
    <row r="947" spans="1:90" x14ac:dyDescent="0.3">
      <c r="A947" t="s">
        <v>72</v>
      </c>
      <c r="B947" t="s">
        <v>73</v>
      </c>
      <c r="C947" t="s">
        <v>74</v>
      </c>
      <c r="E947" t="str">
        <f>"080067083620"</f>
        <v>080067083620</v>
      </c>
      <c r="F947" s="3">
        <v>45876</v>
      </c>
      <c r="G947">
        <v>202605</v>
      </c>
      <c r="H947" t="s">
        <v>75</v>
      </c>
      <c r="I947" t="s">
        <v>76</v>
      </c>
      <c r="J947" t="s">
        <v>77</v>
      </c>
      <c r="K947" t="s">
        <v>78</v>
      </c>
      <c r="L947" t="s">
        <v>75</v>
      </c>
      <c r="M947" t="s">
        <v>76</v>
      </c>
      <c r="N947" t="s">
        <v>414</v>
      </c>
      <c r="O947" t="s">
        <v>82</v>
      </c>
      <c r="P947" t="str">
        <f>"4170053488                    "</f>
        <v xml:space="preserve">4170053488                    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18.03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1</v>
      </c>
      <c r="BI947">
        <v>1</v>
      </c>
      <c r="BJ947">
        <v>0.2</v>
      </c>
      <c r="BK947">
        <v>1</v>
      </c>
      <c r="BL947">
        <v>55.99</v>
      </c>
      <c r="BM947">
        <v>8.4</v>
      </c>
      <c r="BN947">
        <v>64.39</v>
      </c>
      <c r="BO947">
        <v>64.39</v>
      </c>
      <c r="BQ947" t="s">
        <v>415</v>
      </c>
      <c r="BR947" t="s">
        <v>84</v>
      </c>
      <c r="BS947" s="3">
        <v>45877</v>
      </c>
      <c r="BT947" s="4">
        <v>0.2951388888888889</v>
      </c>
      <c r="BU947" t="s">
        <v>1725</v>
      </c>
      <c r="BV947" t="s">
        <v>86</v>
      </c>
      <c r="BY947">
        <v>1200</v>
      </c>
      <c r="CA947" t="s">
        <v>1650</v>
      </c>
      <c r="CC947" t="s">
        <v>76</v>
      </c>
      <c r="CD947">
        <v>1600</v>
      </c>
      <c r="CE947" t="s">
        <v>109</v>
      </c>
      <c r="CF947" s="3">
        <v>45877</v>
      </c>
      <c r="CI947">
        <v>1</v>
      </c>
      <c r="CJ947">
        <v>1</v>
      </c>
      <c r="CK947">
        <v>22</v>
      </c>
      <c r="CL947" t="s">
        <v>90</v>
      </c>
    </row>
    <row r="948" spans="1:90" x14ac:dyDescent="0.3">
      <c r="A948" t="s">
        <v>72</v>
      </c>
      <c r="B948" t="s">
        <v>73</v>
      </c>
      <c r="C948" t="s">
        <v>74</v>
      </c>
      <c r="E948" t="str">
        <f>"080067083643"</f>
        <v>080067083643</v>
      </c>
      <c r="F948" s="3">
        <v>45876</v>
      </c>
      <c r="G948">
        <v>202605</v>
      </c>
      <c r="H948" t="s">
        <v>75</v>
      </c>
      <c r="I948" t="s">
        <v>76</v>
      </c>
      <c r="J948" t="s">
        <v>77</v>
      </c>
      <c r="K948" t="s">
        <v>78</v>
      </c>
      <c r="L948" t="s">
        <v>103</v>
      </c>
      <c r="M948" t="s">
        <v>104</v>
      </c>
      <c r="N948" t="s">
        <v>105</v>
      </c>
      <c r="O948" t="s">
        <v>82</v>
      </c>
      <c r="P948" t="str">
        <f>"4170053543                    "</f>
        <v xml:space="preserve">4170053543                    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44.73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1</v>
      </c>
      <c r="BI948">
        <v>1</v>
      </c>
      <c r="BJ948">
        <v>0.2</v>
      </c>
      <c r="BK948">
        <v>1</v>
      </c>
      <c r="BL948">
        <v>138.88999999999999</v>
      </c>
      <c r="BM948">
        <v>20.83</v>
      </c>
      <c r="BN948">
        <v>159.72</v>
      </c>
      <c r="BO948">
        <v>159.72</v>
      </c>
      <c r="BQ948" t="s">
        <v>106</v>
      </c>
      <c r="BR948" t="s">
        <v>84</v>
      </c>
      <c r="BS948" s="3">
        <v>45877</v>
      </c>
      <c r="BT948" s="4">
        <v>0.63888888888888884</v>
      </c>
      <c r="BU948" t="s">
        <v>107</v>
      </c>
      <c r="BV948" t="s">
        <v>86</v>
      </c>
      <c r="BY948">
        <v>1200</v>
      </c>
      <c r="CA948" t="s">
        <v>108</v>
      </c>
      <c r="CC948" t="s">
        <v>104</v>
      </c>
      <c r="CD948">
        <v>2380</v>
      </c>
      <c r="CE948" t="s">
        <v>109</v>
      </c>
      <c r="CF948" s="3">
        <v>45880</v>
      </c>
      <c r="CI948">
        <v>1</v>
      </c>
      <c r="CJ948">
        <v>1</v>
      </c>
      <c r="CK948">
        <v>23</v>
      </c>
      <c r="CL948" t="s">
        <v>90</v>
      </c>
    </row>
    <row r="949" spans="1:90" x14ac:dyDescent="0.3">
      <c r="A949" t="s">
        <v>72</v>
      </c>
      <c r="B949" t="s">
        <v>73</v>
      </c>
      <c r="C949" t="s">
        <v>74</v>
      </c>
      <c r="E949" t="str">
        <f>"080067083665"</f>
        <v>080067083665</v>
      </c>
      <c r="F949" s="3">
        <v>45876</v>
      </c>
      <c r="G949">
        <v>202605</v>
      </c>
      <c r="H949" t="s">
        <v>75</v>
      </c>
      <c r="I949" t="s">
        <v>76</v>
      </c>
      <c r="J949" t="s">
        <v>77</v>
      </c>
      <c r="K949" t="s">
        <v>78</v>
      </c>
      <c r="L949" t="s">
        <v>278</v>
      </c>
      <c r="M949" t="s">
        <v>279</v>
      </c>
      <c r="N949" t="s">
        <v>1199</v>
      </c>
      <c r="O949" t="s">
        <v>82</v>
      </c>
      <c r="P949" t="str">
        <f>"4170053548                    "</f>
        <v xml:space="preserve">4170053548                    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23.09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1</v>
      </c>
      <c r="BI949">
        <v>1</v>
      </c>
      <c r="BJ949">
        <v>0.2</v>
      </c>
      <c r="BK949">
        <v>1</v>
      </c>
      <c r="BL949">
        <v>71.69</v>
      </c>
      <c r="BM949">
        <v>10.75</v>
      </c>
      <c r="BN949">
        <v>82.44</v>
      </c>
      <c r="BO949">
        <v>82.44</v>
      </c>
      <c r="BQ949" t="s">
        <v>1200</v>
      </c>
      <c r="BR949" t="s">
        <v>84</v>
      </c>
      <c r="BS949" s="3">
        <v>45877</v>
      </c>
      <c r="BT949" s="4">
        <v>0.39166666666666666</v>
      </c>
      <c r="BU949" t="s">
        <v>1572</v>
      </c>
      <c r="BV949" t="s">
        <v>86</v>
      </c>
      <c r="BY949">
        <v>1200</v>
      </c>
      <c r="CA949" t="s">
        <v>239</v>
      </c>
      <c r="CC949" t="s">
        <v>279</v>
      </c>
      <c r="CD949" s="5" t="s">
        <v>289</v>
      </c>
      <c r="CE949" t="s">
        <v>109</v>
      </c>
      <c r="CF949" s="3">
        <v>45877</v>
      </c>
      <c r="CI949">
        <v>1</v>
      </c>
      <c r="CJ949">
        <v>1</v>
      </c>
      <c r="CK949">
        <v>21</v>
      </c>
      <c r="CL949" t="s">
        <v>90</v>
      </c>
    </row>
    <row r="950" spans="1:90" x14ac:dyDescent="0.3">
      <c r="A950" t="s">
        <v>72</v>
      </c>
      <c r="B950" t="s">
        <v>73</v>
      </c>
      <c r="C950" t="s">
        <v>74</v>
      </c>
      <c r="E950" t="str">
        <f>"080067083689"</f>
        <v>080067083689</v>
      </c>
      <c r="F950" s="3">
        <v>45876</v>
      </c>
      <c r="G950">
        <v>202605</v>
      </c>
      <c r="H950" t="s">
        <v>75</v>
      </c>
      <c r="I950" t="s">
        <v>76</v>
      </c>
      <c r="J950" t="s">
        <v>77</v>
      </c>
      <c r="K950" t="s">
        <v>78</v>
      </c>
      <c r="L950" t="s">
        <v>75</v>
      </c>
      <c r="M950" t="s">
        <v>76</v>
      </c>
      <c r="N950" t="s">
        <v>1020</v>
      </c>
      <c r="O950" t="s">
        <v>82</v>
      </c>
      <c r="P950" t="str">
        <f>"4170053441                    "</f>
        <v xml:space="preserve">4170053441                    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18.03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1</v>
      </c>
      <c r="BI950">
        <v>1</v>
      </c>
      <c r="BJ950">
        <v>0.2</v>
      </c>
      <c r="BK950">
        <v>1</v>
      </c>
      <c r="BL950">
        <v>55.99</v>
      </c>
      <c r="BM950">
        <v>8.4</v>
      </c>
      <c r="BN950">
        <v>64.39</v>
      </c>
      <c r="BO950">
        <v>64.39</v>
      </c>
      <c r="BQ950" t="s">
        <v>1021</v>
      </c>
      <c r="BR950" t="s">
        <v>84</v>
      </c>
      <c r="BS950" s="3">
        <v>45880</v>
      </c>
      <c r="BT950" s="4">
        <v>0.34375</v>
      </c>
      <c r="BU950" t="s">
        <v>1444</v>
      </c>
      <c r="BV950" t="s">
        <v>90</v>
      </c>
      <c r="BW950" t="s">
        <v>1045</v>
      </c>
      <c r="BX950" t="s">
        <v>1234</v>
      </c>
      <c r="BY950">
        <v>1200</v>
      </c>
      <c r="CA950" t="s">
        <v>146</v>
      </c>
      <c r="CC950" t="s">
        <v>76</v>
      </c>
      <c r="CD950">
        <v>1645</v>
      </c>
      <c r="CE950" t="s">
        <v>109</v>
      </c>
      <c r="CF950" s="3">
        <v>45881</v>
      </c>
      <c r="CI950">
        <v>1</v>
      </c>
      <c r="CJ950">
        <v>2</v>
      </c>
      <c r="CK950">
        <v>22</v>
      </c>
      <c r="CL950" t="s">
        <v>90</v>
      </c>
    </row>
    <row r="951" spans="1:90" x14ac:dyDescent="0.3">
      <c r="A951" t="s">
        <v>72</v>
      </c>
      <c r="B951" t="s">
        <v>73</v>
      </c>
      <c r="C951" t="s">
        <v>74</v>
      </c>
      <c r="E951" t="str">
        <f>"080067083718"</f>
        <v>080067083718</v>
      </c>
      <c r="F951" s="3">
        <v>45876</v>
      </c>
      <c r="G951">
        <v>202605</v>
      </c>
      <c r="H951" t="s">
        <v>75</v>
      </c>
      <c r="I951" t="s">
        <v>76</v>
      </c>
      <c r="J951" t="s">
        <v>77</v>
      </c>
      <c r="K951" t="s">
        <v>78</v>
      </c>
      <c r="L951" t="s">
        <v>241</v>
      </c>
      <c r="M951" t="s">
        <v>242</v>
      </c>
      <c r="N951" t="s">
        <v>893</v>
      </c>
      <c r="O951" t="s">
        <v>82</v>
      </c>
      <c r="P951" t="str">
        <f>"4170053469                    "</f>
        <v xml:space="preserve">4170053469                    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18.03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1</v>
      </c>
      <c r="BI951">
        <v>1</v>
      </c>
      <c r="BJ951">
        <v>0.2</v>
      </c>
      <c r="BK951">
        <v>1</v>
      </c>
      <c r="BL951">
        <v>55.99</v>
      </c>
      <c r="BM951">
        <v>8.4</v>
      </c>
      <c r="BN951">
        <v>64.39</v>
      </c>
      <c r="BO951">
        <v>64.39</v>
      </c>
      <c r="BQ951" t="s">
        <v>894</v>
      </c>
      <c r="BR951" t="s">
        <v>84</v>
      </c>
      <c r="BS951" s="3">
        <v>45877</v>
      </c>
      <c r="BT951" s="4">
        <v>0.41249999999999998</v>
      </c>
      <c r="BU951" t="s">
        <v>895</v>
      </c>
      <c r="BV951" t="s">
        <v>86</v>
      </c>
      <c r="BY951">
        <v>1200</v>
      </c>
      <c r="CA951" t="s">
        <v>623</v>
      </c>
      <c r="CC951" t="s">
        <v>242</v>
      </c>
      <c r="CD951">
        <v>1459</v>
      </c>
      <c r="CE951" t="s">
        <v>109</v>
      </c>
      <c r="CF951" s="3">
        <v>45878</v>
      </c>
      <c r="CI951">
        <v>1</v>
      </c>
      <c r="CJ951">
        <v>1</v>
      </c>
      <c r="CK951">
        <v>22</v>
      </c>
      <c r="CL951" t="s">
        <v>90</v>
      </c>
    </row>
    <row r="952" spans="1:90" x14ac:dyDescent="0.3">
      <c r="A952" t="s">
        <v>72</v>
      </c>
      <c r="B952" t="s">
        <v>73</v>
      </c>
      <c r="C952" t="s">
        <v>74</v>
      </c>
      <c r="E952" t="str">
        <f>"080067083722"</f>
        <v>080067083722</v>
      </c>
      <c r="F952" s="3">
        <v>45876</v>
      </c>
      <c r="G952">
        <v>202605</v>
      </c>
      <c r="H952" t="s">
        <v>75</v>
      </c>
      <c r="I952" t="s">
        <v>76</v>
      </c>
      <c r="J952" t="s">
        <v>77</v>
      </c>
      <c r="K952" t="s">
        <v>78</v>
      </c>
      <c r="L952" t="s">
        <v>1157</v>
      </c>
      <c r="M952" t="s">
        <v>1158</v>
      </c>
      <c r="N952" t="s">
        <v>1159</v>
      </c>
      <c r="O952" t="s">
        <v>82</v>
      </c>
      <c r="P952" t="str">
        <f>"4170053530                    "</f>
        <v xml:space="preserve">4170053530                    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44.73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1</v>
      </c>
      <c r="BI952">
        <v>1</v>
      </c>
      <c r="BJ952">
        <v>0.2</v>
      </c>
      <c r="BK952">
        <v>1</v>
      </c>
      <c r="BL952">
        <v>138.88999999999999</v>
      </c>
      <c r="BM952">
        <v>20.83</v>
      </c>
      <c r="BN952">
        <v>159.72</v>
      </c>
      <c r="BO952">
        <v>159.72</v>
      </c>
      <c r="BQ952" t="s">
        <v>1160</v>
      </c>
      <c r="BR952" t="s">
        <v>84</v>
      </c>
      <c r="BS952" s="3">
        <v>45877</v>
      </c>
      <c r="BT952" s="4">
        <v>0.3888888888888889</v>
      </c>
      <c r="BU952" t="s">
        <v>1653</v>
      </c>
      <c r="BV952" t="s">
        <v>86</v>
      </c>
      <c r="BY952">
        <v>1200</v>
      </c>
      <c r="CA952" t="s">
        <v>1654</v>
      </c>
      <c r="CC952" t="s">
        <v>1158</v>
      </c>
      <c r="CD952">
        <v>2302</v>
      </c>
      <c r="CE952" t="s">
        <v>109</v>
      </c>
      <c r="CF952" s="3">
        <v>45877</v>
      </c>
      <c r="CI952">
        <v>1</v>
      </c>
      <c r="CJ952">
        <v>1</v>
      </c>
      <c r="CK952">
        <v>23</v>
      </c>
      <c r="CL952" t="s">
        <v>90</v>
      </c>
    </row>
    <row r="953" spans="1:90" x14ac:dyDescent="0.3">
      <c r="A953" t="s">
        <v>72</v>
      </c>
      <c r="B953" t="s">
        <v>73</v>
      </c>
      <c r="C953" t="s">
        <v>74</v>
      </c>
      <c r="E953" t="str">
        <f>"080067083742"</f>
        <v>080067083742</v>
      </c>
      <c r="F953" s="3">
        <v>45876</v>
      </c>
      <c r="G953">
        <v>202605</v>
      </c>
      <c r="H953" t="s">
        <v>75</v>
      </c>
      <c r="I953" t="s">
        <v>76</v>
      </c>
      <c r="J953" t="s">
        <v>77</v>
      </c>
      <c r="K953" t="s">
        <v>78</v>
      </c>
      <c r="L953" t="s">
        <v>373</v>
      </c>
      <c r="M953" t="s">
        <v>374</v>
      </c>
      <c r="N953" t="s">
        <v>1695</v>
      </c>
      <c r="O953" t="s">
        <v>82</v>
      </c>
      <c r="P953" t="str">
        <f>"4170053425                    "</f>
        <v xml:space="preserve">4170053425                    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23.09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1</v>
      </c>
      <c r="BI953">
        <v>1</v>
      </c>
      <c r="BJ953">
        <v>0.2</v>
      </c>
      <c r="BK953">
        <v>1</v>
      </c>
      <c r="BL953">
        <v>71.69</v>
      </c>
      <c r="BM953">
        <v>10.75</v>
      </c>
      <c r="BN953">
        <v>82.44</v>
      </c>
      <c r="BO953">
        <v>82.44</v>
      </c>
      <c r="BQ953" t="s">
        <v>1696</v>
      </c>
      <c r="BR953" t="s">
        <v>84</v>
      </c>
      <c r="BS953" s="3">
        <v>45877</v>
      </c>
      <c r="BT953" s="4">
        <v>0.43125000000000002</v>
      </c>
      <c r="BU953" t="s">
        <v>1697</v>
      </c>
      <c r="BV953" t="s">
        <v>86</v>
      </c>
      <c r="BY953">
        <v>1200</v>
      </c>
      <c r="CA953" t="s">
        <v>203</v>
      </c>
      <c r="CC953" t="s">
        <v>374</v>
      </c>
      <c r="CD953">
        <v>6220</v>
      </c>
      <c r="CE953" t="s">
        <v>109</v>
      </c>
      <c r="CF953" s="3">
        <v>45877</v>
      </c>
      <c r="CI953">
        <v>1</v>
      </c>
      <c r="CJ953">
        <v>1</v>
      </c>
      <c r="CK953">
        <v>21</v>
      </c>
      <c r="CL953" t="s">
        <v>90</v>
      </c>
    </row>
    <row r="954" spans="1:90" x14ac:dyDescent="0.3">
      <c r="A954" t="s">
        <v>72</v>
      </c>
      <c r="B954" t="s">
        <v>73</v>
      </c>
      <c r="C954" t="s">
        <v>74</v>
      </c>
      <c r="E954" t="str">
        <f>"080067083769"</f>
        <v>080067083769</v>
      </c>
      <c r="F954" s="3">
        <v>45876</v>
      </c>
      <c r="G954">
        <v>202605</v>
      </c>
      <c r="H954" t="s">
        <v>75</v>
      </c>
      <c r="I954" t="s">
        <v>76</v>
      </c>
      <c r="J954" t="s">
        <v>77</v>
      </c>
      <c r="K954" t="s">
        <v>78</v>
      </c>
      <c r="L954" t="s">
        <v>278</v>
      </c>
      <c r="M954" t="s">
        <v>279</v>
      </c>
      <c r="N954" t="s">
        <v>1726</v>
      </c>
      <c r="O954" t="s">
        <v>82</v>
      </c>
      <c r="P954" t="str">
        <f>"4170053474                    "</f>
        <v xml:space="preserve">4170053474                    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23.09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1</v>
      </c>
      <c r="BI954">
        <v>1</v>
      </c>
      <c r="BJ954">
        <v>0.2</v>
      </c>
      <c r="BK954">
        <v>1</v>
      </c>
      <c r="BL954">
        <v>71.69</v>
      </c>
      <c r="BM954">
        <v>10.75</v>
      </c>
      <c r="BN954">
        <v>82.44</v>
      </c>
      <c r="BO954">
        <v>82.44</v>
      </c>
      <c r="BQ954" t="s">
        <v>1727</v>
      </c>
      <c r="BR954" t="s">
        <v>84</v>
      </c>
      <c r="BS954" s="3">
        <v>45877</v>
      </c>
      <c r="BT954" s="4">
        <v>0.37083333333333335</v>
      </c>
      <c r="BU954" t="s">
        <v>1728</v>
      </c>
      <c r="BV954" t="s">
        <v>86</v>
      </c>
      <c r="BY954">
        <v>1200</v>
      </c>
      <c r="CA954" t="s">
        <v>1729</v>
      </c>
      <c r="CC954" t="s">
        <v>279</v>
      </c>
      <c r="CD954" s="5" t="s">
        <v>652</v>
      </c>
      <c r="CE954" t="s">
        <v>109</v>
      </c>
      <c r="CF954" s="3">
        <v>45877</v>
      </c>
      <c r="CI954">
        <v>1</v>
      </c>
      <c r="CJ954">
        <v>1</v>
      </c>
      <c r="CK954">
        <v>21</v>
      </c>
      <c r="CL954" t="s">
        <v>90</v>
      </c>
    </row>
    <row r="955" spans="1:90" x14ac:dyDescent="0.3">
      <c r="A955" t="s">
        <v>72</v>
      </c>
      <c r="B955" t="s">
        <v>73</v>
      </c>
      <c r="C955" t="s">
        <v>74</v>
      </c>
      <c r="E955" t="str">
        <f>"080067083795"</f>
        <v>080067083795</v>
      </c>
      <c r="F955" s="3">
        <v>45876</v>
      </c>
      <c r="G955">
        <v>202605</v>
      </c>
      <c r="H955" t="s">
        <v>75</v>
      </c>
      <c r="I955" t="s">
        <v>76</v>
      </c>
      <c r="J955" t="s">
        <v>77</v>
      </c>
      <c r="K955" t="s">
        <v>78</v>
      </c>
      <c r="L955" t="s">
        <v>193</v>
      </c>
      <c r="M955" t="s">
        <v>194</v>
      </c>
      <c r="N955" t="s">
        <v>1730</v>
      </c>
      <c r="O955" t="s">
        <v>82</v>
      </c>
      <c r="P955" t="str">
        <f>"4170053516                    "</f>
        <v xml:space="preserve">4170053516                    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44.73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1</v>
      </c>
      <c r="BI955">
        <v>1</v>
      </c>
      <c r="BJ955">
        <v>0.2</v>
      </c>
      <c r="BK955">
        <v>1</v>
      </c>
      <c r="BL955">
        <v>138.88999999999999</v>
      </c>
      <c r="BM955">
        <v>20.83</v>
      </c>
      <c r="BN955">
        <v>159.72</v>
      </c>
      <c r="BO955">
        <v>159.72</v>
      </c>
      <c r="BQ955" t="s">
        <v>1731</v>
      </c>
      <c r="BR955" t="s">
        <v>84</v>
      </c>
      <c r="BS955" s="3">
        <v>45877</v>
      </c>
      <c r="BT955" s="4">
        <v>0.37222222222222223</v>
      </c>
      <c r="BU955" t="s">
        <v>1732</v>
      </c>
      <c r="BV955" t="s">
        <v>86</v>
      </c>
      <c r="BY955">
        <v>1200</v>
      </c>
      <c r="CA955" t="s">
        <v>1733</v>
      </c>
      <c r="CC955" t="s">
        <v>194</v>
      </c>
      <c r="CD955">
        <v>1050</v>
      </c>
      <c r="CE955" t="s">
        <v>109</v>
      </c>
      <c r="CF955" s="3">
        <v>45880</v>
      </c>
      <c r="CI955">
        <v>1</v>
      </c>
      <c r="CJ955">
        <v>1</v>
      </c>
      <c r="CK955">
        <v>23</v>
      </c>
      <c r="CL955" t="s">
        <v>90</v>
      </c>
    </row>
    <row r="956" spans="1:90" x14ac:dyDescent="0.3">
      <c r="A956" t="s">
        <v>72</v>
      </c>
      <c r="B956" t="s">
        <v>73</v>
      </c>
      <c r="C956" t="s">
        <v>74</v>
      </c>
      <c r="E956" t="str">
        <f>"080067083820"</f>
        <v>080067083820</v>
      </c>
      <c r="F956" s="3">
        <v>45876</v>
      </c>
      <c r="G956">
        <v>202605</v>
      </c>
      <c r="H956" t="s">
        <v>75</v>
      </c>
      <c r="I956" t="s">
        <v>76</v>
      </c>
      <c r="J956" t="s">
        <v>77</v>
      </c>
      <c r="K956" t="s">
        <v>78</v>
      </c>
      <c r="L956" t="s">
        <v>198</v>
      </c>
      <c r="M956" t="s">
        <v>199</v>
      </c>
      <c r="N956" t="s">
        <v>200</v>
      </c>
      <c r="O956" t="s">
        <v>82</v>
      </c>
      <c r="P956" t="str">
        <f>"4170053507                    "</f>
        <v xml:space="preserve">4170053507                    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23.09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1</v>
      </c>
      <c r="BI956">
        <v>1</v>
      </c>
      <c r="BJ956">
        <v>0.2</v>
      </c>
      <c r="BK956">
        <v>1</v>
      </c>
      <c r="BL956">
        <v>71.69</v>
      </c>
      <c r="BM956">
        <v>10.75</v>
      </c>
      <c r="BN956">
        <v>82.44</v>
      </c>
      <c r="BO956">
        <v>82.44</v>
      </c>
      <c r="BQ956" t="s">
        <v>201</v>
      </c>
      <c r="BR956" t="s">
        <v>84</v>
      </c>
      <c r="BS956" s="3">
        <v>45877</v>
      </c>
      <c r="BT956" s="4">
        <v>0.41041666666666665</v>
      </c>
      <c r="BU956" t="s">
        <v>1734</v>
      </c>
      <c r="BV956" t="s">
        <v>86</v>
      </c>
      <c r="BY956">
        <v>1200</v>
      </c>
      <c r="CA956" t="s">
        <v>1570</v>
      </c>
      <c r="CC956" t="s">
        <v>199</v>
      </c>
      <c r="CD956">
        <v>6001</v>
      </c>
      <c r="CE956" t="s">
        <v>109</v>
      </c>
      <c r="CF956" s="3">
        <v>45877</v>
      </c>
      <c r="CI956">
        <v>1</v>
      </c>
      <c r="CJ956">
        <v>1</v>
      </c>
      <c r="CK956">
        <v>21</v>
      </c>
      <c r="CL956" t="s">
        <v>90</v>
      </c>
    </row>
    <row r="957" spans="1:90" x14ac:dyDescent="0.3">
      <c r="A957" t="s">
        <v>72</v>
      </c>
      <c r="B957" t="s">
        <v>73</v>
      </c>
      <c r="C957" t="s">
        <v>74</v>
      </c>
      <c r="E957" t="str">
        <f>"080067083839"</f>
        <v>080067083839</v>
      </c>
      <c r="F957" s="3">
        <v>45876</v>
      </c>
      <c r="G957">
        <v>202605</v>
      </c>
      <c r="H957" t="s">
        <v>75</v>
      </c>
      <c r="I957" t="s">
        <v>76</v>
      </c>
      <c r="J957" t="s">
        <v>77</v>
      </c>
      <c r="K957" t="s">
        <v>78</v>
      </c>
      <c r="L957" t="s">
        <v>223</v>
      </c>
      <c r="M957" t="s">
        <v>224</v>
      </c>
      <c r="N957" t="s">
        <v>225</v>
      </c>
      <c r="O957" t="s">
        <v>82</v>
      </c>
      <c r="P957" t="str">
        <f>"4170053563                    "</f>
        <v xml:space="preserve">4170053563                    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23.09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0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1</v>
      </c>
      <c r="BI957">
        <v>1</v>
      </c>
      <c r="BJ957">
        <v>0.2</v>
      </c>
      <c r="BK957">
        <v>1</v>
      </c>
      <c r="BL957">
        <v>71.69</v>
      </c>
      <c r="BM957">
        <v>10.75</v>
      </c>
      <c r="BN957">
        <v>82.44</v>
      </c>
      <c r="BO957">
        <v>82.44</v>
      </c>
      <c r="BQ957" t="s">
        <v>226</v>
      </c>
      <c r="BR957" t="s">
        <v>84</v>
      </c>
      <c r="BS957" s="3">
        <v>45877</v>
      </c>
      <c r="BT957" s="4">
        <v>0.67500000000000004</v>
      </c>
      <c r="BU957" t="s">
        <v>227</v>
      </c>
      <c r="BV957" t="s">
        <v>90</v>
      </c>
      <c r="BY957">
        <v>1200</v>
      </c>
      <c r="CA957" t="s">
        <v>228</v>
      </c>
      <c r="CC957" t="s">
        <v>224</v>
      </c>
      <c r="CD957">
        <v>5201</v>
      </c>
      <c r="CE957" t="s">
        <v>109</v>
      </c>
      <c r="CF957" s="3">
        <v>45877</v>
      </c>
      <c r="CI957">
        <v>1</v>
      </c>
      <c r="CJ957">
        <v>1</v>
      </c>
      <c r="CK957">
        <v>21</v>
      </c>
      <c r="CL957" t="s">
        <v>90</v>
      </c>
    </row>
    <row r="958" spans="1:90" x14ac:dyDescent="0.3">
      <c r="A958" t="s">
        <v>72</v>
      </c>
      <c r="B958" t="s">
        <v>73</v>
      </c>
      <c r="C958" t="s">
        <v>74</v>
      </c>
      <c r="E958" t="str">
        <f>"080067083861"</f>
        <v>080067083861</v>
      </c>
      <c r="F958" s="3">
        <v>45876</v>
      </c>
      <c r="G958">
        <v>202605</v>
      </c>
      <c r="H958" t="s">
        <v>75</v>
      </c>
      <c r="I958" t="s">
        <v>76</v>
      </c>
      <c r="J958" t="s">
        <v>77</v>
      </c>
      <c r="K958" t="s">
        <v>78</v>
      </c>
      <c r="L958" t="s">
        <v>373</v>
      </c>
      <c r="M958" t="s">
        <v>374</v>
      </c>
      <c r="N958" t="s">
        <v>1695</v>
      </c>
      <c r="O958" t="s">
        <v>82</v>
      </c>
      <c r="P958" t="str">
        <f>"4170053423                    "</f>
        <v xml:space="preserve">4170053423                    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46.15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1</v>
      </c>
      <c r="BI958">
        <v>4</v>
      </c>
      <c r="BJ958">
        <v>1.7</v>
      </c>
      <c r="BK958">
        <v>4</v>
      </c>
      <c r="BL958">
        <v>143.31</v>
      </c>
      <c r="BM958">
        <v>21.5</v>
      </c>
      <c r="BN958">
        <v>164.81</v>
      </c>
      <c r="BO958">
        <v>164.81</v>
      </c>
      <c r="BQ958" t="s">
        <v>1696</v>
      </c>
      <c r="BR958" t="s">
        <v>84</v>
      </c>
      <c r="BS958" s="3">
        <v>45877</v>
      </c>
      <c r="BT958" s="4">
        <v>0.43125000000000002</v>
      </c>
      <c r="BU958" t="s">
        <v>1697</v>
      </c>
      <c r="BV958" t="s">
        <v>86</v>
      </c>
      <c r="BY958">
        <v>8512</v>
      </c>
      <c r="CA958" t="s">
        <v>203</v>
      </c>
      <c r="CC958" t="s">
        <v>374</v>
      </c>
      <c r="CD958">
        <v>6220</v>
      </c>
      <c r="CE958" t="s">
        <v>147</v>
      </c>
      <c r="CF958" s="3">
        <v>45877</v>
      </c>
      <c r="CI958">
        <v>1</v>
      </c>
      <c r="CJ958">
        <v>1</v>
      </c>
      <c r="CK958">
        <v>21</v>
      </c>
      <c r="CL958" t="s">
        <v>90</v>
      </c>
    </row>
    <row r="959" spans="1:90" x14ac:dyDescent="0.3">
      <c r="A959" t="s">
        <v>72</v>
      </c>
      <c r="B959" t="s">
        <v>73</v>
      </c>
      <c r="C959" t="s">
        <v>74</v>
      </c>
      <c r="E959" t="str">
        <f>"080067083878"</f>
        <v>080067083878</v>
      </c>
      <c r="F959" s="3">
        <v>45876</v>
      </c>
      <c r="G959">
        <v>202605</v>
      </c>
      <c r="H959" t="s">
        <v>75</v>
      </c>
      <c r="I959" t="s">
        <v>76</v>
      </c>
      <c r="J959" t="s">
        <v>77</v>
      </c>
      <c r="K959" t="s">
        <v>78</v>
      </c>
      <c r="L959" t="s">
        <v>223</v>
      </c>
      <c r="M959" t="s">
        <v>224</v>
      </c>
      <c r="N959" t="s">
        <v>939</v>
      </c>
      <c r="O959" t="s">
        <v>82</v>
      </c>
      <c r="P959" t="str">
        <f>"4170053448                    "</f>
        <v xml:space="preserve">4170053448                    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23.09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1</v>
      </c>
      <c r="BI959">
        <v>2</v>
      </c>
      <c r="BJ959">
        <v>1.7</v>
      </c>
      <c r="BK959">
        <v>2</v>
      </c>
      <c r="BL959">
        <v>71.69</v>
      </c>
      <c r="BM959">
        <v>10.75</v>
      </c>
      <c r="BN959">
        <v>82.44</v>
      </c>
      <c r="BO959">
        <v>82.44</v>
      </c>
      <c r="BQ959" t="s">
        <v>940</v>
      </c>
      <c r="BR959" t="s">
        <v>84</v>
      </c>
      <c r="BS959" s="3">
        <v>45877</v>
      </c>
      <c r="BT959" s="4">
        <v>0.51527777777777772</v>
      </c>
      <c r="BU959" t="s">
        <v>295</v>
      </c>
      <c r="BV959" t="s">
        <v>90</v>
      </c>
      <c r="BY959">
        <v>8512</v>
      </c>
      <c r="CA959" t="s">
        <v>228</v>
      </c>
      <c r="CC959" t="s">
        <v>224</v>
      </c>
      <c r="CD959">
        <v>5201</v>
      </c>
      <c r="CE959" t="s">
        <v>147</v>
      </c>
      <c r="CF959" s="3">
        <v>45877</v>
      </c>
      <c r="CI959">
        <v>1</v>
      </c>
      <c r="CJ959">
        <v>1</v>
      </c>
      <c r="CK959">
        <v>21</v>
      </c>
      <c r="CL959" t="s">
        <v>90</v>
      </c>
    </row>
    <row r="960" spans="1:90" x14ac:dyDescent="0.3">
      <c r="A960" t="s">
        <v>72</v>
      </c>
      <c r="B960" t="s">
        <v>73</v>
      </c>
      <c r="C960" t="s">
        <v>74</v>
      </c>
      <c r="E960" t="str">
        <f>"080067083936"</f>
        <v>080067083936</v>
      </c>
      <c r="F960" s="3">
        <v>45876</v>
      </c>
      <c r="G960">
        <v>202605</v>
      </c>
      <c r="H960" t="s">
        <v>75</v>
      </c>
      <c r="I960" t="s">
        <v>76</v>
      </c>
      <c r="J960" t="s">
        <v>77</v>
      </c>
      <c r="K960" t="s">
        <v>78</v>
      </c>
      <c r="L960" t="s">
        <v>335</v>
      </c>
      <c r="M960" t="s">
        <v>336</v>
      </c>
      <c r="N960" t="s">
        <v>727</v>
      </c>
      <c r="O960" t="s">
        <v>82</v>
      </c>
      <c r="P960" t="str">
        <f>"4170053539                    "</f>
        <v xml:space="preserve">4170053539                    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44.73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1</v>
      </c>
      <c r="BI960">
        <v>2</v>
      </c>
      <c r="BJ960">
        <v>1.1000000000000001</v>
      </c>
      <c r="BK960">
        <v>2</v>
      </c>
      <c r="BL960">
        <v>138.88999999999999</v>
      </c>
      <c r="BM960">
        <v>20.83</v>
      </c>
      <c r="BN960">
        <v>159.72</v>
      </c>
      <c r="BO960">
        <v>159.72</v>
      </c>
      <c r="BQ960" t="s">
        <v>728</v>
      </c>
      <c r="BR960" t="s">
        <v>84</v>
      </c>
      <c r="BS960" s="3">
        <v>45877</v>
      </c>
      <c r="BT960" s="4">
        <v>0.45069444444444445</v>
      </c>
      <c r="BU960" t="s">
        <v>1587</v>
      </c>
      <c r="BV960" t="s">
        <v>86</v>
      </c>
      <c r="BY960">
        <v>5320</v>
      </c>
      <c r="CA960" t="s">
        <v>730</v>
      </c>
      <c r="CC960" t="s">
        <v>336</v>
      </c>
      <c r="CD960" s="5" t="s">
        <v>341</v>
      </c>
      <c r="CE960" t="s">
        <v>147</v>
      </c>
      <c r="CF960" s="3">
        <v>45880</v>
      </c>
      <c r="CI960">
        <v>1</v>
      </c>
      <c r="CJ960">
        <v>1</v>
      </c>
      <c r="CK960">
        <v>23</v>
      </c>
      <c r="CL960" t="s">
        <v>90</v>
      </c>
    </row>
    <row r="961" spans="1:90" x14ac:dyDescent="0.3">
      <c r="A961" t="s">
        <v>72</v>
      </c>
      <c r="B961" t="s">
        <v>73</v>
      </c>
      <c r="C961" t="s">
        <v>74</v>
      </c>
      <c r="E961" t="str">
        <f>"080067083958"</f>
        <v>080067083958</v>
      </c>
      <c r="F961" s="3">
        <v>45876</v>
      </c>
      <c r="G961">
        <v>202605</v>
      </c>
      <c r="H961" t="s">
        <v>75</v>
      </c>
      <c r="I961" t="s">
        <v>76</v>
      </c>
      <c r="J961" t="s">
        <v>77</v>
      </c>
      <c r="K961" t="s">
        <v>78</v>
      </c>
      <c r="L961" t="s">
        <v>162</v>
      </c>
      <c r="M961" t="s">
        <v>163</v>
      </c>
      <c r="N961" t="s">
        <v>975</v>
      </c>
      <c r="O961" t="s">
        <v>82</v>
      </c>
      <c r="P961" t="str">
        <f>"4170053536                    "</f>
        <v xml:space="preserve">4170053536                    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23.09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16.739999999999998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1</v>
      </c>
      <c r="BI961">
        <v>2</v>
      </c>
      <c r="BJ961">
        <v>1.4</v>
      </c>
      <c r="BK961">
        <v>2</v>
      </c>
      <c r="BL961">
        <v>88.43</v>
      </c>
      <c r="BM961">
        <v>13.26</v>
      </c>
      <c r="BN961">
        <v>101.69</v>
      </c>
      <c r="BO961">
        <v>101.69</v>
      </c>
      <c r="BQ961" t="s">
        <v>976</v>
      </c>
      <c r="BR961" t="s">
        <v>84</v>
      </c>
      <c r="BS961" s="3">
        <v>45877</v>
      </c>
      <c r="BT961" s="4">
        <v>0.41666666666666669</v>
      </c>
      <c r="BU961" t="s">
        <v>977</v>
      </c>
      <c r="BV961" t="s">
        <v>86</v>
      </c>
      <c r="BY961">
        <v>7000</v>
      </c>
      <c r="BZ961" t="s">
        <v>30</v>
      </c>
      <c r="CA961" t="s">
        <v>593</v>
      </c>
      <c r="CC961" t="s">
        <v>163</v>
      </c>
      <c r="CD961">
        <v>3699</v>
      </c>
      <c r="CE961" t="s">
        <v>147</v>
      </c>
      <c r="CF961" s="3">
        <v>45880</v>
      </c>
      <c r="CI961">
        <v>1</v>
      </c>
      <c r="CJ961">
        <v>1</v>
      </c>
      <c r="CK961">
        <v>21</v>
      </c>
      <c r="CL961" t="s">
        <v>90</v>
      </c>
    </row>
    <row r="962" spans="1:90" x14ac:dyDescent="0.3">
      <c r="A962" t="s">
        <v>72</v>
      </c>
      <c r="B962" t="s">
        <v>73</v>
      </c>
      <c r="C962" t="s">
        <v>74</v>
      </c>
      <c r="E962" t="str">
        <f>"080067083989"</f>
        <v>080067083989</v>
      </c>
      <c r="F962" s="3">
        <v>45876</v>
      </c>
      <c r="G962">
        <v>202605</v>
      </c>
      <c r="H962" t="s">
        <v>75</v>
      </c>
      <c r="I962" t="s">
        <v>76</v>
      </c>
      <c r="J962" t="s">
        <v>77</v>
      </c>
      <c r="K962" t="s">
        <v>78</v>
      </c>
      <c r="L962" t="s">
        <v>291</v>
      </c>
      <c r="M962" t="s">
        <v>292</v>
      </c>
      <c r="N962" t="s">
        <v>131</v>
      </c>
      <c r="O962" t="s">
        <v>113</v>
      </c>
      <c r="P962" t="str">
        <f>"4170053540                    "</f>
        <v xml:space="preserve">4170053540                    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18.04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1</v>
      </c>
      <c r="BI962">
        <v>7</v>
      </c>
      <c r="BJ962">
        <v>1.4</v>
      </c>
      <c r="BK962">
        <v>7</v>
      </c>
      <c r="BL962">
        <v>56.01</v>
      </c>
      <c r="BM962">
        <v>8.4</v>
      </c>
      <c r="BN962">
        <v>64.41</v>
      </c>
      <c r="BO962">
        <v>64.41</v>
      </c>
      <c r="BQ962" t="s">
        <v>132</v>
      </c>
      <c r="BR962" t="s">
        <v>84</v>
      </c>
      <c r="BS962" s="3">
        <v>45877</v>
      </c>
      <c r="BT962" s="4">
        <v>0.3611111111111111</v>
      </c>
      <c r="BU962" t="s">
        <v>526</v>
      </c>
      <c r="BV962" t="s">
        <v>86</v>
      </c>
      <c r="BY962">
        <v>7000</v>
      </c>
      <c r="CA962" t="s">
        <v>296</v>
      </c>
      <c r="CC962" t="s">
        <v>292</v>
      </c>
      <c r="CD962">
        <v>1451</v>
      </c>
      <c r="CE962" t="s">
        <v>147</v>
      </c>
      <c r="CF962" s="3">
        <v>45877</v>
      </c>
      <c r="CI962">
        <v>1</v>
      </c>
      <c r="CJ962">
        <v>1</v>
      </c>
      <c r="CK962">
        <v>32</v>
      </c>
      <c r="CL962" t="s">
        <v>90</v>
      </c>
    </row>
    <row r="963" spans="1:90" x14ac:dyDescent="0.3">
      <c r="A963" t="s">
        <v>72</v>
      </c>
      <c r="B963" t="s">
        <v>73</v>
      </c>
      <c r="C963" t="s">
        <v>74</v>
      </c>
      <c r="E963" t="str">
        <f>"080067084018"</f>
        <v>080067084018</v>
      </c>
      <c r="F963" s="3">
        <v>45876</v>
      </c>
      <c r="G963">
        <v>202605</v>
      </c>
      <c r="H963" t="s">
        <v>75</v>
      </c>
      <c r="I963" t="s">
        <v>76</v>
      </c>
      <c r="J963" t="s">
        <v>77</v>
      </c>
      <c r="K963" t="s">
        <v>78</v>
      </c>
      <c r="L963" t="s">
        <v>118</v>
      </c>
      <c r="M963" t="s">
        <v>118</v>
      </c>
      <c r="N963" t="s">
        <v>466</v>
      </c>
      <c r="O963" t="s">
        <v>82</v>
      </c>
      <c r="P963" t="str">
        <f>"4170053458                    "</f>
        <v xml:space="preserve">4170053458                    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85.12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1</v>
      </c>
      <c r="BI963">
        <v>4</v>
      </c>
      <c r="BJ963">
        <v>1.7</v>
      </c>
      <c r="BK963">
        <v>4</v>
      </c>
      <c r="BL963">
        <v>264.32</v>
      </c>
      <c r="BM963">
        <v>39.65</v>
      </c>
      <c r="BN963">
        <v>303.97000000000003</v>
      </c>
      <c r="BO963">
        <v>303.97000000000003</v>
      </c>
      <c r="BQ963" t="s">
        <v>467</v>
      </c>
      <c r="BR963" t="s">
        <v>84</v>
      </c>
      <c r="BS963" s="3">
        <v>45877</v>
      </c>
      <c r="BT963" s="4">
        <v>0.54166666666666663</v>
      </c>
      <c r="BU963" t="s">
        <v>1651</v>
      </c>
      <c r="BV963" t="s">
        <v>86</v>
      </c>
      <c r="BY963">
        <v>8512</v>
      </c>
      <c r="CA963" t="s">
        <v>1420</v>
      </c>
      <c r="CC963" t="s">
        <v>118</v>
      </c>
      <c r="CD963">
        <v>7646</v>
      </c>
      <c r="CE963" t="s">
        <v>147</v>
      </c>
      <c r="CF963" s="3">
        <v>45880</v>
      </c>
      <c r="CI963">
        <v>1</v>
      </c>
      <c r="CJ963">
        <v>1</v>
      </c>
      <c r="CK963">
        <v>23</v>
      </c>
      <c r="CL963" t="s">
        <v>90</v>
      </c>
    </row>
    <row r="964" spans="1:90" x14ac:dyDescent="0.3">
      <c r="A964" t="s">
        <v>72</v>
      </c>
      <c r="B964" t="s">
        <v>73</v>
      </c>
      <c r="C964" t="s">
        <v>74</v>
      </c>
      <c r="E964" t="str">
        <f>"R080067004295"</f>
        <v>R080067004295</v>
      </c>
      <c r="F964" s="3">
        <v>45876</v>
      </c>
      <c r="G964">
        <v>202605</v>
      </c>
      <c r="H964" t="s">
        <v>75</v>
      </c>
      <c r="I964" t="s">
        <v>76</v>
      </c>
      <c r="J964" t="s">
        <v>774</v>
      </c>
      <c r="K964" t="s">
        <v>78</v>
      </c>
      <c r="L964" t="s">
        <v>75</v>
      </c>
      <c r="M964" t="s">
        <v>76</v>
      </c>
      <c r="N964" t="s">
        <v>1735</v>
      </c>
      <c r="O964" t="s">
        <v>95</v>
      </c>
      <c r="P964" t="str">
        <f>"4170051384                    "</f>
        <v xml:space="preserve">4170051384                    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34.450000000000003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1</v>
      </c>
      <c r="BI964">
        <v>1</v>
      </c>
      <c r="BJ964">
        <v>1.5</v>
      </c>
      <c r="BK964">
        <v>2</v>
      </c>
      <c r="BL964">
        <v>112.84</v>
      </c>
      <c r="BM964">
        <v>16.93</v>
      </c>
      <c r="BN964">
        <v>129.77000000000001</v>
      </c>
      <c r="BO964">
        <v>129.77000000000001</v>
      </c>
      <c r="BQ964" s="5" t="s">
        <v>1736</v>
      </c>
      <c r="BR964" t="s">
        <v>775</v>
      </c>
      <c r="BS964" s="3">
        <v>45880</v>
      </c>
      <c r="BT964" s="4">
        <v>0.49791666666666667</v>
      </c>
      <c r="BU964" t="s">
        <v>1106</v>
      </c>
      <c r="BV964" t="s">
        <v>90</v>
      </c>
      <c r="BY964">
        <v>7448</v>
      </c>
      <c r="CA964" t="s">
        <v>1737</v>
      </c>
      <c r="CC964" t="s">
        <v>76</v>
      </c>
      <c r="CD964">
        <v>1619</v>
      </c>
      <c r="CE964" t="s">
        <v>117</v>
      </c>
      <c r="CF964" s="3">
        <v>45880</v>
      </c>
      <c r="CI964">
        <v>1</v>
      </c>
      <c r="CJ964">
        <v>2</v>
      </c>
      <c r="CK964">
        <v>42</v>
      </c>
      <c r="CL964" t="s">
        <v>90</v>
      </c>
    </row>
    <row r="965" spans="1:90" x14ac:dyDescent="0.3">
      <c r="A965" t="s">
        <v>72</v>
      </c>
      <c r="B965" t="s">
        <v>73</v>
      </c>
      <c r="C965" t="s">
        <v>74</v>
      </c>
      <c r="E965" t="str">
        <f>"080067084443"</f>
        <v>080067084443</v>
      </c>
      <c r="F965" s="3">
        <v>45876</v>
      </c>
      <c r="G965">
        <v>202605</v>
      </c>
      <c r="H965" t="s">
        <v>75</v>
      </c>
      <c r="I965" t="s">
        <v>76</v>
      </c>
      <c r="J965" t="s">
        <v>77</v>
      </c>
      <c r="K965" t="s">
        <v>78</v>
      </c>
      <c r="L965" t="s">
        <v>278</v>
      </c>
      <c r="M965" t="s">
        <v>279</v>
      </c>
      <c r="N965" t="s">
        <v>928</v>
      </c>
      <c r="O965" t="s">
        <v>82</v>
      </c>
      <c r="P965" t="str">
        <f>"4170053521                    "</f>
        <v xml:space="preserve">4170053521                    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34.619999999999997</v>
      </c>
      <c r="AR965">
        <v>0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0</v>
      </c>
      <c r="BF965">
        <v>0</v>
      </c>
      <c r="BG965">
        <v>0</v>
      </c>
      <c r="BH965">
        <v>1</v>
      </c>
      <c r="BI965">
        <v>3</v>
      </c>
      <c r="BJ965">
        <v>1.1000000000000001</v>
      </c>
      <c r="BK965">
        <v>3</v>
      </c>
      <c r="BL965">
        <v>107.5</v>
      </c>
      <c r="BM965">
        <v>16.13</v>
      </c>
      <c r="BN965">
        <v>123.63</v>
      </c>
      <c r="BO965">
        <v>123.63</v>
      </c>
      <c r="BQ965" t="s">
        <v>929</v>
      </c>
      <c r="BR965" t="s">
        <v>84</v>
      </c>
      <c r="BS965" s="3">
        <v>45877</v>
      </c>
      <c r="BT965" s="4">
        <v>0.33402777777777776</v>
      </c>
      <c r="BU965" t="s">
        <v>1230</v>
      </c>
      <c r="BV965" t="s">
        <v>86</v>
      </c>
      <c r="BY965">
        <v>5250</v>
      </c>
      <c r="CA965" t="s">
        <v>511</v>
      </c>
      <c r="CC965" t="s">
        <v>279</v>
      </c>
      <c r="CD965" s="5" t="s">
        <v>512</v>
      </c>
      <c r="CE965" t="s">
        <v>117</v>
      </c>
      <c r="CF965" s="3">
        <v>45877</v>
      </c>
      <c r="CI965">
        <v>1</v>
      </c>
      <c r="CJ965">
        <v>1</v>
      </c>
      <c r="CK965">
        <v>21</v>
      </c>
      <c r="CL965" t="s">
        <v>90</v>
      </c>
    </row>
    <row r="966" spans="1:90" x14ac:dyDescent="0.3">
      <c r="A966" t="s">
        <v>72</v>
      </c>
      <c r="B966" t="s">
        <v>73</v>
      </c>
      <c r="C966" t="s">
        <v>74</v>
      </c>
      <c r="E966" t="str">
        <f>"080067084474"</f>
        <v>080067084474</v>
      </c>
      <c r="F966" s="3">
        <v>45876</v>
      </c>
      <c r="G966">
        <v>202605</v>
      </c>
      <c r="H966" t="s">
        <v>75</v>
      </c>
      <c r="I966" t="s">
        <v>76</v>
      </c>
      <c r="J966" t="s">
        <v>77</v>
      </c>
      <c r="K966" t="s">
        <v>78</v>
      </c>
      <c r="L966" t="s">
        <v>1087</v>
      </c>
      <c r="M966" t="s">
        <v>1088</v>
      </c>
      <c r="N966" t="s">
        <v>1089</v>
      </c>
      <c r="O966" t="s">
        <v>82</v>
      </c>
      <c r="P966" t="str">
        <f>"4170053457                    "</f>
        <v xml:space="preserve">4170053457                    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44.73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1</v>
      </c>
      <c r="BI966">
        <v>1</v>
      </c>
      <c r="BJ966">
        <v>1.1000000000000001</v>
      </c>
      <c r="BK966">
        <v>1.5</v>
      </c>
      <c r="BL966">
        <v>138.88999999999999</v>
      </c>
      <c r="BM966">
        <v>20.83</v>
      </c>
      <c r="BN966">
        <v>159.72</v>
      </c>
      <c r="BO966">
        <v>159.72</v>
      </c>
      <c r="BQ966" t="s">
        <v>1090</v>
      </c>
      <c r="BR966" t="s">
        <v>84</v>
      </c>
      <c r="BS966" s="3">
        <v>45877</v>
      </c>
      <c r="BT966" s="4">
        <v>0.57708333333333328</v>
      </c>
      <c r="BU966" t="s">
        <v>1738</v>
      </c>
      <c r="BV966" t="s">
        <v>86</v>
      </c>
      <c r="BY966">
        <v>5320</v>
      </c>
      <c r="CA966" t="s">
        <v>1092</v>
      </c>
      <c r="CC966" t="s">
        <v>1088</v>
      </c>
      <c r="CD966">
        <v>6500</v>
      </c>
      <c r="CE966" t="s">
        <v>147</v>
      </c>
      <c r="CF966" s="3">
        <v>45877</v>
      </c>
      <c r="CI966">
        <v>1</v>
      </c>
      <c r="CJ966">
        <v>1</v>
      </c>
      <c r="CK966">
        <v>23</v>
      </c>
      <c r="CL966" t="s">
        <v>90</v>
      </c>
    </row>
    <row r="967" spans="1:90" x14ac:dyDescent="0.3">
      <c r="A967" t="s">
        <v>72</v>
      </c>
      <c r="B967" t="s">
        <v>73</v>
      </c>
      <c r="C967" t="s">
        <v>74</v>
      </c>
      <c r="E967" t="str">
        <f>"080067084527"</f>
        <v>080067084527</v>
      </c>
      <c r="F967" s="3">
        <v>45876</v>
      </c>
      <c r="G967">
        <v>202605</v>
      </c>
      <c r="H967" t="s">
        <v>75</v>
      </c>
      <c r="I967" t="s">
        <v>76</v>
      </c>
      <c r="J967" t="s">
        <v>77</v>
      </c>
      <c r="K967" t="s">
        <v>78</v>
      </c>
      <c r="L967" t="s">
        <v>137</v>
      </c>
      <c r="M967" t="s">
        <v>138</v>
      </c>
      <c r="N967" t="s">
        <v>638</v>
      </c>
      <c r="O967" t="s">
        <v>82</v>
      </c>
      <c r="P967" t="str">
        <f>"4170053452                    "</f>
        <v xml:space="preserve">4170053452                    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23.09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1</v>
      </c>
      <c r="BI967">
        <v>1</v>
      </c>
      <c r="BJ967">
        <v>1.1000000000000001</v>
      </c>
      <c r="BK967">
        <v>1.5</v>
      </c>
      <c r="BL967">
        <v>71.69</v>
      </c>
      <c r="BM967">
        <v>10.75</v>
      </c>
      <c r="BN967">
        <v>82.44</v>
      </c>
      <c r="BO967">
        <v>82.44</v>
      </c>
      <c r="BQ967" t="s">
        <v>639</v>
      </c>
      <c r="BR967" t="s">
        <v>84</v>
      </c>
      <c r="BS967" s="3">
        <v>45877</v>
      </c>
      <c r="BT967" s="4">
        <v>0.44791666666666669</v>
      </c>
      <c r="BU967" t="s">
        <v>1739</v>
      </c>
      <c r="BV967" t="s">
        <v>90</v>
      </c>
      <c r="BW967" t="s">
        <v>134</v>
      </c>
      <c r="BX967" t="s">
        <v>135</v>
      </c>
      <c r="BY967">
        <v>5320</v>
      </c>
      <c r="CC967" t="s">
        <v>138</v>
      </c>
      <c r="CD967">
        <v>3620</v>
      </c>
      <c r="CE967" t="s">
        <v>147</v>
      </c>
      <c r="CF967" s="3">
        <v>45877</v>
      </c>
      <c r="CI967">
        <v>1</v>
      </c>
      <c r="CJ967">
        <v>1</v>
      </c>
      <c r="CK967">
        <v>21</v>
      </c>
      <c r="CL967" t="s">
        <v>90</v>
      </c>
    </row>
    <row r="968" spans="1:90" x14ac:dyDescent="0.3">
      <c r="A968" t="s">
        <v>72</v>
      </c>
      <c r="B968" t="s">
        <v>73</v>
      </c>
      <c r="C968" t="s">
        <v>74</v>
      </c>
      <c r="E968" t="str">
        <f>"080067084573"</f>
        <v>080067084573</v>
      </c>
      <c r="F968" s="3">
        <v>45876</v>
      </c>
      <c r="G968">
        <v>202605</v>
      </c>
      <c r="H968" t="s">
        <v>75</v>
      </c>
      <c r="I968" t="s">
        <v>76</v>
      </c>
      <c r="J968" t="s">
        <v>77</v>
      </c>
      <c r="K968" t="s">
        <v>78</v>
      </c>
      <c r="L968" t="s">
        <v>129</v>
      </c>
      <c r="M968" t="s">
        <v>130</v>
      </c>
      <c r="N968" t="s">
        <v>697</v>
      </c>
      <c r="O968" t="s">
        <v>82</v>
      </c>
      <c r="P968" t="str">
        <f>"4170053473                    "</f>
        <v xml:space="preserve">4170053473                    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23.09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16.739999999999998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1</v>
      </c>
      <c r="BI968">
        <v>1</v>
      </c>
      <c r="BJ968">
        <v>0.2</v>
      </c>
      <c r="BK968">
        <v>1</v>
      </c>
      <c r="BL968">
        <v>88.43</v>
      </c>
      <c r="BM968">
        <v>13.26</v>
      </c>
      <c r="BN968">
        <v>101.69</v>
      </c>
      <c r="BO968">
        <v>101.69</v>
      </c>
      <c r="BQ968" t="s">
        <v>698</v>
      </c>
      <c r="BR968" t="s">
        <v>84</v>
      </c>
      <c r="BS968" s="3">
        <v>45880</v>
      </c>
      <c r="BT968" s="4">
        <v>0.59722222222222221</v>
      </c>
      <c r="BU968" t="s">
        <v>1740</v>
      </c>
      <c r="BV968" t="s">
        <v>90</v>
      </c>
      <c r="BW968" t="s">
        <v>1167</v>
      </c>
      <c r="BX968" t="s">
        <v>641</v>
      </c>
      <c r="BY968">
        <v>1200</v>
      </c>
      <c r="BZ968" t="s">
        <v>30</v>
      </c>
      <c r="CA968" t="s">
        <v>136</v>
      </c>
      <c r="CC968" t="s">
        <v>130</v>
      </c>
      <c r="CD968">
        <v>4133</v>
      </c>
      <c r="CE968" t="s">
        <v>109</v>
      </c>
      <c r="CF968" s="3">
        <v>45881</v>
      </c>
      <c r="CI968">
        <v>1</v>
      </c>
      <c r="CJ968">
        <v>2</v>
      </c>
      <c r="CK968">
        <v>21</v>
      </c>
      <c r="CL968" t="s">
        <v>90</v>
      </c>
    </row>
    <row r="969" spans="1:90" x14ac:dyDescent="0.3">
      <c r="A969" t="s">
        <v>72</v>
      </c>
      <c r="B969" t="s">
        <v>73</v>
      </c>
      <c r="C969" t="s">
        <v>74</v>
      </c>
      <c r="E969" t="str">
        <f>"080067084605"</f>
        <v>080067084605</v>
      </c>
      <c r="F969" s="3">
        <v>45876</v>
      </c>
      <c r="G969">
        <v>202605</v>
      </c>
      <c r="H969" t="s">
        <v>75</v>
      </c>
      <c r="I969" t="s">
        <v>76</v>
      </c>
      <c r="J969" t="s">
        <v>77</v>
      </c>
      <c r="K969" t="s">
        <v>78</v>
      </c>
      <c r="L969" t="s">
        <v>217</v>
      </c>
      <c r="M969" t="s">
        <v>218</v>
      </c>
      <c r="N969" t="s">
        <v>249</v>
      </c>
      <c r="O969" t="s">
        <v>82</v>
      </c>
      <c r="P969" t="str">
        <f>"4170053489                    "</f>
        <v xml:space="preserve">4170053489                    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23.09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1</v>
      </c>
      <c r="BI969">
        <v>1</v>
      </c>
      <c r="BJ969">
        <v>0.2</v>
      </c>
      <c r="BK969">
        <v>1</v>
      </c>
      <c r="BL969">
        <v>71.69</v>
      </c>
      <c r="BM969">
        <v>10.75</v>
      </c>
      <c r="BN969">
        <v>82.44</v>
      </c>
      <c r="BO969">
        <v>82.44</v>
      </c>
      <c r="BQ969" t="s">
        <v>250</v>
      </c>
      <c r="BR969" t="s">
        <v>84</v>
      </c>
      <c r="BS969" s="3">
        <v>45877</v>
      </c>
      <c r="BT969" s="4">
        <v>0.55069444444444449</v>
      </c>
      <c r="BU969" t="s">
        <v>787</v>
      </c>
      <c r="BV969" t="s">
        <v>90</v>
      </c>
      <c r="BW969" t="s">
        <v>134</v>
      </c>
      <c r="BX969" t="s">
        <v>1573</v>
      </c>
      <c r="BY969">
        <v>1200</v>
      </c>
      <c r="CA969" t="s">
        <v>136</v>
      </c>
      <c r="CC969" t="s">
        <v>218</v>
      </c>
      <c r="CD969">
        <v>4052</v>
      </c>
      <c r="CE969" t="s">
        <v>109</v>
      </c>
      <c r="CF969" s="3">
        <v>45877</v>
      </c>
      <c r="CI969">
        <v>1</v>
      </c>
      <c r="CJ969">
        <v>1</v>
      </c>
      <c r="CK969">
        <v>21</v>
      </c>
      <c r="CL969" t="s">
        <v>90</v>
      </c>
    </row>
    <row r="970" spans="1:90" x14ac:dyDescent="0.3">
      <c r="A970" t="s">
        <v>72</v>
      </c>
      <c r="B970" t="s">
        <v>73</v>
      </c>
      <c r="C970" t="s">
        <v>74</v>
      </c>
      <c r="E970" t="str">
        <f>"080067084645"</f>
        <v>080067084645</v>
      </c>
      <c r="F970" s="3">
        <v>45876</v>
      </c>
      <c r="G970">
        <v>202605</v>
      </c>
      <c r="H970" t="s">
        <v>75</v>
      </c>
      <c r="I970" t="s">
        <v>76</v>
      </c>
      <c r="J970" t="s">
        <v>77</v>
      </c>
      <c r="K970" t="s">
        <v>78</v>
      </c>
      <c r="L970" t="s">
        <v>75</v>
      </c>
      <c r="M970" t="s">
        <v>76</v>
      </c>
      <c r="N970" t="s">
        <v>830</v>
      </c>
      <c r="O970" t="s">
        <v>82</v>
      </c>
      <c r="P970" t="str">
        <f>"4170053479                    "</f>
        <v xml:space="preserve">4170053479                    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18.03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1</v>
      </c>
      <c r="BI970">
        <v>1</v>
      </c>
      <c r="BJ970">
        <v>0.2</v>
      </c>
      <c r="BK970">
        <v>1</v>
      </c>
      <c r="BL970">
        <v>55.99</v>
      </c>
      <c r="BM970">
        <v>8.4</v>
      </c>
      <c r="BN970">
        <v>64.39</v>
      </c>
      <c r="BO970">
        <v>64.39</v>
      </c>
      <c r="BQ970" t="s">
        <v>831</v>
      </c>
      <c r="BR970" t="s">
        <v>84</v>
      </c>
      <c r="BS970" s="3">
        <v>45880</v>
      </c>
      <c r="BT970" s="4">
        <v>0.41666666666666669</v>
      </c>
      <c r="BU970" t="s">
        <v>1741</v>
      </c>
      <c r="BV970" t="s">
        <v>90</v>
      </c>
      <c r="BW970" t="s">
        <v>380</v>
      </c>
      <c r="BX970" t="s">
        <v>1742</v>
      </c>
      <c r="BY970">
        <v>1200</v>
      </c>
      <c r="CA970" t="s">
        <v>1743</v>
      </c>
      <c r="CC970" t="s">
        <v>76</v>
      </c>
      <c r="CD970">
        <v>1601</v>
      </c>
      <c r="CE970" t="s">
        <v>109</v>
      </c>
      <c r="CF970" s="3">
        <v>45880</v>
      </c>
      <c r="CI970">
        <v>1</v>
      </c>
      <c r="CJ970">
        <v>2</v>
      </c>
      <c r="CK970">
        <v>22</v>
      </c>
      <c r="CL970" t="s">
        <v>90</v>
      </c>
    </row>
    <row r="971" spans="1:90" x14ac:dyDescent="0.3">
      <c r="A971" t="s">
        <v>72</v>
      </c>
      <c r="B971" t="s">
        <v>73</v>
      </c>
      <c r="C971" t="s">
        <v>74</v>
      </c>
      <c r="E971" t="str">
        <f>"080067084673"</f>
        <v>080067084673</v>
      </c>
      <c r="F971" s="3">
        <v>45876</v>
      </c>
      <c r="G971">
        <v>202605</v>
      </c>
      <c r="H971" t="s">
        <v>75</v>
      </c>
      <c r="I971" t="s">
        <v>76</v>
      </c>
      <c r="J971" t="s">
        <v>77</v>
      </c>
      <c r="K971" t="s">
        <v>78</v>
      </c>
      <c r="L971" t="s">
        <v>123</v>
      </c>
      <c r="M971" t="s">
        <v>124</v>
      </c>
      <c r="N971" t="s">
        <v>534</v>
      </c>
      <c r="O971" t="s">
        <v>82</v>
      </c>
      <c r="P971" t="str">
        <f>"4170053436                    "</f>
        <v xml:space="preserve">4170053436                    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23.09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1</v>
      </c>
      <c r="BI971">
        <v>1</v>
      </c>
      <c r="BJ971">
        <v>0.2</v>
      </c>
      <c r="BK971">
        <v>1</v>
      </c>
      <c r="BL971">
        <v>71.69</v>
      </c>
      <c r="BM971">
        <v>10.75</v>
      </c>
      <c r="BN971">
        <v>82.44</v>
      </c>
      <c r="BO971">
        <v>82.44</v>
      </c>
      <c r="BQ971" t="s">
        <v>535</v>
      </c>
      <c r="BR971" t="s">
        <v>84</v>
      </c>
      <c r="BS971" s="3">
        <v>45877</v>
      </c>
      <c r="BT971" s="4">
        <v>0.4</v>
      </c>
      <c r="BU971" t="s">
        <v>1394</v>
      </c>
      <c r="BV971" t="s">
        <v>86</v>
      </c>
      <c r="BY971">
        <v>1200</v>
      </c>
      <c r="CA971" t="s">
        <v>1238</v>
      </c>
      <c r="CC971" t="s">
        <v>124</v>
      </c>
      <c r="CD971">
        <v>7480</v>
      </c>
      <c r="CE971" t="s">
        <v>109</v>
      </c>
      <c r="CF971" s="3">
        <v>45880</v>
      </c>
      <c r="CI971">
        <v>1</v>
      </c>
      <c r="CJ971">
        <v>1</v>
      </c>
      <c r="CK971">
        <v>21</v>
      </c>
      <c r="CL971" t="s">
        <v>90</v>
      </c>
    </row>
    <row r="972" spans="1:90" x14ac:dyDescent="0.3">
      <c r="A972" t="s">
        <v>72</v>
      </c>
      <c r="B972" t="s">
        <v>73</v>
      </c>
      <c r="C972" t="s">
        <v>74</v>
      </c>
      <c r="E972" t="str">
        <f>"080067084700"</f>
        <v>080067084700</v>
      </c>
      <c r="F972" s="3">
        <v>45876</v>
      </c>
      <c r="G972">
        <v>202605</v>
      </c>
      <c r="H972" t="s">
        <v>75</v>
      </c>
      <c r="I972" t="s">
        <v>76</v>
      </c>
      <c r="J972" t="s">
        <v>77</v>
      </c>
      <c r="K972" t="s">
        <v>78</v>
      </c>
      <c r="L972" t="s">
        <v>123</v>
      </c>
      <c r="M972" t="s">
        <v>124</v>
      </c>
      <c r="N972" t="s">
        <v>406</v>
      </c>
      <c r="O972" t="s">
        <v>82</v>
      </c>
      <c r="P972" t="str">
        <f>"4170053444                    "</f>
        <v xml:space="preserve">4170053444                    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23.09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1</v>
      </c>
      <c r="BI972">
        <v>1</v>
      </c>
      <c r="BJ972">
        <v>0.2</v>
      </c>
      <c r="BK972">
        <v>1</v>
      </c>
      <c r="BL972">
        <v>71.69</v>
      </c>
      <c r="BM972">
        <v>10.75</v>
      </c>
      <c r="BN972">
        <v>82.44</v>
      </c>
      <c r="BO972">
        <v>82.44</v>
      </c>
      <c r="BQ972" t="s">
        <v>407</v>
      </c>
      <c r="BR972" t="s">
        <v>84</v>
      </c>
      <c r="BS972" s="3">
        <v>45877</v>
      </c>
      <c r="BT972" s="4">
        <v>0.4375</v>
      </c>
      <c r="BU972" t="s">
        <v>408</v>
      </c>
      <c r="BV972" t="s">
        <v>86</v>
      </c>
      <c r="BY972">
        <v>1200</v>
      </c>
      <c r="CA972" t="s">
        <v>192</v>
      </c>
      <c r="CC972" t="s">
        <v>124</v>
      </c>
      <c r="CD972">
        <v>7441</v>
      </c>
      <c r="CE972" t="s">
        <v>109</v>
      </c>
      <c r="CF972" s="3">
        <v>45880</v>
      </c>
      <c r="CI972">
        <v>1</v>
      </c>
      <c r="CJ972">
        <v>1</v>
      </c>
      <c r="CK972">
        <v>21</v>
      </c>
      <c r="CL972" t="s">
        <v>90</v>
      </c>
    </row>
    <row r="973" spans="1:90" x14ac:dyDescent="0.3">
      <c r="A973" t="s">
        <v>72</v>
      </c>
      <c r="B973" t="s">
        <v>73</v>
      </c>
      <c r="C973" t="s">
        <v>74</v>
      </c>
      <c r="E973" t="str">
        <f>"080067084727"</f>
        <v>080067084727</v>
      </c>
      <c r="F973" s="3">
        <v>45876</v>
      </c>
      <c r="G973">
        <v>202605</v>
      </c>
      <c r="H973" t="s">
        <v>75</v>
      </c>
      <c r="I973" t="s">
        <v>76</v>
      </c>
      <c r="J973" t="s">
        <v>77</v>
      </c>
      <c r="K973" t="s">
        <v>78</v>
      </c>
      <c r="L973" t="s">
        <v>373</v>
      </c>
      <c r="M973" t="s">
        <v>374</v>
      </c>
      <c r="N973" t="s">
        <v>1695</v>
      </c>
      <c r="O973" t="s">
        <v>82</v>
      </c>
      <c r="P973" t="str">
        <f>"4170053419                    "</f>
        <v xml:space="preserve">4170053419                    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23.09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1</v>
      </c>
      <c r="BI973">
        <v>1</v>
      </c>
      <c r="BJ973">
        <v>0.2</v>
      </c>
      <c r="BK973">
        <v>1</v>
      </c>
      <c r="BL973">
        <v>71.69</v>
      </c>
      <c r="BM973">
        <v>10.75</v>
      </c>
      <c r="BN973">
        <v>82.44</v>
      </c>
      <c r="BO973">
        <v>82.44</v>
      </c>
      <c r="BQ973" t="s">
        <v>1696</v>
      </c>
      <c r="BR973" t="s">
        <v>84</v>
      </c>
      <c r="BS973" s="3">
        <v>45877</v>
      </c>
      <c r="BT973" s="4">
        <v>0.43125000000000002</v>
      </c>
      <c r="BU973" t="s">
        <v>1697</v>
      </c>
      <c r="BV973" t="s">
        <v>86</v>
      </c>
      <c r="BY973">
        <v>1200</v>
      </c>
      <c r="CA973" t="s">
        <v>203</v>
      </c>
      <c r="CC973" t="s">
        <v>374</v>
      </c>
      <c r="CD973">
        <v>6220</v>
      </c>
      <c r="CE973" t="s">
        <v>109</v>
      </c>
      <c r="CF973" s="3">
        <v>45877</v>
      </c>
      <c r="CI973">
        <v>1</v>
      </c>
      <c r="CJ973">
        <v>1</v>
      </c>
      <c r="CK973">
        <v>21</v>
      </c>
      <c r="CL973" t="s">
        <v>90</v>
      </c>
    </row>
    <row r="974" spans="1:90" x14ac:dyDescent="0.3">
      <c r="A974" t="s">
        <v>72</v>
      </c>
      <c r="B974" t="s">
        <v>73</v>
      </c>
      <c r="C974" t="s">
        <v>74</v>
      </c>
      <c r="E974" t="str">
        <f>"080067084765"</f>
        <v>080067084765</v>
      </c>
      <c r="F974" s="3">
        <v>45876</v>
      </c>
      <c r="G974">
        <v>202605</v>
      </c>
      <c r="H974" t="s">
        <v>75</v>
      </c>
      <c r="I974" t="s">
        <v>76</v>
      </c>
      <c r="J974" t="s">
        <v>77</v>
      </c>
      <c r="K974" t="s">
        <v>78</v>
      </c>
      <c r="L974" t="s">
        <v>400</v>
      </c>
      <c r="M974" t="s">
        <v>401</v>
      </c>
      <c r="N974" t="s">
        <v>1744</v>
      </c>
      <c r="O974" t="s">
        <v>82</v>
      </c>
      <c r="P974" t="str">
        <f>"4170053541                    "</f>
        <v xml:space="preserve">4170053541                    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23.09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1</v>
      </c>
      <c r="BI974">
        <v>1</v>
      </c>
      <c r="BJ974">
        <v>0.2</v>
      </c>
      <c r="BK974">
        <v>1</v>
      </c>
      <c r="BL974">
        <v>71.69</v>
      </c>
      <c r="BM974">
        <v>10.75</v>
      </c>
      <c r="BN974">
        <v>82.44</v>
      </c>
      <c r="BO974">
        <v>82.44</v>
      </c>
      <c r="BQ974" t="s">
        <v>1745</v>
      </c>
      <c r="BR974" t="s">
        <v>84</v>
      </c>
      <c r="BS974" s="3">
        <v>45877</v>
      </c>
      <c r="BT974" s="4">
        <v>0.33750000000000002</v>
      </c>
      <c r="BU974" t="s">
        <v>1746</v>
      </c>
      <c r="BV974" t="s">
        <v>86</v>
      </c>
      <c r="BY974">
        <v>1200</v>
      </c>
      <c r="CA974" t="s">
        <v>405</v>
      </c>
      <c r="CC974" t="s">
        <v>401</v>
      </c>
      <c r="CD974">
        <v>6021</v>
      </c>
      <c r="CE974" t="s">
        <v>109</v>
      </c>
      <c r="CF974" s="3">
        <v>45877</v>
      </c>
      <c r="CI974">
        <v>1</v>
      </c>
      <c r="CJ974">
        <v>1</v>
      </c>
      <c r="CK974">
        <v>21</v>
      </c>
      <c r="CL974" t="s">
        <v>90</v>
      </c>
    </row>
    <row r="975" spans="1:90" x14ac:dyDescent="0.3">
      <c r="A975" t="s">
        <v>72</v>
      </c>
      <c r="B975" t="s">
        <v>73</v>
      </c>
      <c r="C975" t="s">
        <v>74</v>
      </c>
      <c r="E975" t="str">
        <f>"080067084920"</f>
        <v>080067084920</v>
      </c>
      <c r="F975" s="3">
        <v>45876</v>
      </c>
      <c r="G975">
        <v>202605</v>
      </c>
      <c r="H975" t="s">
        <v>75</v>
      </c>
      <c r="I975" t="s">
        <v>76</v>
      </c>
      <c r="J975" t="s">
        <v>77</v>
      </c>
      <c r="K975" t="s">
        <v>78</v>
      </c>
      <c r="L975" t="s">
        <v>325</v>
      </c>
      <c r="M975" t="s">
        <v>326</v>
      </c>
      <c r="N975" t="s">
        <v>1055</v>
      </c>
      <c r="O975" t="s">
        <v>82</v>
      </c>
      <c r="P975" t="str">
        <f>"4170053560                    "</f>
        <v xml:space="preserve">4170053560                    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18.03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1</v>
      </c>
      <c r="BI975">
        <v>2</v>
      </c>
      <c r="BJ975">
        <v>1.7</v>
      </c>
      <c r="BK975">
        <v>2</v>
      </c>
      <c r="BL975">
        <v>55.99</v>
      </c>
      <c r="BM975">
        <v>8.4</v>
      </c>
      <c r="BN975">
        <v>64.39</v>
      </c>
      <c r="BO975">
        <v>64.39</v>
      </c>
      <c r="BQ975" t="s">
        <v>1056</v>
      </c>
      <c r="BR975" t="s">
        <v>84</v>
      </c>
      <c r="BS975" s="3">
        <v>45877</v>
      </c>
      <c r="BT975" s="4">
        <v>0.41666666666666669</v>
      </c>
      <c r="BU975" t="s">
        <v>1747</v>
      </c>
      <c r="BV975" t="s">
        <v>86</v>
      </c>
      <c r="BY975">
        <v>8550</v>
      </c>
      <c r="BZ975" t="s">
        <v>330</v>
      </c>
      <c r="CA975" t="s">
        <v>461</v>
      </c>
      <c r="CC975" t="s">
        <v>326</v>
      </c>
      <c r="CD975">
        <v>2094</v>
      </c>
      <c r="CE975" t="s">
        <v>147</v>
      </c>
      <c r="CF975" s="3">
        <v>45878</v>
      </c>
      <c r="CI975">
        <v>1</v>
      </c>
      <c r="CJ975">
        <v>1</v>
      </c>
      <c r="CK975">
        <v>22</v>
      </c>
      <c r="CL975" t="s">
        <v>90</v>
      </c>
    </row>
    <row r="976" spans="1:90" x14ac:dyDescent="0.3">
      <c r="A976" t="s">
        <v>72</v>
      </c>
      <c r="B976" t="s">
        <v>73</v>
      </c>
      <c r="C976" t="s">
        <v>74</v>
      </c>
      <c r="E976" t="str">
        <f>"080067084942"</f>
        <v>080067084942</v>
      </c>
      <c r="F976" s="3">
        <v>45876</v>
      </c>
      <c r="G976">
        <v>202605</v>
      </c>
      <c r="H976" t="s">
        <v>75</v>
      </c>
      <c r="I976" t="s">
        <v>76</v>
      </c>
      <c r="J976" t="s">
        <v>77</v>
      </c>
      <c r="K976" t="s">
        <v>78</v>
      </c>
      <c r="L976" t="s">
        <v>162</v>
      </c>
      <c r="M976" t="s">
        <v>163</v>
      </c>
      <c r="N976" t="s">
        <v>902</v>
      </c>
      <c r="O976" t="s">
        <v>82</v>
      </c>
      <c r="P976" t="str">
        <f>"4170053528                    "</f>
        <v xml:space="preserve">4170053528                    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63.45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1</v>
      </c>
      <c r="BI976">
        <v>4</v>
      </c>
      <c r="BJ976">
        <v>5.5</v>
      </c>
      <c r="BK976">
        <v>5.5</v>
      </c>
      <c r="BL976">
        <v>197.03</v>
      </c>
      <c r="BM976">
        <v>29.55</v>
      </c>
      <c r="BN976">
        <v>226.58</v>
      </c>
      <c r="BO976">
        <v>226.58</v>
      </c>
      <c r="BQ976" t="s">
        <v>903</v>
      </c>
      <c r="BR976" t="s">
        <v>84</v>
      </c>
      <c r="BS976" s="3">
        <v>45877</v>
      </c>
      <c r="BT976" s="4">
        <v>0.41666666666666669</v>
      </c>
      <c r="BU976" t="s">
        <v>1698</v>
      </c>
      <c r="BV976" t="s">
        <v>86</v>
      </c>
      <c r="BY976">
        <v>27456</v>
      </c>
      <c r="CA976" t="s">
        <v>919</v>
      </c>
      <c r="CC976" t="s">
        <v>163</v>
      </c>
      <c r="CD976">
        <v>3201</v>
      </c>
      <c r="CE976" t="s">
        <v>117</v>
      </c>
      <c r="CF976" s="3">
        <v>45880</v>
      </c>
      <c r="CI976">
        <v>1</v>
      </c>
      <c r="CJ976">
        <v>1</v>
      </c>
      <c r="CK976">
        <v>21</v>
      </c>
      <c r="CL976" t="s">
        <v>90</v>
      </c>
    </row>
    <row r="977" spans="1:90" x14ac:dyDescent="0.3">
      <c r="A977" t="s">
        <v>72</v>
      </c>
      <c r="B977" t="s">
        <v>73</v>
      </c>
      <c r="C977" t="s">
        <v>74</v>
      </c>
      <c r="E977" t="str">
        <f>"080067084952"</f>
        <v>080067084952</v>
      </c>
      <c r="F977" s="3">
        <v>45876</v>
      </c>
      <c r="G977">
        <v>202605</v>
      </c>
      <c r="H977" t="s">
        <v>75</v>
      </c>
      <c r="I977" t="s">
        <v>76</v>
      </c>
      <c r="J977" t="s">
        <v>77</v>
      </c>
      <c r="K977" t="s">
        <v>78</v>
      </c>
      <c r="L977" t="s">
        <v>291</v>
      </c>
      <c r="M977" t="s">
        <v>292</v>
      </c>
      <c r="N977" t="s">
        <v>1748</v>
      </c>
      <c r="O977" t="s">
        <v>82</v>
      </c>
      <c r="P977" t="str">
        <f>"4170053446                    "</f>
        <v xml:space="preserve">4170053446                    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18.03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1</v>
      </c>
      <c r="BI977">
        <v>1</v>
      </c>
      <c r="BJ977">
        <v>0.2</v>
      </c>
      <c r="BK977">
        <v>1</v>
      </c>
      <c r="BL977">
        <v>55.99</v>
      </c>
      <c r="BM977">
        <v>8.4</v>
      </c>
      <c r="BN977">
        <v>64.39</v>
      </c>
      <c r="BO977">
        <v>64.39</v>
      </c>
      <c r="BQ977" t="s">
        <v>1749</v>
      </c>
      <c r="BR977" t="s">
        <v>84</v>
      </c>
      <c r="BS977" s="3">
        <v>45877</v>
      </c>
      <c r="BT977" s="4">
        <v>0.32847222222222222</v>
      </c>
      <c r="BU977" t="s">
        <v>1750</v>
      </c>
      <c r="BV977" t="s">
        <v>86</v>
      </c>
      <c r="BY977">
        <v>1200</v>
      </c>
      <c r="CA977" t="s">
        <v>296</v>
      </c>
      <c r="CC977" t="s">
        <v>292</v>
      </c>
      <c r="CD977">
        <v>1451</v>
      </c>
      <c r="CE977" t="s">
        <v>109</v>
      </c>
      <c r="CF977" s="3">
        <v>45877</v>
      </c>
      <c r="CI977">
        <v>1</v>
      </c>
      <c r="CJ977">
        <v>1</v>
      </c>
      <c r="CK977">
        <v>22</v>
      </c>
      <c r="CL977" t="s">
        <v>90</v>
      </c>
    </row>
    <row r="978" spans="1:90" x14ac:dyDescent="0.3">
      <c r="A978" t="s">
        <v>72</v>
      </c>
      <c r="B978" t="s">
        <v>73</v>
      </c>
      <c r="C978" t="s">
        <v>74</v>
      </c>
      <c r="E978" t="str">
        <f>"080067084980"</f>
        <v>080067084980</v>
      </c>
      <c r="F978" s="3">
        <v>45876</v>
      </c>
      <c r="G978">
        <v>202605</v>
      </c>
      <c r="H978" t="s">
        <v>75</v>
      </c>
      <c r="I978" t="s">
        <v>76</v>
      </c>
      <c r="J978" t="s">
        <v>77</v>
      </c>
      <c r="K978" t="s">
        <v>78</v>
      </c>
      <c r="L978" t="s">
        <v>373</v>
      </c>
      <c r="M978" t="s">
        <v>374</v>
      </c>
      <c r="N978" t="s">
        <v>1695</v>
      </c>
      <c r="O978" t="s">
        <v>82</v>
      </c>
      <c r="P978" t="str">
        <f>"4170053418                    "</f>
        <v xml:space="preserve">4170053418                    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23.09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1</v>
      </c>
      <c r="BI978">
        <v>1</v>
      </c>
      <c r="BJ978">
        <v>0.2</v>
      </c>
      <c r="BK978">
        <v>1</v>
      </c>
      <c r="BL978">
        <v>71.69</v>
      </c>
      <c r="BM978">
        <v>10.75</v>
      </c>
      <c r="BN978">
        <v>82.44</v>
      </c>
      <c r="BO978">
        <v>82.44</v>
      </c>
      <c r="BQ978" t="s">
        <v>1696</v>
      </c>
      <c r="BR978" t="s">
        <v>84</v>
      </c>
      <c r="BS978" s="3">
        <v>45877</v>
      </c>
      <c r="BT978" s="4">
        <v>0.43125000000000002</v>
      </c>
      <c r="BU978" t="s">
        <v>1697</v>
      </c>
      <c r="BV978" t="s">
        <v>86</v>
      </c>
      <c r="BY978">
        <v>1200</v>
      </c>
      <c r="CA978" t="s">
        <v>203</v>
      </c>
      <c r="CC978" t="s">
        <v>374</v>
      </c>
      <c r="CD978">
        <v>6220</v>
      </c>
      <c r="CE978" t="s">
        <v>178</v>
      </c>
      <c r="CF978" s="3">
        <v>45877</v>
      </c>
      <c r="CI978">
        <v>1</v>
      </c>
      <c r="CJ978">
        <v>1</v>
      </c>
      <c r="CK978">
        <v>21</v>
      </c>
      <c r="CL978" t="s">
        <v>90</v>
      </c>
    </row>
    <row r="979" spans="1:90" x14ac:dyDescent="0.3">
      <c r="A979" t="s">
        <v>72</v>
      </c>
      <c r="B979" t="s">
        <v>73</v>
      </c>
      <c r="C979" t="s">
        <v>74</v>
      </c>
      <c r="E979" t="str">
        <f>"080067084986"</f>
        <v>080067084986</v>
      </c>
      <c r="F979" s="3">
        <v>45876</v>
      </c>
      <c r="G979">
        <v>202605</v>
      </c>
      <c r="H979" t="s">
        <v>75</v>
      </c>
      <c r="I979" t="s">
        <v>76</v>
      </c>
      <c r="J979" t="s">
        <v>77</v>
      </c>
      <c r="K979" t="s">
        <v>78</v>
      </c>
      <c r="L979" t="s">
        <v>79</v>
      </c>
      <c r="M979" t="s">
        <v>80</v>
      </c>
      <c r="N979" t="s">
        <v>1154</v>
      </c>
      <c r="O979" t="s">
        <v>82</v>
      </c>
      <c r="P979" t="str">
        <f>"4170053559                    "</f>
        <v xml:space="preserve">4170053559                    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18.03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1</v>
      </c>
      <c r="BI979">
        <v>2</v>
      </c>
      <c r="BJ979">
        <v>1.7</v>
      </c>
      <c r="BK979">
        <v>2</v>
      </c>
      <c r="BL979">
        <v>55.99</v>
      </c>
      <c r="BM979">
        <v>8.4</v>
      </c>
      <c r="BN979">
        <v>64.39</v>
      </c>
      <c r="BO979">
        <v>64.39</v>
      </c>
      <c r="BQ979" t="s">
        <v>1155</v>
      </c>
      <c r="BR979" t="s">
        <v>84</v>
      </c>
      <c r="BS979" s="3">
        <v>45877</v>
      </c>
      <c r="BT979" s="4">
        <v>0.33819444444444446</v>
      </c>
      <c r="BU979" t="s">
        <v>738</v>
      </c>
      <c r="BV979" t="s">
        <v>86</v>
      </c>
      <c r="BY979">
        <v>8640</v>
      </c>
      <c r="CA979" t="s">
        <v>188</v>
      </c>
      <c r="CC979" t="s">
        <v>80</v>
      </c>
      <c r="CD979">
        <v>1401</v>
      </c>
      <c r="CE979" t="s">
        <v>178</v>
      </c>
      <c r="CF979" s="3">
        <v>45877</v>
      </c>
      <c r="CI979">
        <v>1</v>
      </c>
      <c r="CJ979">
        <v>1</v>
      </c>
      <c r="CK979">
        <v>22</v>
      </c>
      <c r="CL979" t="s">
        <v>90</v>
      </c>
    </row>
    <row r="980" spans="1:90" x14ac:dyDescent="0.3">
      <c r="A980" t="s">
        <v>72</v>
      </c>
      <c r="B980" t="s">
        <v>73</v>
      </c>
      <c r="C980" t="s">
        <v>74</v>
      </c>
      <c r="E980" t="str">
        <f>"080067085013"</f>
        <v>080067085013</v>
      </c>
      <c r="F980" s="3">
        <v>45876</v>
      </c>
      <c r="G980">
        <v>202605</v>
      </c>
      <c r="H980" t="s">
        <v>75</v>
      </c>
      <c r="I980" t="s">
        <v>76</v>
      </c>
      <c r="J980" t="s">
        <v>77</v>
      </c>
      <c r="K980" t="s">
        <v>78</v>
      </c>
      <c r="L980" t="s">
        <v>123</v>
      </c>
      <c r="M980" t="s">
        <v>124</v>
      </c>
      <c r="N980" t="s">
        <v>1751</v>
      </c>
      <c r="O980" t="s">
        <v>82</v>
      </c>
      <c r="P980" t="str">
        <f>"4170053544                    "</f>
        <v xml:space="preserve">4170053544                    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23.09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1</v>
      </c>
      <c r="BI980">
        <v>1</v>
      </c>
      <c r="BJ980">
        <v>0.2</v>
      </c>
      <c r="BK980">
        <v>1</v>
      </c>
      <c r="BL980">
        <v>71.69</v>
      </c>
      <c r="BM980">
        <v>10.75</v>
      </c>
      <c r="BN980">
        <v>82.44</v>
      </c>
      <c r="BO980">
        <v>82.44</v>
      </c>
      <c r="BQ980" t="s">
        <v>1752</v>
      </c>
      <c r="BR980" t="s">
        <v>84</v>
      </c>
      <c r="BS980" s="3">
        <v>45877</v>
      </c>
      <c r="BT980" s="4">
        <v>0.40555555555555556</v>
      </c>
      <c r="BU980" t="s">
        <v>640</v>
      </c>
      <c r="BV980" t="s">
        <v>86</v>
      </c>
      <c r="BY980">
        <v>1200</v>
      </c>
      <c r="CA980" t="s">
        <v>1753</v>
      </c>
      <c r="CC980" t="s">
        <v>124</v>
      </c>
      <c r="CD980">
        <v>8000</v>
      </c>
      <c r="CE980" t="s">
        <v>178</v>
      </c>
      <c r="CF980" s="3">
        <v>45880</v>
      </c>
      <c r="CI980">
        <v>1</v>
      </c>
      <c r="CJ980">
        <v>1</v>
      </c>
      <c r="CK980">
        <v>21</v>
      </c>
      <c r="CL980" t="s">
        <v>90</v>
      </c>
    </row>
    <row r="981" spans="1:90" x14ac:dyDescent="0.3">
      <c r="A981" t="s">
        <v>72</v>
      </c>
      <c r="B981" t="s">
        <v>73</v>
      </c>
      <c r="C981" t="s">
        <v>74</v>
      </c>
      <c r="E981" t="str">
        <f>"080067085015"</f>
        <v>080067085015</v>
      </c>
      <c r="F981" s="3">
        <v>45876</v>
      </c>
      <c r="G981">
        <v>202605</v>
      </c>
      <c r="H981" t="s">
        <v>75</v>
      </c>
      <c r="I981" t="s">
        <v>76</v>
      </c>
      <c r="J981" t="s">
        <v>77</v>
      </c>
      <c r="K981" t="s">
        <v>78</v>
      </c>
      <c r="L981" t="s">
        <v>75</v>
      </c>
      <c r="M981" t="s">
        <v>76</v>
      </c>
      <c r="N981" t="s">
        <v>152</v>
      </c>
      <c r="O981" t="s">
        <v>82</v>
      </c>
      <c r="P981" t="str">
        <f>"4170053514                    "</f>
        <v xml:space="preserve">4170053514                    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18.03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</v>
      </c>
      <c r="AX981">
        <v>0</v>
      </c>
      <c r="AY981">
        <v>0</v>
      </c>
      <c r="AZ981">
        <v>0</v>
      </c>
      <c r="BA981">
        <v>0</v>
      </c>
      <c r="BB981">
        <v>0</v>
      </c>
      <c r="BC981">
        <v>0</v>
      </c>
      <c r="BD981">
        <v>0</v>
      </c>
      <c r="BE981">
        <v>0</v>
      </c>
      <c r="BF981">
        <v>0</v>
      </c>
      <c r="BG981">
        <v>0</v>
      </c>
      <c r="BH981">
        <v>1</v>
      </c>
      <c r="BI981">
        <v>5</v>
      </c>
      <c r="BJ981">
        <v>3.6</v>
      </c>
      <c r="BK981">
        <v>5</v>
      </c>
      <c r="BL981">
        <v>55.99</v>
      </c>
      <c r="BM981">
        <v>8.4</v>
      </c>
      <c r="BN981">
        <v>64.39</v>
      </c>
      <c r="BO981">
        <v>64.39</v>
      </c>
      <c r="BQ981" t="s">
        <v>153</v>
      </c>
      <c r="BR981" t="s">
        <v>84</v>
      </c>
      <c r="BS981" s="3">
        <v>45877</v>
      </c>
      <c r="BT981" s="4">
        <v>0.31944444444444442</v>
      </c>
      <c r="BU981" t="s">
        <v>1709</v>
      </c>
      <c r="BV981" t="s">
        <v>86</v>
      </c>
      <c r="BY981">
        <v>18096</v>
      </c>
      <c r="CA981" t="s">
        <v>1650</v>
      </c>
      <c r="CC981" t="s">
        <v>76</v>
      </c>
      <c r="CD981">
        <v>1600</v>
      </c>
      <c r="CE981" t="s">
        <v>178</v>
      </c>
      <c r="CF981" s="3">
        <v>45877</v>
      </c>
      <c r="CI981">
        <v>1</v>
      </c>
      <c r="CJ981">
        <v>1</v>
      </c>
      <c r="CK981">
        <v>22</v>
      </c>
      <c r="CL981" t="s">
        <v>90</v>
      </c>
    </row>
    <row r="982" spans="1:90" x14ac:dyDescent="0.3">
      <c r="A982" t="s">
        <v>72</v>
      </c>
      <c r="B982" t="s">
        <v>73</v>
      </c>
      <c r="C982" t="s">
        <v>74</v>
      </c>
      <c r="E982" t="str">
        <f>"080067085059"</f>
        <v>080067085059</v>
      </c>
      <c r="F982" s="3">
        <v>45876</v>
      </c>
      <c r="G982">
        <v>202605</v>
      </c>
      <c r="H982" t="s">
        <v>75</v>
      </c>
      <c r="I982" t="s">
        <v>76</v>
      </c>
      <c r="J982" t="s">
        <v>77</v>
      </c>
      <c r="K982" t="s">
        <v>78</v>
      </c>
      <c r="L982" t="s">
        <v>110</v>
      </c>
      <c r="M982" t="s">
        <v>111</v>
      </c>
      <c r="N982" t="s">
        <v>1754</v>
      </c>
      <c r="O982" t="s">
        <v>113</v>
      </c>
      <c r="P982" t="str">
        <f>"4170053503                    "</f>
        <v xml:space="preserve">4170053503                    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18.04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0</v>
      </c>
      <c r="AZ982">
        <v>0</v>
      </c>
      <c r="BA982">
        <v>0</v>
      </c>
      <c r="BB982">
        <v>0</v>
      </c>
      <c r="BC982">
        <v>0</v>
      </c>
      <c r="BD982">
        <v>0</v>
      </c>
      <c r="BE982">
        <v>0</v>
      </c>
      <c r="BF982">
        <v>0</v>
      </c>
      <c r="BG982">
        <v>0</v>
      </c>
      <c r="BH982">
        <v>1</v>
      </c>
      <c r="BI982">
        <v>5</v>
      </c>
      <c r="BJ982">
        <v>3.6</v>
      </c>
      <c r="BK982">
        <v>5</v>
      </c>
      <c r="BL982">
        <v>56.01</v>
      </c>
      <c r="BM982">
        <v>8.4</v>
      </c>
      <c r="BN982">
        <v>64.41</v>
      </c>
      <c r="BO982">
        <v>64.41</v>
      </c>
      <c r="BQ982" t="s">
        <v>1755</v>
      </c>
      <c r="BR982" t="s">
        <v>84</v>
      </c>
      <c r="BS982" s="3">
        <v>45877</v>
      </c>
      <c r="BT982" s="4">
        <v>0.41666666666666669</v>
      </c>
      <c r="BU982" t="s">
        <v>1756</v>
      </c>
      <c r="BV982" t="s">
        <v>86</v>
      </c>
      <c r="BY982">
        <v>18096</v>
      </c>
      <c r="CA982" t="s">
        <v>312</v>
      </c>
      <c r="CC982" t="s">
        <v>111</v>
      </c>
      <c r="CD982">
        <v>2162</v>
      </c>
      <c r="CE982" t="s">
        <v>147</v>
      </c>
      <c r="CF982" s="3">
        <v>45877</v>
      </c>
      <c r="CI982">
        <v>1</v>
      </c>
      <c r="CJ982">
        <v>1</v>
      </c>
      <c r="CK982">
        <v>32</v>
      </c>
      <c r="CL982" t="s">
        <v>90</v>
      </c>
    </row>
    <row r="983" spans="1:90" x14ac:dyDescent="0.3">
      <c r="A983" t="s">
        <v>72</v>
      </c>
      <c r="B983" t="s">
        <v>73</v>
      </c>
      <c r="C983" t="s">
        <v>74</v>
      </c>
      <c r="E983" t="str">
        <f>"080067085070"</f>
        <v>080067085070</v>
      </c>
      <c r="F983" s="3">
        <v>45876</v>
      </c>
      <c r="G983">
        <v>202605</v>
      </c>
      <c r="H983" t="s">
        <v>75</v>
      </c>
      <c r="I983" t="s">
        <v>76</v>
      </c>
      <c r="J983" t="s">
        <v>77</v>
      </c>
      <c r="K983" t="s">
        <v>78</v>
      </c>
      <c r="L983" t="s">
        <v>198</v>
      </c>
      <c r="M983" t="s">
        <v>199</v>
      </c>
      <c r="N983" t="s">
        <v>680</v>
      </c>
      <c r="O983" t="s">
        <v>82</v>
      </c>
      <c r="P983" t="str">
        <f>"4170053505                    "</f>
        <v xml:space="preserve">4170053505                    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23.09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0</v>
      </c>
      <c r="AY983">
        <v>0</v>
      </c>
      <c r="AZ983">
        <v>0</v>
      </c>
      <c r="BA983">
        <v>0</v>
      </c>
      <c r="BB983">
        <v>0</v>
      </c>
      <c r="BC983">
        <v>0</v>
      </c>
      <c r="BD983">
        <v>0</v>
      </c>
      <c r="BE983">
        <v>0</v>
      </c>
      <c r="BF983">
        <v>0</v>
      </c>
      <c r="BG983">
        <v>0</v>
      </c>
      <c r="BH983">
        <v>1</v>
      </c>
      <c r="BI983">
        <v>1</v>
      </c>
      <c r="BJ983">
        <v>0.2</v>
      </c>
      <c r="BK983">
        <v>1</v>
      </c>
      <c r="BL983">
        <v>71.69</v>
      </c>
      <c r="BM983">
        <v>10.75</v>
      </c>
      <c r="BN983">
        <v>82.44</v>
      </c>
      <c r="BO983">
        <v>82.44</v>
      </c>
      <c r="BQ983" t="s">
        <v>681</v>
      </c>
      <c r="BR983" t="s">
        <v>84</v>
      </c>
      <c r="BS983" s="3">
        <v>45877</v>
      </c>
      <c r="BT983" s="4">
        <v>0.4</v>
      </c>
      <c r="BU983" t="s">
        <v>1430</v>
      </c>
      <c r="BV983" t="s">
        <v>86</v>
      </c>
      <c r="BY983">
        <v>1200</v>
      </c>
      <c r="CA983" t="s">
        <v>413</v>
      </c>
      <c r="CC983" t="s">
        <v>199</v>
      </c>
      <c r="CD983">
        <v>6001</v>
      </c>
      <c r="CE983" t="s">
        <v>109</v>
      </c>
      <c r="CF983" s="3">
        <v>45880</v>
      </c>
      <c r="CI983">
        <v>1</v>
      </c>
      <c r="CJ983">
        <v>1</v>
      </c>
      <c r="CK983">
        <v>21</v>
      </c>
      <c r="CL983" t="s">
        <v>90</v>
      </c>
    </row>
    <row r="984" spans="1:90" x14ac:dyDescent="0.3">
      <c r="A984" t="s">
        <v>72</v>
      </c>
      <c r="B984" t="s">
        <v>73</v>
      </c>
      <c r="C984" t="s">
        <v>74</v>
      </c>
      <c r="E984" t="str">
        <f>"080067085090"</f>
        <v>080067085090</v>
      </c>
      <c r="F984" s="3">
        <v>45876</v>
      </c>
      <c r="G984">
        <v>202605</v>
      </c>
      <c r="H984" t="s">
        <v>75</v>
      </c>
      <c r="I984" t="s">
        <v>76</v>
      </c>
      <c r="J984" t="s">
        <v>77</v>
      </c>
      <c r="K984" t="s">
        <v>78</v>
      </c>
      <c r="L984" t="s">
        <v>198</v>
      </c>
      <c r="M984" t="s">
        <v>199</v>
      </c>
      <c r="N984" t="s">
        <v>598</v>
      </c>
      <c r="O984" t="s">
        <v>82</v>
      </c>
      <c r="P984" t="str">
        <f>"4170053496                    "</f>
        <v xml:space="preserve">4170053496                    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23.09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0</v>
      </c>
      <c r="AY984">
        <v>0</v>
      </c>
      <c r="AZ984">
        <v>0</v>
      </c>
      <c r="BA984">
        <v>0</v>
      </c>
      <c r="BB984">
        <v>0</v>
      </c>
      <c r="BC984">
        <v>0</v>
      </c>
      <c r="BD984">
        <v>0</v>
      </c>
      <c r="BE984">
        <v>0</v>
      </c>
      <c r="BF984">
        <v>0</v>
      </c>
      <c r="BG984">
        <v>0</v>
      </c>
      <c r="BH984">
        <v>1</v>
      </c>
      <c r="BI984">
        <v>1</v>
      </c>
      <c r="BJ984">
        <v>0.2</v>
      </c>
      <c r="BK984">
        <v>1</v>
      </c>
      <c r="BL984">
        <v>71.69</v>
      </c>
      <c r="BM984">
        <v>10.75</v>
      </c>
      <c r="BN984">
        <v>82.44</v>
      </c>
      <c r="BO984">
        <v>82.44</v>
      </c>
      <c r="BQ984" t="s">
        <v>599</v>
      </c>
      <c r="BR984" t="s">
        <v>84</v>
      </c>
      <c r="BS984" s="3">
        <v>45877</v>
      </c>
      <c r="BT984" s="4">
        <v>0.4</v>
      </c>
      <c r="BU984" t="s">
        <v>1757</v>
      </c>
      <c r="BV984" t="s">
        <v>86</v>
      </c>
      <c r="BY984">
        <v>1200</v>
      </c>
      <c r="CA984" t="s">
        <v>601</v>
      </c>
      <c r="CC984" t="s">
        <v>199</v>
      </c>
      <c r="CD984">
        <v>6001</v>
      </c>
      <c r="CE984" t="s">
        <v>109</v>
      </c>
      <c r="CF984" s="3">
        <v>45880</v>
      </c>
      <c r="CI984">
        <v>1</v>
      </c>
      <c r="CJ984">
        <v>1</v>
      </c>
      <c r="CK984">
        <v>21</v>
      </c>
      <c r="CL984" t="s">
        <v>90</v>
      </c>
    </row>
    <row r="985" spans="1:90" x14ac:dyDescent="0.3">
      <c r="A985" t="s">
        <v>72</v>
      </c>
      <c r="B985" t="s">
        <v>73</v>
      </c>
      <c r="C985" t="s">
        <v>74</v>
      </c>
      <c r="E985" t="str">
        <f>"080067085094"</f>
        <v>080067085094</v>
      </c>
      <c r="F985" s="3">
        <v>45876</v>
      </c>
      <c r="G985">
        <v>202605</v>
      </c>
      <c r="H985" t="s">
        <v>75</v>
      </c>
      <c r="I985" t="s">
        <v>76</v>
      </c>
      <c r="J985" t="s">
        <v>77</v>
      </c>
      <c r="K985" t="s">
        <v>78</v>
      </c>
      <c r="L985" t="s">
        <v>223</v>
      </c>
      <c r="M985" t="s">
        <v>224</v>
      </c>
      <c r="N985" t="s">
        <v>939</v>
      </c>
      <c r="O985" t="s">
        <v>82</v>
      </c>
      <c r="P985" t="str">
        <f>"4170053529                    "</f>
        <v xml:space="preserve">4170053529                    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40.380000000000003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0</v>
      </c>
      <c r="BE985">
        <v>0</v>
      </c>
      <c r="BF985">
        <v>0</v>
      </c>
      <c r="BG985">
        <v>0</v>
      </c>
      <c r="BH985">
        <v>1</v>
      </c>
      <c r="BI985">
        <v>1</v>
      </c>
      <c r="BJ985">
        <v>3.4</v>
      </c>
      <c r="BK985">
        <v>3.5</v>
      </c>
      <c r="BL985">
        <v>125.4</v>
      </c>
      <c r="BM985">
        <v>18.809999999999999</v>
      </c>
      <c r="BN985">
        <v>144.21</v>
      </c>
      <c r="BO985">
        <v>144.21</v>
      </c>
      <c r="BQ985" t="s">
        <v>940</v>
      </c>
      <c r="BR985" t="s">
        <v>84</v>
      </c>
      <c r="BS985" s="3">
        <v>45877</v>
      </c>
      <c r="BT985" s="4">
        <v>0.51527777777777772</v>
      </c>
      <c r="BU985" t="s">
        <v>295</v>
      </c>
      <c r="BV985" t="s">
        <v>90</v>
      </c>
      <c r="BY985">
        <v>16965</v>
      </c>
      <c r="CA985" t="s">
        <v>228</v>
      </c>
      <c r="CC985" t="s">
        <v>224</v>
      </c>
      <c r="CD985">
        <v>5201</v>
      </c>
      <c r="CE985" t="s">
        <v>147</v>
      </c>
      <c r="CF985" s="3">
        <v>45877</v>
      </c>
      <c r="CI985">
        <v>1</v>
      </c>
      <c r="CJ985">
        <v>1</v>
      </c>
      <c r="CK985">
        <v>21</v>
      </c>
      <c r="CL985" t="s">
        <v>90</v>
      </c>
    </row>
    <row r="986" spans="1:90" x14ac:dyDescent="0.3">
      <c r="A986" t="s">
        <v>72</v>
      </c>
      <c r="B986" t="s">
        <v>73</v>
      </c>
      <c r="C986" t="s">
        <v>74</v>
      </c>
      <c r="E986" t="str">
        <f>"080067085110"</f>
        <v>080067085110</v>
      </c>
      <c r="F986" s="3">
        <v>45876</v>
      </c>
      <c r="G986">
        <v>202605</v>
      </c>
      <c r="H986" t="s">
        <v>75</v>
      </c>
      <c r="I986" t="s">
        <v>76</v>
      </c>
      <c r="J986" t="s">
        <v>77</v>
      </c>
      <c r="K986" t="s">
        <v>78</v>
      </c>
      <c r="L986" t="s">
        <v>217</v>
      </c>
      <c r="M986" t="s">
        <v>218</v>
      </c>
      <c r="N986" t="s">
        <v>1206</v>
      </c>
      <c r="O986" t="s">
        <v>82</v>
      </c>
      <c r="P986" t="str">
        <f>"4170053641                    "</f>
        <v xml:space="preserve">4170053641                    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23.09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0</v>
      </c>
      <c r="BA986">
        <v>0</v>
      </c>
      <c r="BB986">
        <v>0</v>
      </c>
      <c r="BC986">
        <v>0</v>
      </c>
      <c r="BD986">
        <v>0</v>
      </c>
      <c r="BE986">
        <v>0</v>
      </c>
      <c r="BF986">
        <v>0</v>
      </c>
      <c r="BG986">
        <v>0</v>
      </c>
      <c r="BH986">
        <v>1</v>
      </c>
      <c r="BI986">
        <v>1</v>
      </c>
      <c r="BJ986">
        <v>0.2</v>
      </c>
      <c r="BK986">
        <v>1</v>
      </c>
      <c r="BL986">
        <v>71.69</v>
      </c>
      <c r="BM986">
        <v>10.75</v>
      </c>
      <c r="BN986">
        <v>82.44</v>
      </c>
      <c r="BO986">
        <v>82.44</v>
      </c>
      <c r="BQ986" t="s">
        <v>862</v>
      </c>
      <c r="BR986" t="s">
        <v>84</v>
      </c>
      <c r="BS986" s="3">
        <v>45877</v>
      </c>
      <c r="BT986" s="4">
        <v>0.42916666666666664</v>
      </c>
      <c r="BU986" t="s">
        <v>187</v>
      </c>
      <c r="BV986" t="s">
        <v>86</v>
      </c>
      <c r="BY986">
        <v>1200</v>
      </c>
      <c r="CA986" t="s">
        <v>425</v>
      </c>
      <c r="CC986" t="s">
        <v>218</v>
      </c>
      <c r="CD986">
        <v>4000</v>
      </c>
      <c r="CE986" t="s">
        <v>109</v>
      </c>
      <c r="CF986" s="3">
        <v>45877</v>
      </c>
      <c r="CI986">
        <v>1</v>
      </c>
      <c r="CJ986">
        <v>1</v>
      </c>
      <c r="CK986">
        <v>21</v>
      </c>
      <c r="CL986" t="s">
        <v>90</v>
      </c>
    </row>
    <row r="987" spans="1:90" x14ac:dyDescent="0.3">
      <c r="A987" t="s">
        <v>72</v>
      </c>
      <c r="B987" t="s">
        <v>73</v>
      </c>
      <c r="C987" t="s">
        <v>74</v>
      </c>
      <c r="E987" t="str">
        <f>"080067085112"</f>
        <v>080067085112</v>
      </c>
      <c r="F987" s="3">
        <v>45876</v>
      </c>
      <c r="G987">
        <v>202605</v>
      </c>
      <c r="H987" t="s">
        <v>75</v>
      </c>
      <c r="I987" t="s">
        <v>76</v>
      </c>
      <c r="J987" t="s">
        <v>77</v>
      </c>
      <c r="K987" t="s">
        <v>78</v>
      </c>
      <c r="L987" t="s">
        <v>319</v>
      </c>
      <c r="M987" t="s">
        <v>320</v>
      </c>
      <c r="N987" t="s">
        <v>321</v>
      </c>
      <c r="O987" t="s">
        <v>82</v>
      </c>
      <c r="P987" t="str">
        <f>"4170053460                    "</f>
        <v xml:space="preserve">4170053460                    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64.92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0</v>
      </c>
      <c r="AZ987">
        <v>0</v>
      </c>
      <c r="BA987">
        <v>0</v>
      </c>
      <c r="BB987">
        <v>0</v>
      </c>
      <c r="BC987">
        <v>0</v>
      </c>
      <c r="BD987">
        <v>0</v>
      </c>
      <c r="BE987">
        <v>0</v>
      </c>
      <c r="BF987">
        <v>0</v>
      </c>
      <c r="BG987">
        <v>0</v>
      </c>
      <c r="BH987">
        <v>1</v>
      </c>
      <c r="BI987">
        <v>3</v>
      </c>
      <c r="BJ987">
        <v>1.4</v>
      </c>
      <c r="BK987">
        <v>3</v>
      </c>
      <c r="BL987">
        <v>201.6</v>
      </c>
      <c r="BM987">
        <v>30.24</v>
      </c>
      <c r="BN987">
        <v>231.84</v>
      </c>
      <c r="BO987">
        <v>231.84</v>
      </c>
      <c r="BQ987" t="s">
        <v>322</v>
      </c>
      <c r="BR987" t="s">
        <v>84</v>
      </c>
      <c r="BS987" s="3">
        <v>45877</v>
      </c>
      <c r="BT987" s="4">
        <v>0.40902777777777777</v>
      </c>
      <c r="BU987" t="s">
        <v>1044</v>
      </c>
      <c r="BV987" t="s">
        <v>86</v>
      </c>
      <c r="BY987">
        <v>7000</v>
      </c>
      <c r="CA987" t="s">
        <v>324</v>
      </c>
      <c r="CC987" t="s">
        <v>320</v>
      </c>
      <c r="CD987">
        <v>2531</v>
      </c>
      <c r="CE987" t="s">
        <v>147</v>
      </c>
      <c r="CF987" s="3">
        <v>45880</v>
      </c>
      <c r="CI987">
        <v>1</v>
      </c>
      <c r="CJ987">
        <v>1</v>
      </c>
      <c r="CK987">
        <v>23</v>
      </c>
      <c r="CL987" t="s">
        <v>90</v>
      </c>
    </row>
    <row r="988" spans="1:90" x14ac:dyDescent="0.3">
      <c r="A988" t="s">
        <v>72</v>
      </c>
      <c r="B988" t="s">
        <v>73</v>
      </c>
      <c r="C988" t="s">
        <v>74</v>
      </c>
      <c r="E988" t="str">
        <f>"080067085120"</f>
        <v>080067085120</v>
      </c>
      <c r="F988" s="3">
        <v>45876</v>
      </c>
      <c r="G988">
        <v>202605</v>
      </c>
      <c r="H988" t="s">
        <v>75</v>
      </c>
      <c r="I988" t="s">
        <v>76</v>
      </c>
      <c r="J988" t="s">
        <v>77</v>
      </c>
      <c r="K988" t="s">
        <v>78</v>
      </c>
      <c r="L988" t="s">
        <v>400</v>
      </c>
      <c r="M988" t="s">
        <v>401</v>
      </c>
      <c r="N988" t="s">
        <v>402</v>
      </c>
      <c r="O988" t="s">
        <v>82</v>
      </c>
      <c r="P988" t="str">
        <f>"4170053487                    "</f>
        <v xml:space="preserve">4170053487                    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23.09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0</v>
      </c>
      <c r="BA988">
        <v>0</v>
      </c>
      <c r="BB988">
        <v>0</v>
      </c>
      <c r="BC988">
        <v>0</v>
      </c>
      <c r="BD988">
        <v>0</v>
      </c>
      <c r="BE988">
        <v>0</v>
      </c>
      <c r="BF988">
        <v>0</v>
      </c>
      <c r="BG988">
        <v>0</v>
      </c>
      <c r="BH988">
        <v>1</v>
      </c>
      <c r="BI988">
        <v>1</v>
      </c>
      <c r="BJ988">
        <v>0.2</v>
      </c>
      <c r="BK988">
        <v>1</v>
      </c>
      <c r="BL988">
        <v>71.69</v>
      </c>
      <c r="BM988">
        <v>10.75</v>
      </c>
      <c r="BN988">
        <v>82.44</v>
      </c>
      <c r="BO988">
        <v>82.44</v>
      </c>
      <c r="BQ988" t="s">
        <v>403</v>
      </c>
      <c r="BR988" t="s">
        <v>84</v>
      </c>
      <c r="BS988" s="3">
        <v>45877</v>
      </c>
      <c r="BT988" s="4">
        <v>0.33750000000000002</v>
      </c>
      <c r="BU988" t="s">
        <v>1746</v>
      </c>
      <c r="BV988" t="s">
        <v>86</v>
      </c>
      <c r="BY988">
        <v>1200</v>
      </c>
      <c r="CA988" t="s">
        <v>405</v>
      </c>
      <c r="CC988" t="s">
        <v>401</v>
      </c>
      <c r="CD988">
        <v>6230</v>
      </c>
      <c r="CE988" t="s">
        <v>109</v>
      </c>
      <c r="CF988" s="3">
        <v>45877</v>
      </c>
      <c r="CI988">
        <v>1</v>
      </c>
      <c r="CJ988">
        <v>1</v>
      </c>
      <c r="CK988">
        <v>21</v>
      </c>
      <c r="CL988" t="s">
        <v>90</v>
      </c>
    </row>
    <row r="989" spans="1:90" x14ac:dyDescent="0.3">
      <c r="A989" t="s">
        <v>72</v>
      </c>
      <c r="B989" t="s">
        <v>73</v>
      </c>
      <c r="C989" t="s">
        <v>74</v>
      </c>
      <c r="E989" t="str">
        <f>"080067085130"</f>
        <v>080067085130</v>
      </c>
      <c r="F989" s="3">
        <v>45876</v>
      </c>
      <c r="G989">
        <v>202605</v>
      </c>
      <c r="H989" t="s">
        <v>75</v>
      </c>
      <c r="I989" t="s">
        <v>76</v>
      </c>
      <c r="J989" t="s">
        <v>77</v>
      </c>
      <c r="K989" t="s">
        <v>78</v>
      </c>
      <c r="L989" t="s">
        <v>373</v>
      </c>
      <c r="M989" t="s">
        <v>374</v>
      </c>
      <c r="N989" t="s">
        <v>1695</v>
      </c>
      <c r="O989" t="s">
        <v>82</v>
      </c>
      <c r="P989" t="str">
        <f>"4170053420                    "</f>
        <v xml:space="preserve">4170053420                    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23.09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0</v>
      </c>
      <c r="BA989">
        <v>0</v>
      </c>
      <c r="BB989">
        <v>0</v>
      </c>
      <c r="BC989">
        <v>0</v>
      </c>
      <c r="BD989">
        <v>0</v>
      </c>
      <c r="BE989">
        <v>0</v>
      </c>
      <c r="BF989">
        <v>0</v>
      </c>
      <c r="BG989">
        <v>0</v>
      </c>
      <c r="BH989">
        <v>1</v>
      </c>
      <c r="BI989">
        <v>1</v>
      </c>
      <c r="BJ989">
        <v>1.3</v>
      </c>
      <c r="BK989">
        <v>1.5</v>
      </c>
      <c r="BL989">
        <v>71.69</v>
      </c>
      <c r="BM989">
        <v>10.75</v>
      </c>
      <c r="BN989">
        <v>82.44</v>
      </c>
      <c r="BO989">
        <v>82.44</v>
      </c>
      <c r="BQ989" t="s">
        <v>1696</v>
      </c>
      <c r="BR989" t="s">
        <v>84</v>
      </c>
      <c r="BS989" s="3">
        <v>45877</v>
      </c>
      <c r="BT989" s="4">
        <v>0.43125000000000002</v>
      </c>
      <c r="BU989" t="s">
        <v>1697</v>
      </c>
      <c r="BV989" t="s">
        <v>86</v>
      </c>
      <c r="BY989">
        <v>6384</v>
      </c>
      <c r="CA989" t="s">
        <v>203</v>
      </c>
      <c r="CC989" t="s">
        <v>374</v>
      </c>
      <c r="CD989">
        <v>6220</v>
      </c>
      <c r="CE989" t="s">
        <v>147</v>
      </c>
      <c r="CF989" s="3">
        <v>45877</v>
      </c>
      <c r="CI989">
        <v>1</v>
      </c>
      <c r="CJ989">
        <v>1</v>
      </c>
      <c r="CK989">
        <v>21</v>
      </c>
      <c r="CL989" t="s">
        <v>90</v>
      </c>
    </row>
    <row r="990" spans="1:90" x14ac:dyDescent="0.3">
      <c r="A990" t="s">
        <v>72</v>
      </c>
      <c r="B990" t="s">
        <v>73</v>
      </c>
      <c r="C990" t="s">
        <v>74</v>
      </c>
      <c r="E990" t="str">
        <f>"080067085160"</f>
        <v>080067085160</v>
      </c>
      <c r="F990" s="3">
        <v>45876</v>
      </c>
      <c r="G990">
        <v>202605</v>
      </c>
      <c r="H990" t="s">
        <v>75</v>
      </c>
      <c r="I990" t="s">
        <v>76</v>
      </c>
      <c r="J990" t="s">
        <v>77</v>
      </c>
      <c r="K990" t="s">
        <v>78</v>
      </c>
      <c r="L990" t="s">
        <v>373</v>
      </c>
      <c r="M990" t="s">
        <v>374</v>
      </c>
      <c r="N990" t="s">
        <v>1695</v>
      </c>
      <c r="O990" t="s">
        <v>82</v>
      </c>
      <c r="P990" t="str">
        <f>"4170053422                    "</f>
        <v xml:space="preserve">4170053422                    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23.09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0</v>
      </c>
      <c r="BA990">
        <v>0</v>
      </c>
      <c r="BB990">
        <v>0</v>
      </c>
      <c r="BC990">
        <v>0</v>
      </c>
      <c r="BD990">
        <v>0</v>
      </c>
      <c r="BE990">
        <v>0</v>
      </c>
      <c r="BF990">
        <v>0</v>
      </c>
      <c r="BG990">
        <v>0</v>
      </c>
      <c r="BH990">
        <v>1</v>
      </c>
      <c r="BI990">
        <v>1</v>
      </c>
      <c r="BJ990">
        <v>1.3</v>
      </c>
      <c r="BK990">
        <v>1.5</v>
      </c>
      <c r="BL990">
        <v>71.69</v>
      </c>
      <c r="BM990">
        <v>10.75</v>
      </c>
      <c r="BN990">
        <v>82.44</v>
      </c>
      <c r="BO990">
        <v>82.44</v>
      </c>
      <c r="BQ990" t="s">
        <v>1696</v>
      </c>
      <c r="BR990" t="s">
        <v>84</v>
      </c>
      <c r="BS990" s="3">
        <v>45877</v>
      </c>
      <c r="BT990" s="4">
        <v>0.43125000000000002</v>
      </c>
      <c r="BU990" t="s">
        <v>1697</v>
      </c>
      <c r="BV990" t="s">
        <v>86</v>
      </c>
      <c r="BY990">
        <v>6384</v>
      </c>
      <c r="CA990" t="s">
        <v>203</v>
      </c>
      <c r="CC990" t="s">
        <v>374</v>
      </c>
      <c r="CD990">
        <v>6220</v>
      </c>
      <c r="CE990" t="s">
        <v>147</v>
      </c>
      <c r="CF990" s="3">
        <v>45877</v>
      </c>
      <c r="CI990">
        <v>1</v>
      </c>
      <c r="CJ990">
        <v>1</v>
      </c>
      <c r="CK990">
        <v>21</v>
      </c>
      <c r="CL990" t="s">
        <v>90</v>
      </c>
    </row>
    <row r="991" spans="1:90" x14ac:dyDescent="0.3">
      <c r="A991" t="s">
        <v>72</v>
      </c>
      <c r="B991" t="s">
        <v>73</v>
      </c>
      <c r="C991" t="s">
        <v>74</v>
      </c>
      <c r="E991" t="str">
        <f>"080067085343"</f>
        <v>080067085343</v>
      </c>
      <c r="F991" s="3">
        <v>45876</v>
      </c>
      <c r="G991">
        <v>202605</v>
      </c>
      <c r="H991" t="s">
        <v>75</v>
      </c>
      <c r="I991" t="s">
        <v>76</v>
      </c>
      <c r="J991" t="s">
        <v>77</v>
      </c>
      <c r="K991" t="s">
        <v>78</v>
      </c>
      <c r="L991" t="s">
        <v>1581</v>
      </c>
      <c r="M991" t="s">
        <v>1582</v>
      </c>
      <c r="N991" t="s">
        <v>1583</v>
      </c>
      <c r="O991" t="s">
        <v>95</v>
      </c>
      <c r="P991" t="str">
        <f>"4170053512                    "</f>
        <v xml:space="preserve">4170053512                    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62.96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0</v>
      </c>
      <c r="BA991">
        <v>0</v>
      </c>
      <c r="BB991">
        <v>0</v>
      </c>
      <c r="BC991">
        <v>0</v>
      </c>
      <c r="BD991">
        <v>0</v>
      </c>
      <c r="BE991">
        <v>0</v>
      </c>
      <c r="BF991">
        <v>0</v>
      </c>
      <c r="BG991">
        <v>0</v>
      </c>
      <c r="BH991">
        <v>1</v>
      </c>
      <c r="BI991">
        <v>8</v>
      </c>
      <c r="BJ991">
        <v>14.6</v>
      </c>
      <c r="BK991">
        <v>15</v>
      </c>
      <c r="BL991">
        <v>201.38</v>
      </c>
      <c r="BM991">
        <v>30.21</v>
      </c>
      <c r="BN991">
        <v>231.59</v>
      </c>
      <c r="BO991">
        <v>231.59</v>
      </c>
      <c r="BQ991" t="s">
        <v>1584</v>
      </c>
      <c r="BR991" t="s">
        <v>84</v>
      </c>
      <c r="BS991" s="3">
        <v>45880</v>
      </c>
      <c r="BT991" s="4">
        <v>0.64236111111111116</v>
      </c>
      <c r="BU991" t="s">
        <v>1585</v>
      </c>
      <c r="BV991" t="s">
        <v>90</v>
      </c>
      <c r="BY991">
        <v>73008</v>
      </c>
      <c r="CA991" t="s">
        <v>1586</v>
      </c>
      <c r="CC991" t="s">
        <v>1582</v>
      </c>
      <c r="CD991">
        <v>1028</v>
      </c>
      <c r="CE991" t="s">
        <v>117</v>
      </c>
      <c r="CF991" s="3">
        <v>45880</v>
      </c>
      <c r="CI991">
        <v>1</v>
      </c>
      <c r="CJ991">
        <v>2</v>
      </c>
      <c r="CK991">
        <v>43</v>
      </c>
      <c r="CL991" t="s">
        <v>90</v>
      </c>
    </row>
    <row r="992" spans="1:90" x14ac:dyDescent="0.3">
      <c r="A992" t="s">
        <v>72</v>
      </c>
      <c r="B992" t="s">
        <v>73</v>
      </c>
      <c r="C992" t="s">
        <v>74</v>
      </c>
      <c r="E992" t="str">
        <f>"080067085453"</f>
        <v>080067085453</v>
      </c>
      <c r="F992" s="3">
        <v>45876</v>
      </c>
      <c r="G992">
        <v>202605</v>
      </c>
      <c r="H992" t="s">
        <v>75</v>
      </c>
      <c r="I992" t="s">
        <v>76</v>
      </c>
      <c r="J992" t="s">
        <v>77</v>
      </c>
      <c r="K992" t="s">
        <v>78</v>
      </c>
      <c r="L992" t="s">
        <v>162</v>
      </c>
      <c r="M992" t="s">
        <v>163</v>
      </c>
      <c r="N992" t="s">
        <v>246</v>
      </c>
      <c r="O992" t="s">
        <v>82</v>
      </c>
      <c r="P992" t="str">
        <f>"4170053466                    "</f>
        <v xml:space="preserve">4170053466                    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23.09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0</v>
      </c>
      <c r="BA992">
        <v>0</v>
      </c>
      <c r="BB992">
        <v>0</v>
      </c>
      <c r="BC992">
        <v>0</v>
      </c>
      <c r="BD992">
        <v>0</v>
      </c>
      <c r="BE992">
        <v>0</v>
      </c>
      <c r="BF992">
        <v>0</v>
      </c>
      <c r="BG992">
        <v>0</v>
      </c>
      <c r="BH992">
        <v>1</v>
      </c>
      <c r="BI992">
        <v>2</v>
      </c>
      <c r="BJ992">
        <v>1.4</v>
      </c>
      <c r="BK992">
        <v>2</v>
      </c>
      <c r="BL992">
        <v>71.69</v>
      </c>
      <c r="BM992">
        <v>10.75</v>
      </c>
      <c r="BN992">
        <v>82.44</v>
      </c>
      <c r="BO992">
        <v>82.44</v>
      </c>
      <c r="BQ992" t="s">
        <v>247</v>
      </c>
      <c r="BR992" t="s">
        <v>84</v>
      </c>
      <c r="BS992" s="3">
        <v>45877</v>
      </c>
      <c r="BT992" s="4">
        <v>0.41666666666666669</v>
      </c>
      <c r="BU992" t="s">
        <v>485</v>
      </c>
      <c r="BV992" t="s">
        <v>86</v>
      </c>
      <c r="BY992">
        <v>7000</v>
      </c>
      <c r="CC992" t="s">
        <v>163</v>
      </c>
      <c r="CD992">
        <v>3201</v>
      </c>
      <c r="CE992" t="s">
        <v>147</v>
      </c>
      <c r="CF992" s="3">
        <v>45880</v>
      </c>
      <c r="CI992">
        <v>1</v>
      </c>
      <c r="CJ992">
        <v>1</v>
      </c>
      <c r="CK992">
        <v>21</v>
      </c>
      <c r="CL992" t="s">
        <v>90</v>
      </c>
    </row>
    <row r="993" spans="1:90" x14ac:dyDescent="0.3">
      <c r="A993" t="s">
        <v>72</v>
      </c>
      <c r="B993" t="s">
        <v>73</v>
      </c>
      <c r="C993" t="s">
        <v>74</v>
      </c>
      <c r="E993" t="str">
        <f>"080067086060"</f>
        <v>080067086060</v>
      </c>
      <c r="F993" s="3">
        <v>45876</v>
      </c>
      <c r="G993">
        <v>202605</v>
      </c>
      <c r="H993" t="s">
        <v>75</v>
      </c>
      <c r="I993" t="s">
        <v>76</v>
      </c>
      <c r="J993" t="s">
        <v>77</v>
      </c>
      <c r="K993" t="s">
        <v>78</v>
      </c>
      <c r="L993" t="s">
        <v>1076</v>
      </c>
      <c r="M993" t="s">
        <v>1077</v>
      </c>
      <c r="N993" t="s">
        <v>351</v>
      </c>
      <c r="O993" t="s">
        <v>82</v>
      </c>
      <c r="P993" t="str">
        <f>"4170053508                    "</f>
        <v xml:space="preserve">4170053508                    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276.99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0</v>
      </c>
      <c r="BA993">
        <v>0</v>
      </c>
      <c r="BB993">
        <v>0</v>
      </c>
      <c r="BC993">
        <v>0</v>
      </c>
      <c r="BD993">
        <v>0</v>
      </c>
      <c r="BE993">
        <v>0</v>
      </c>
      <c r="BF993">
        <v>0</v>
      </c>
      <c r="BG993">
        <v>0</v>
      </c>
      <c r="BH993">
        <v>2</v>
      </c>
      <c r="BI993">
        <v>13</v>
      </c>
      <c r="BJ993">
        <v>13.2</v>
      </c>
      <c r="BK993">
        <v>13.5</v>
      </c>
      <c r="BL993">
        <v>860.13</v>
      </c>
      <c r="BM993">
        <v>129.02000000000001</v>
      </c>
      <c r="BN993">
        <v>989.15</v>
      </c>
      <c r="BO993">
        <v>989.15</v>
      </c>
      <c r="BQ993" t="s">
        <v>352</v>
      </c>
      <c r="BR993" t="s">
        <v>84</v>
      </c>
      <c r="BS993" s="3">
        <v>45877</v>
      </c>
      <c r="BT993" s="4">
        <v>0.59791666666666665</v>
      </c>
      <c r="BU993" t="s">
        <v>1078</v>
      </c>
      <c r="BV993" t="s">
        <v>86</v>
      </c>
      <c r="BY993">
        <v>66129</v>
      </c>
      <c r="CA993" t="s">
        <v>1079</v>
      </c>
      <c r="CC993" t="s">
        <v>1077</v>
      </c>
      <c r="CD993">
        <v>9880</v>
      </c>
      <c r="CE993" t="s">
        <v>147</v>
      </c>
      <c r="CF993" s="3">
        <v>45880</v>
      </c>
      <c r="CI993">
        <v>1</v>
      </c>
      <c r="CJ993">
        <v>1</v>
      </c>
      <c r="CK993">
        <v>23</v>
      </c>
      <c r="CL993" t="s">
        <v>90</v>
      </c>
    </row>
    <row r="994" spans="1:90" x14ac:dyDescent="0.3">
      <c r="A994" t="s">
        <v>72</v>
      </c>
      <c r="B994" t="s">
        <v>73</v>
      </c>
      <c r="C994" t="s">
        <v>74</v>
      </c>
      <c r="E994" t="str">
        <f>"080067086071"</f>
        <v>080067086071</v>
      </c>
      <c r="F994" s="3">
        <v>45876</v>
      </c>
      <c r="G994">
        <v>202605</v>
      </c>
      <c r="H994" t="s">
        <v>75</v>
      </c>
      <c r="I994" t="s">
        <v>76</v>
      </c>
      <c r="J994" t="s">
        <v>77</v>
      </c>
      <c r="K994" t="s">
        <v>78</v>
      </c>
      <c r="L994" t="s">
        <v>400</v>
      </c>
      <c r="M994" t="s">
        <v>401</v>
      </c>
      <c r="N994" t="s">
        <v>1758</v>
      </c>
      <c r="O994" t="s">
        <v>82</v>
      </c>
      <c r="P994" t="str">
        <f>"4170053566                    "</f>
        <v xml:space="preserve">4170053566                    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23.09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  <c r="BE994">
        <v>0</v>
      </c>
      <c r="BF994">
        <v>0</v>
      </c>
      <c r="BG994">
        <v>0</v>
      </c>
      <c r="BH994">
        <v>1</v>
      </c>
      <c r="BI994">
        <v>1</v>
      </c>
      <c r="BJ994">
        <v>0.2</v>
      </c>
      <c r="BK994">
        <v>1</v>
      </c>
      <c r="BL994">
        <v>71.69</v>
      </c>
      <c r="BM994">
        <v>10.75</v>
      </c>
      <c r="BN994">
        <v>82.44</v>
      </c>
      <c r="BO994">
        <v>82.44</v>
      </c>
      <c r="BQ994" t="s">
        <v>1759</v>
      </c>
      <c r="BR994" t="s">
        <v>84</v>
      </c>
      <c r="BS994" s="3">
        <v>45877</v>
      </c>
      <c r="BT994" s="4">
        <v>0.34027777777777779</v>
      </c>
      <c r="BU994" t="s">
        <v>610</v>
      </c>
      <c r="BV994" t="s">
        <v>86</v>
      </c>
      <c r="BY994">
        <v>1200</v>
      </c>
      <c r="CA994" t="s">
        <v>405</v>
      </c>
      <c r="CC994" t="s">
        <v>401</v>
      </c>
      <c r="CD994">
        <v>6021</v>
      </c>
      <c r="CE994" t="s">
        <v>109</v>
      </c>
      <c r="CF994" s="3">
        <v>45877</v>
      </c>
      <c r="CI994">
        <v>1</v>
      </c>
      <c r="CJ994">
        <v>1</v>
      </c>
      <c r="CK994">
        <v>21</v>
      </c>
      <c r="CL994" t="s">
        <v>90</v>
      </c>
    </row>
    <row r="995" spans="1:90" x14ac:dyDescent="0.3">
      <c r="A995" t="s">
        <v>72</v>
      </c>
      <c r="B995" t="s">
        <v>73</v>
      </c>
      <c r="C995" t="s">
        <v>74</v>
      </c>
      <c r="E995" t="str">
        <f>"080067086084"</f>
        <v>080067086084</v>
      </c>
      <c r="F995" s="3">
        <v>45876</v>
      </c>
      <c r="G995">
        <v>202605</v>
      </c>
      <c r="H995" t="s">
        <v>75</v>
      </c>
      <c r="I995" t="s">
        <v>76</v>
      </c>
      <c r="J995" t="s">
        <v>77</v>
      </c>
      <c r="K995" t="s">
        <v>78</v>
      </c>
      <c r="L995" t="s">
        <v>400</v>
      </c>
      <c r="M995" t="s">
        <v>401</v>
      </c>
      <c r="N995" t="s">
        <v>932</v>
      </c>
      <c r="O995" t="s">
        <v>82</v>
      </c>
      <c r="P995" t="str">
        <f>"4170053597                    "</f>
        <v xml:space="preserve">4170053597                    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23.09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0</v>
      </c>
      <c r="AY995">
        <v>0</v>
      </c>
      <c r="AZ995">
        <v>0</v>
      </c>
      <c r="BA995">
        <v>0</v>
      </c>
      <c r="BB995">
        <v>0</v>
      </c>
      <c r="BC995">
        <v>0</v>
      </c>
      <c r="BD995">
        <v>0</v>
      </c>
      <c r="BE995">
        <v>0</v>
      </c>
      <c r="BF995">
        <v>0</v>
      </c>
      <c r="BG995">
        <v>0</v>
      </c>
      <c r="BH995">
        <v>1</v>
      </c>
      <c r="BI995">
        <v>1</v>
      </c>
      <c r="BJ995">
        <v>0.2</v>
      </c>
      <c r="BK995">
        <v>1</v>
      </c>
      <c r="BL995">
        <v>71.69</v>
      </c>
      <c r="BM995">
        <v>10.75</v>
      </c>
      <c r="BN995">
        <v>82.44</v>
      </c>
      <c r="BO995">
        <v>82.44</v>
      </c>
      <c r="BQ995" t="s">
        <v>933</v>
      </c>
      <c r="BR995" t="s">
        <v>84</v>
      </c>
      <c r="BS995" s="3">
        <v>45877</v>
      </c>
      <c r="BT995" s="4">
        <v>0.33333333333333331</v>
      </c>
      <c r="BU995" t="s">
        <v>1503</v>
      </c>
      <c r="BV995" t="s">
        <v>86</v>
      </c>
      <c r="BY995">
        <v>1200</v>
      </c>
      <c r="CA995" t="s">
        <v>405</v>
      </c>
      <c r="CC995" t="s">
        <v>401</v>
      </c>
      <c r="CD995">
        <v>6230</v>
      </c>
      <c r="CE995" t="s">
        <v>109</v>
      </c>
      <c r="CF995" s="3">
        <v>45877</v>
      </c>
      <c r="CI995">
        <v>1</v>
      </c>
      <c r="CJ995">
        <v>1</v>
      </c>
      <c r="CK995">
        <v>21</v>
      </c>
      <c r="CL995" t="s">
        <v>90</v>
      </c>
    </row>
    <row r="996" spans="1:90" x14ac:dyDescent="0.3">
      <c r="A996" t="s">
        <v>72</v>
      </c>
      <c r="B996" t="s">
        <v>73</v>
      </c>
      <c r="C996" t="s">
        <v>74</v>
      </c>
      <c r="E996" t="str">
        <f>"080067086090"</f>
        <v>080067086090</v>
      </c>
      <c r="F996" s="3">
        <v>45876</v>
      </c>
      <c r="G996">
        <v>202605</v>
      </c>
      <c r="H996" t="s">
        <v>75</v>
      </c>
      <c r="I996" t="s">
        <v>76</v>
      </c>
      <c r="J996" t="s">
        <v>77</v>
      </c>
      <c r="K996" t="s">
        <v>78</v>
      </c>
      <c r="L996" t="s">
        <v>137</v>
      </c>
      <c r="M996" t="s">
        <v>138</v>
      </c>
      <c r="N996" t="s">
        <v>1760</v>
      </c>
      <c r="O996" t="s">
        <v>95</v>
      </c>
      <c r="P996" t="str">
        <f>"4170053590                    "</f>
        <v xml:space="preserve">4170053590                    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74.13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0</v>
      </c>
      <c r="AZ996">
        <v>0</v>
      </c>
      <c r="BA996">
        <v>0</v>
      </c>
      <c r="BB996">
        <v>0</v>
      </c>
      <c r="BC996">
        <v>0</v>
      </c>
      <c r="BD996">
        <v>0</v>
      </c>
      <c r="BE996">
        <v>0</v>
      </c>
      <c r="BF996">
        <v>0</v>
      </c>
      <c r="BG996">
        <v>0</v>
      </c>
      <c r="BH996">
        <v>1</v>
      </c>
      <c r="BI996">
        <v>13</v>
      </c>
      <c r="BJ996">
        <v>30.9</v>
      </c>
      <c r="BK996">
        <v>31</v>
      </c>
      <c r="BL996">
        <v>236.06</v>
      </c>
      <c r="BM996">
        <v>35.409999999999997</v>
      </c>
      <c r="BN996">
        <v>271.47000000000003</v>
      </c>
      <c r="BO996">
        <v>271.47000000000003</v>
      </c>
      <c r="BQ996" t="s">
        <v>1761</v>
      </c>
      <c r="BR996" t="s">
        <v>84</v>
      </c>
      <c r="BS996" s="3">
        <v>45877</v>
      </c>
      <c r="BT996" s="4">
        <v>0.89722222222222225</v>
      </c>
      <c r="BU996" t="s">
        <v>1762</v>
      </c>
      <c r="BV996" t="s">
        <v>86</v>
      </c>
      <c r="BY996">
        <v>154560</v>
      </c>
      <c r="CA996" t="s">
        <v>547</v>
      </c>
      <c r="CC996" t="s">
        <v>138</v>
      </c>
      <c r="CD996">
        <v>3610</v>
      </c>
      <c r="CE996" t="s">
        <v>147</v>
      </c>
      <c r="CF996" s="3">
        <v>45880</v>
      </c>
      <c r="CI996">
        <v>1</v>
      </c>
      <c r="CJ996">
        <v>1</v>
      </c>
      <c r="CK996">
        <v>41</v>
      </c>
      <c r="CL996" t="s">
        <v>90</v>
      </c>
    </row>
    <row r="997" spans="1:90" x14ac:dyDescent="0.3">
      <c r="A997" t="s">
        <v>72</v>
      </c>
      <c r="B997" t="s">
        <v>73</v>
      </c>
      <c r="C997" t="s">
        <v>74</v>
      </c>
      <c r="E997" t="str">
        <f>"080067086107"</f>
        <v>080067086107</v>
      </c>
      <c r="F997" s="3">
        <v>45876</v>
      </c>
      <c r="G997">
        <v>202605</v>
      </c>
      <c r="H997" t="s">
        <v>75</v>
      </c>
      <c r="I997" t="s">
        <v>76</v>
      </c>
      <c r="J997" t="s">
        <v>77</v>
      </c>
      <c r="K997" t="s">
        <v>78</v>
      </c>
      <c r="L997" t="s">
        <v>75</v>
      </c>
      <c r="M997" t="s">
        <v>76</v>
      </c>
      <c r="N997" t="s">
        <v>537</v>
      </c>
      <c r="O997" t="s">
        <v>82</v>
      </c>
      <c r="P997" t="str">
        <f>"4170053586                    "</f>
        <v xml:space="preserve">4170053586                    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18.03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0</v>
      </c>
      <c r="BC997">
        <v>0</v>
      </c>
      <c r="BD997">
        <v>0</v>
      </c>
      <c r="BE997">
        <v>0</v>
      </c>
      <c r="BF997">
        <v>0</v>
      </c>
      <c r="BG997">
        <v>0</v>
      </c>
      <c r="BH997">
        <v>1</v>
      </c>
      <c r="BI997">
        <v>1</v>
      </c>
      <c r="BJ997">
        <v>0.2</v>
      </c>
      <c r="BK997">
        <v>1</v>
      </c>
      <c r="BL997">
        <v>55.99</v>
      </c>
      <c r="BM997">
        <v>8.4</v>
      </c>
      <c r="BN997">
        <v>64.39</v>
      </c>
      <c r="BO997">
        <v>64.39</v>
      </c>
      <c r="BQ997" t="s">
        <v>538</v>
      </c>
      <c r="BR997" t="s">
        <v>84</v>
      </c>
      <c r="BS997" s="3">
        <v>45877</v>
      </c>
      <c r="BT997" s="4">
        <v>0.36249999999999999</v>
      </c>
      <c r="BU997" t="s">
        <v>738</v>
      </c>
      <c r="BV997" t="s">
        <v>86</v>
      </c>
      <c r="BY997">
        <v>1200</v>
      </c>
      <c r="CA997" t="s">
        <v>739</v>
      </c>
      <c r="CC997" t="s">
        <v>76</v>
      </c>
      <c r="CD997">
        <v>1619</v>
      </c>
      <c r="CE997" t="s">
        <v>109</v>
      </c>
      <c r="CF997" s="3">
        <v>45877</v>
      </c>
      <c r="CI997">
        <v>1</v>
      </c>
      <c r="CJ997">
        <v>1</v>
      </c>
      <c r="CK997">
        <v>22</v>
      </c>
      <c r="CL997" t="s">
        <v>90</v>
      </c>
    </row>
    <row r="998" spans="1:90" x14ac:dyDescent="0.3">
      <c r="A998" t="s">
        <v>72</v>
      </c>
      <c r="B998" t="s">
        <v>73</v>
      </c>
      <c r="C998" t="s">
        <v>74</v>
      </c>
      <c r="E998" t="str">
        <f>"080067086119"</f>
        <v>080067086119</v>
      </c>
      <c r="F998" s="3">
        <v>45876</v>
      </c>
      <c r="G998">
        <v>202605</v>
      </c>
      <c r="H998" t="s">
        <v>75</v>
      </c>
      <c r="I998" t="s">
        <v>76</v>
      </c>
      <c r="J998" t="s">
        <v>77</v>
      </c>
      <c r="K998" t="s">
        <v>78</v>
      </c>
      <c r="L998" t="s">
        <v>137</v>
      </c>
      <c r="M998" t="s">
        <v>138</v>
      </c>
      <c r="N998" t="s">
        <v>261</v>
      </c>
      <c r="O998" t="s">
        <v>82</v>
      </c>
      <c r="P998" t="str">
        <f>"4170053428                    "</f>
        <v xml:space="preserve">4170053428                    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Q998">
        <v>23.09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</v>
      </c>
      <c r="BD998">
        <v>0</v>
      </c>
      <c r="BE998">
        <v>0</v>
      </c>
      <c r="BF998">
        <v>0</v>
      </c>
      <c r="BG998">
        <v>0</v>
      </c>
      <c r="BH998">
        <v>1</v>
      </c>
      <c r="BI998">
        <v>2</v>
      </c>
      <c r="BJ998">
        <v>1.4</v>
      </c>
      <c r="BK998">
        <v>2</v>
      </c>
      <c r="BL998">
        <v>71.69</v>
      </c>
      <c r="BM998">
        <v>10.75</v>
      </c>
      <c r="BN998">
        <v>82.44</v>
      </c>
      <c r="BO998">
        <v>82.44</v>
      </c>
      <c r="BQ998" t="s">
        <v>262</v>
      </c>
      <c r="BR998" t="s">
        <v>84</v>
      </c>
      <c r="BS998" s="3">
        <v>45877</v>
      </c>
      <c r="BT998" s="4">
        <v>0.42916666666666664</v>
      </c>
      <c r="BU998" t="s">
        <v>1648</v>
      </c>
      <c r="BV998" t="s">
        <v>86</v>
      </c>
      <c r="BY998">
        <v>7000</v>
      </c>
      <c r="CA998" t="s">
        <v>264</v>
      </c>
      <c r="CC998" t="s">
        <v>138</v>
      </c>
      <c r="CD998">
        <v>3608</v>
      </c>
      <c r="CE998" t="s">
        <v>147</v>
      </c>
      <c r="CF998" s="3">
        <v>45878</v>
      </c>
      <c r="CI998">
        <v>1</v>
      </c>
      <c r="CJ998">
        <v>1</v>
      </c>
      <c r="CK998">
        <v>21</v>
      </c>
      <c r="CL998" t="s">
        <v>90</v>
      </c>
    </row>
    <row r="999" spans="1:90" x14ac:dyDescent="0.3">
      <c r="A999" t="s">
        <v>72</v>
      </c>
      <c r="B999" t="s">
        <v>73</v>
      </c>
      <c r="C999" t="s">
        <v>74</v>
      </c>
      <c r="E999" t="str">
        <f>"080067086142"</f>
        <v>080067086142</v>
      </c>
      <c r="F999" s="3">
        <v>45876</v>
      </c>
      <c r="G999">
        <v>202605</v>
      </c>
      <c r="H999" t="s">
        <v>75</v>
      </c>
      <c r="I999" t="s">
        <v>76</v>
      </c>
      <c r="J999" t="s">
        <v>77</v>
      </c>
      <c r="K999" t="s">
        <v>78</v>
      </c>
      <c r="L999" t="s">
        <v>217</v>
      </c>
      <c r="M999" t="s">
        <v>218</v>
      </c>
      <c r="N999" t="s">
        <v>861</v>
      </c>
      <c r="O999" t="s">
        <v>82</v>
      </c>
      <c r="P999" t="str">
        <f>"4170053591                    "</f>
        <v xml:space="preserve">4170053591                    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23.09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0</v>
      </c>
      <c r="BA999">
        <v>0</v>
      </c>
      <c r="BB999">
        <v>0</v>
      </c>
      <c r="BC999">
        <v>0</v>
      </c>
      <c r="BD999">
        <v>0</v>
      </c>
      <c r="BE999">
        <v>0</v>
      </c>
      <c r="BF999">
        <v>0</v>
      </c>
      <c r="BG999">
        <v>0</v>
      </c>
      <c r="BH999">
        <v>1</v>
      </c>
      <c r="BI999">
        <v>1</v>
      </c>
      <c r="BJ999">
        <v>0.2</v>
      </c>
      <c r="BK999">
        <v>1</v>
      </c>
      <c r="BL999">
        <v>71.69</v>
      </c>
      <c r="BM999">
        <v>10.75</v>
      </c>
      <c r="BN999">
        <v>82.44</v>
      </c>
      <c r="BO999">
        <v>82.44</v>
      </c>
      <c r="BQ999" t="s">
        <v>862</v>
      </c>
      <c r="BR999" t="s">
        <v>84</v>
      </c>
      <c r="BS999" s="3">
        <v>45877</v>
      </c>
      <c r="BT999" s="4">
        <v>0.44236111111111109</v>
      </c>
      <c r="BU999" t="s">
        <v>863</v>
      </c>
      <c r="BV999" t="s">
        <v>86</v>
      </c>
      <c r="BY999">
        <v>1200</v>
      </c>
      <c r="CA999" t="s">
        <v>864</v>
      </c>
      <c r="CC999" t="s">
        <v>218</v>
      </c>
      <c r="CD999">
        <v>4001</v>
      </c>
      <c r="CE999" t="s">
        <v>109</v>
      </c>
      <c r="CF999" s="3">
        <v>45878</v>
      </c>
      <c r="CI999">
        <v>1</v>
      </c>
      <c r="CJ999">
        <v>1</v>
      </c>
      <c r="CK999">
        <v>21</v>
      </c>
      <c r="CL999" t="s">
        <v>90</v>
      </c>
    </row>
    <row r="1000" spans="1:90" x14ac:dyDescent="0.3">
      <c r="A1000" t="s">
        <v>72</v>
      </c>
      <c r="B1000" t="s">
        <v>73</v>
      </c>
      <c r="C1000" t="s">
        <v>74</v>
      </c>
      <c r="E1000" t="str">
        <f>"080067086180"</f>
        <v>080067086180</v>
      </c>
      <c r="F1000" s="3">
        <v>45876</v>
      </c>
      <c r="G1000">
        <v>202605</v>
      </c>
      <c r="H1000" t="s">
        <v>75</v>
      </c>
      <c r="I1000" t="s">
        <v>76</v>
      </c>
      <c r="J1000" t="s">
        <v>77</v>
      </c>
      <c r="K1000" t="s">
        <v>78</v>
      </c>
      <c r="L1000" t="s">
        <v>278</v>
      </c>
      <c r="M1000" t="s">
        <v>279</v>
      </c>
      <c r="N1000" t="s">
        <v>1465</v>
      </c>
      <c r="O1000" t="s">
        <v>82</v>
      </c>
      <c r="P1000" t="str">
        <f>"4170053609                    "</f>
        <v xml:space="preserve">4170053609                    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23.09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0</v>
      </c>
      <c r="BC1000">
        <v>0</v>
      </c>
      <c r="BD1000">
        <v>0</v>
      </c>
      <c r="BE1000">
        <v>0</v>
      </c>
      <c r="BF1000">
        <v>0</v>
      </c>
      <c r="BG1000">
        <v>0</v>
      </c>
      <c r="BH1000">
        <v>1</v>
      </c>
      <c r="BI1000">
        <v>1</v>
      </c>
      <c r="BJ1000">
        <v>0.2</v>
      </c>
      <c r="BK1000">
        <v>1</v>
      </c>
      <c r="BL1000">
        <v>71.69</v>
      </c>
      <c r="BM1000">
        <v>10.75</v>
      </c>
      <c r="BN1000">
        <v>82.44</v>
      </c>
      <c r="BO1000">
        <v>82.44</v>
      </c>
      <c r="BQ1000" t="s">
        <v>1466</v>
      </c>
      <c r="BR1000" t="s">
        <v>84</v>
      </c>
      <c r="BS1000" s="3">
        <v>45877</v>
      </c>
      <c r="BT1000" s="4">
        <v>0.43611111111111112</v>
      </c>
      <c r="BU1000" t="s">
        <v>1763</v>
      </c>
      <c r="BV1000" t="s">
        <v>86</v>
      </c>
      <c r="BY1000">
        <v>1200</v>
      </c>
      <c r="CA1000" t="s">
        <v>1477</v>
      </c>
      <c r="CC1000" t="s">
        <v>279</v>
      </c>
      <c r="CD1000" s="5" t="s">
        <v>1478</v>
      </c>
      <c r="CE1000" t="s">
        <v>109</v>
      </c>
      <c r="CF1000" s="3">
        <v>45877</v>
      </c>
      <c r="CI1000">
        <v>1</v>
      </c>
      <c r="CJ1000">
        <v>1</v>
      </c>
      <c r="CK1000">
        <v>21</v>
      </c>
      <c r="CL1000" t="s">
        <v>90</v>
      </c>
    </row>
    <row r="1001" spans="1:90" x14ac:dyDescent="0.3">
      <c r="A1001" t="s">
        <v>72</v>
      </c>
      <c r="B1001" t="s">
        <v>73</v>
      </c>
      <c r="C1001" t="s">
        <v>74</v>
      </c>
      <c r="E1001" t="str">
        <f>"080067086192"</f>
        <v>080067086192</v>
      </c>
      <c r="F1001" s="3">
        <v>45876</v>
      </c>
      <c r="G1001">
        <v>202605</v>
      </c>
      <c r="H1001" t="s">
        <v>75</v>
      </c>
      <c r="I1001" t="s">
        <v>76</v>
      </c>
      <c r="J1001" t="s">
        <v>77</v>
      </c>
      <c r="K1001" t="s">
        <v>78</v>
      </c>
      <c r="L1001" t="s">
        <v>162</v>
      </c>
      <c r="M1001" t="s">
        <v>163</v>
      </c>
      <c r="N1001" t="s">
        <v>246</v>
      </c>
      <c r="O1001" t="s">
        <v>95</v>
      </c>
      <c r="P1001" t="str">
        <f>"4170053506                    "</f>
        <v xml:space="preserve">4170053506                    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55.7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0</v>
      </c>
      <c r="BA1001">
        <v>0</v>
      </c>
      <c r="BB1001">
        <v>0</v>
      </c>
      <c r="BC1001">
        <v>0</v>
      </c>
      <c r="BD1001">
        <v>0</v>
      </c>
      <c r="BE1001">
        <v>0</v>
      </c>
      <c r="BF1001">
        <v>0</v>
      </c>
      <c r="BG1001">
        <v>0</v>
      </c>
      <c r="BH1001">
        <v>2</v>
      </c>
      <c r="BI1001">
        <v>21</v>
      </c>
      <c r="BJ1001">
        <v>9.5</v>
      </c>
      <c r="BK1001">
        <v>21</v>
      </c>
      <c r="BL1001">
        <v>178.83</v>
      </c>
      <c r="BM1001">
        <v>26.82</v>
      </c>
      <c r="BN1001">
        <v>205.65</v>
      </c>
      <c r="BO1001">
        <v>205.65</v>
      </c>
      <c r="BQ1001" t="s">
        <v>247</v>
      </c>
      <c r="BR1001" t="s">
        <v>84</v>
      </c>
      <c r="BS1001" s="3">
        <v>45877</v>
      </c>
      <c r="BT1001" s="4">
        <v>0.5</v>
      </c>
      <c r="BU1001" t="s">
        <v>1326</v>
      </c>
      <c r="BV1001" t="s">
        <v>86</v>
      </c>
      <c r="BY1001">
        <v>47400</v>
      </c>
      <c r="CC1001" t="s">
        <v>163</v>
      </c>
      <c r="CD1001">
        <v>3201</v>
      </c>
      <c r="CE1001" t="s">
        <v>147</v>
      </c>
      <c r="CF1001" s="3">
        <v>45880</v>
      </c>
      <c r="CI1001">
        <v>2</v>
      </c>
      <c r="CJ1001">
        <v>1</v>
      </c>
      <c r="CK1001">
        <v>41</v>
      </c>
      <c r="CL1001" t="s">
        <v>90</v>
      </c>
    </row>
    <row r="1002" spans="1:90" x14ac:dyDescent="0.3">
      <c r="A1002" t="s">
        <v>72</v>
      </c>
      <c r="B1002" t="s">
        <v>73</v>
      </c>
      <c r="C1002" t="s">
        <v>74</v>
      </c>
      <c r="E1002" t="str">
        <f>"080067086210"</f>
        <v>080067086210</v>
      </c>
      <c r="F1002" s="3">
        <v>45876</v>
      </c>
      <c r="G1002">
        <v>202605</v>
      </c>
      <c r="H1002" t="s">
        <v>75</v>
      </c>
      <c r="I1002" t="s">
        <v>76</v>
      </c>
      <c r="J1002" t="s">
        <v>77</v>
      </c>
      <c r="K1002" t="s">
        <v>78</v>
      </c>
      <c r="L1002" t="s">
        <v>75</v>
      </c>
      <c r="M1002" t="s">
        <v>76</v>
      </c>
      <c r="N1002" t="s">
        <v>1020</v>
      </c>
      <c r="O1002" t="s">
        <v>82</v>
      </c>
      <c r="P1002" t="str">
        <f>"4170053454                    "</f>
        <v xml:space="preserve">4170053454                    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>
        <v>18.03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0</v>
      </c>
      <c r="BA1002">
        <v>0</v>
      </c>
      <c r="BB1002">
        <v>0</v>
      </c>
      <c r="BC1002">
        <v>0</v>
      </c>
      <c r="BD1002">
        <v>0</v>
      </c>
      <c r="BE1002">
        <v>0</v>
      </c>
      <c r="BF1002">
        <v>0</v>
      </c>
      <c r="BG1002">
        <v>0</v>
      </c>
      <c r="BH1002">
        <v>1</v>
      </c>
      <c r="BI1002">
        <v>1</v>
      </c>
      <c r="BJ1002">
        <v>0.2</v>
      </c>
      <c r="BK1002">
        <v>1</v>
      </c>
      <c r="BL1002">
        <v>55.99</v>
      </c>
      <c r="BM1002">
        <v>8.4</v>
      </c>
      <c r="BN1002">
        <v>64.39</v>
      </c>
      <c r="BO1002">
        <v>64.39</v>
      </c>
      <c r="BQ1002" t="s">
        <v>1021</v>
      </c>
      <c r="BR1002" t="s">
        <v>84</v>
      </c>
      <c r="BS1002" s="3">
        <v>45880</v>
      </c>
      <c r="BT1002" s="4">
        <v>0.4375</v>
      </c>
      <c r="BU1002" t="s">
        <v>1764</v>
      </c>
      <c r="BV1002" t="s">
        <v>90</v>
      </c>
      <c r="BY1002">
        <v>1200</v>
      </c>
      <c r="CC1002" t="s">
        <v>76</v>
      </c>
      <c r="CD1002">
        <v>1645</v>
      </c>
      <c r="CE1002" t="s">
        <v>109</v>
      </c>
      <c r="CF1002" s="3">
        <v>45881</v>
      </c>
      <c r="CI1002">
        <v>1</v>
      </c>
      <c r="CJ1002">
        <v>2</v>
      </c>
      <c r="CK1002">
        <v>22</v>
      </c>
      <c r="CL1002" t="s">
        <v>90</v>
      </c>
    </row>
    <row r="1003" spans="1:90" x14ac:dyDescent="0.3">
      <c r="A1003" t="s">
        <v>72</v>
      </c>
      <c r="B1003" t="s">
        <v>73</v>
      </c>
      <c r="C1003" t="s">
        <v>74</v>
      </c>
      <c r="E1003" t="str">
        <f>"080067086241"</f>
        <v>080067086241</v>
      </c>
      <c r="F1003" s="3">
        <v>45876</v>
      </c>
      <c r="G1003">
        <v>202605</v>
      </c>
      <c r="H1003" t="s">
        <v>75</v>
      </c>
      <c r="I1003" t="s">
        <v>76</v>
      </c>
      <c r="J1003" t="s">
        <v>77</v>
      </c>
      <c r="K1003" t="s">
        <v>78</v>
      </c>
      <c r="L1003" t="s">
        <v>400</v>
      </c>
      <c r="M1003" t="s">
        <v>401</v>
      </c>
      <c r="N1003" t="s">
        <v>932</v>
      </c>
      <c r="O1003" t="s">
        <v>82</v>
      </c>
      <c r="P1003" t="str">
        <f>"4170053595                    "</f>
        <v xml:space="preserve">4170053595                    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23.09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0</v>
      </c>
      <c r="BF1003">
        <v>0</v>
      </c>
      <c r="BG1003">
        <v>0</v>
      </c>
      <c r="BH1003">
        <v>1</v>
      </c>
      <c r="BI1003">
        <v>1</v>
      </c>
      <c r="BJ1003">
        <v>0.2</v>
      </c>
      <c r="BK1003">
        <v>1</v>
      </c>
      <c r="BL1003">
        <v>71.69</v>
      </c>
      <c r="BM1003">
        <v>10.75</v>
      </c>
      <c r="BN1003">
        <v>82.44</v>
      </c>
      <c r="BO1003">
        <v>82.44</v>
      </c>
      <c r="BQ1003" t="s">
        <v>933</v>
      </c>
      <c r="BR1003" t="s">
        <v>84</v>
      </c>
      <c r="BS1003" s="3">
        <v>45877</v>
      </c>
      <c r="BT1003" s="4">
        <v>0.33541666666666664</v>
      </c>
      <c r="BU1003" t="s">
        <v>1503</v>
      </c>
      <c r="BV1003" t="s">
        <v>86</v>
      </c>
      <c r="BY1003">
        <v>1200</v>
      </c>
      <c r="CA1003" t="s">
        <v>405</v>
      </c>
      <c r="CC1003" t="s">
        <v>401</v>
      </c>
      <c r="CD1003">
        <v>6230</v>
      </c>
      <c r="CE1003" t="s">
        <v>109</v>
      </c>
      <c r="CF1003" s="3">
        <v>45877</v>
      </c>
      <c r="CI1003">
        <v>1</v>
      </c>
      <c r="CJ1003">
        <v>1</v>
      </c>
      <c r="CK1003">
        <v>21</v>
      </c>
      <c r="CL1003" t="s">
        <v>90</v>
      </c>
    </row>
    <row r="1004" spans="1:90" x14ac:dyDescent="0.3">
      <c r="A1004" t="s">
        <v>72</v>
      </c>
      <c r="B1004" t="s">
        <v>73</v>
      </c>
      <c r="C1004" t="s">
        <v>74</v>
      </c>
      <c r="E1004" t="str">
        <f>"080067086270"</f>
        <v>080067086270</v>
      </c>
      <c r="F1004" s="3">
        <v>45876</v>
      </c>
      <c r="G1004">
        <v>202605</v>
      </c>
      <c r="H1004" t="s">
        <v>75</v>
      </c>
      <c r="I1004" t="s">
        <v>76</v>
      </c>
      <c r="J1004" t="s">
        <v>77</v>
      </c>
      <c r="K1004" t="s">
        <v>78</v>
      </c>
      <c r="L1004" t="s">
        <v>217</v>
      </c>
      <c r="M1004" t="s">
        <v>218</v>
      </c>
      <c r="N1004" t="s">
        <v>219</v>
      </c>
      <c r="O1004" t="s">
        <v>82</v>
      </c>
      <c r="P1004" t="str">
        <f>"4170053602                    "</f>
        <v xml:space="preserve">4170053602                    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23.09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>
        <v>0</v>
      </c>
      <c r="BD1004">
        <v>0</v>
      </c>
      <c r="BE1004">
        <v>0</v>
      </c>
      <c r="BF1004">
        <v>0</v>
      </c>
      <c r="BG1004">
        <v>0</v>
      </c>
      <c r="BH1004">
        <v>1</v>
      </c>
      <c r="BI1004">
        <v>1</v>
      </c>
      <c r="BJ1004">
        <v>0.2</v>
      </c>
      <c r="BK1004">
        <v>1</v>
      </c>
      <c r="BL1004">
        <v>71.69</v>
      </c>
      <c r="BM1004">
        <v>10.75</v>
      </c>
      <c r="BN1004">
        <v>82.44</v>
      </c>
      <c r="BO1004">
        <v>82.44</v>
      </c>
      <c r="BQ1004" t="s">
        <v>220</v>
      </c>
      <c r="BR1004" t="s">
        <v>84</v>
      </c>
      <c r="BS1004" s="3">
        <v>45877</v>
      </c>
      <c r="BT1004" s="4">
        <v>0.38472222222222224</v>
      </c>
      <c r="BU1004" t="s">
        <v>221</v>
      </c>
      <c r="BV1004" t="s">
        <v>86</v>
      </c>
      <c r="BY1004">
        <v>1200</v>
      </c>
      <c r="CA1004" t="s">
        <v>566</v>
      </c>
      <c r="CC1004" t="s">
        <v>218</v>
      </c>
      <c r="CD1004">
        <v>4000</v>
      </c>
      <c r="CE1004" t="s">
        <v>109</v>
      </c>
      <c r="CF1004" s="3">
        <v>45877</v>
      </c>
      <c r="CI1004">
        <v>1</v>
      </c>
      <c r="CJ1004">
        <v>1</v>
      </c>
      <c r="CK1004">
        <v>21</v>
      </c>
      <c r="CL1004" t="s">
        <v>90</v>
      </c>
    </row>
    <row r="1005" spans="1:90" x14ac:dyDescent="0.3">
      <c r="A1005" t="s">
        <v>72</v>
      </c>
      <c r="B1005" t="s">
        <v>73</v>
      </c>
      <c r="C1005" t="s">
        <v>74</v>
      </c>
      <c r="E1005" t="str">
        <f>"080067086285"</f>
        <v>080067086285</v>
      </c>
      <c r="F1005" s="3">
        <v>45876</v>
      </c>
      <c r="G1005">
        <v>202605</v>
      </c>
      <c r="H1005" t="s">
        <v>75</v>
      </c>
      <c r="I1005" t="s">
        <v>76</v>
      </c>
      <c r="J1005" t="s">
        <v>77</v>
      </c>
      <c r="K1005" t="s">
        <v>78</v>
      </c>
      <c r="L1005" t="s">
        <v>123</v>
      </c>
      <c r="M1005" t="s">
        <v>124</v>
      </c>
      <c r="N1005" t="s">
        <v>406</v>
      </c>
      <c r="O1005" t="s">
        <v>82</v>
      </c>
      <c r="P1005" t="str">
        <f>"4170053616                    "</f>
        <v xml:space="preserve">4170053616                    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23.09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0</v>
      </c>
      <c r="BA1005">
        <v>0</v>
      </c>
      <c r="BB1005">
        <v>0</v>
      </c>
      <c r="BC1005">
        <v>0</v>
      </c>
      <c r="BD1005">
        <v>0</v>
      </c>
      <c r="BE1005">
        <v>0</v>
      </c>
      <c r="BF1005">
        <v>0</v>
      </c>
      <c r="BG1005">
        <v>0</v>
      </c>
      <c r="BH1005">
        <v>1</v>
      </c>
      <c r="BI1005">
        <v>1</v>
      </c>
      <c r="BJ1005">
        <v>0.2</v>
      </c>
      <c r="BK1005">
        <v>1</v>
      </c>
      <c r="BL1005">
        <v>71.69</v>
      </c>
      <c r="BM1005">
        <v>10.75</v>
      </c>
      <c r="BN1005">
        <v>82.44</v>
      </c>
      <c r="BO1005">
        <v>82.44</v>
      </c>
      <c r="BQ1005" t="s">
        <v>407</v>
      </c>
      <c r="BR1005" t="s">
        <v>84</v>
      </c>
      <c r="BS1005" s="3">
        <v>45877</v>
      </c>
      <c r="BT1005" s="4">
        <v>0.4375</v>
      </c>
      <c r="BU1005" t="s">
        <v>408</v>
      </c>
      <c r="BV1005" t="s">
        <v>86</v>
      </c>
      <c r="BY1005">
        <v>1200</v>
      </c>
      <c r="CA1005" t="s">
        <v>192</v>
      </c>
      <c r="CC1005" t="s">
        <v>124</v>
      </c>
      <c r="CD1005">
        <v>7441</v>
      </c>
      <c r="CE1005" t="s">
        <v>109</v>
      </c>
      <c r="CF1005" s="3">
        <v>45880</v>
      </c>
      <c r="CI1005">
        <v>1</v>
      </c>
      <c r="CJ1005">
        <v>1</v>
      </c>
      <c r="CK1005">
        <v>21</v>
      </c>
      <c r="CL1005" t="s">
        <v>90</v>
      </c>
    </row>
    <row r="1006" spans="1:90" x14ac:dyDescent="0.3">
      <c r="A1006" t="s">
        <v>72</v>
      </c>
      <c r="B1006" t="s">
        <v>73</v>
      </c>
      <c r="C1006" t="s">
        <v>74</v>
      </c>
      <c r="E1006" t="str">
        <f>"080067086366"</f>
        <v>080067086366</v>
      </c>
      <c r="F1006" s="3">
        <v>45876</v>
      </c>
      <c r="G1006">
        <v>202605</v>
      </c>
      <c r="H1006" t="s">
        <v>75</v>
      </c>
      <c r="I1006" t="s">
        <v>76</v>
      </c>
      <c r="J1006" t="s">
        <v>77</v>
      </c>
      <c r="K1006" t="s">
        <v>78</v>
      </c>
      <c r="L1006" t="s">
        <v>198</v>
      </c>
      <c r="M1006" t="s">
        <v>199</v>
      </c>
      <c r="N1006" t="s">
        <v>598</v>
      </c>
      <c r="O1006" t="s">
        <v>82</v>
      </c>
      <c r="P1006" t="str">
        <f>"4170053471                    "</f>
        <v xml:space="preserve">4170053471                    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34.619999999999997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0</v>
      </c>
      <c r="BA1006">
        <v>0</v>
      </c>
      <c r="BB1006">
        <v>0</v>
      </c>
      <c r="BC1006">
        <v>0</v>
      </c>
      <c r="BD1006">
        <v>0</v>
      </c>
      <c r="BE1006">
        <v>0</v>
      </c>
      <c r="BF1006">
        <v>0</v>
      </c>
      <c r="BG1006">
        <v>0</v>
      </c>
      <c r="BH1006">
        <v>1</v>
      </c>
      <c r="BI1006">
        <v>3</v>
      </c>
      <c r="BJ1006">
        <v>1.1000000000000001</v>
      </c>
      <c r="BK1006">
        <v>3</v>
      </c>
      <c r="BL1006">
        <v>107.5</v>
      </c>
      <c r="BM1006">
        <v>16.13</v>
      </c>
      <c r="BN1006">
        <v>123.63</v>
      </c>
      <c r="BO1006">
        <v>123.63</v>
      </c>
      <c r="BQ1006" t="s">
        <v>599</v>
      </c>
      <c r="BR1006" t="s">
        <v>84</v>
      </c>
      <c r="BS1006" s="3">
        <v>45877</v>
      </c>
      <c r="BT1006" s="4">
        <v>0.39861111111111114</v>
      </c>
      <c r="BU1006" t="s">
        <v>1757</v>
      </c>
      <c r="BV1006" t="s">
        <v>86</v>
      </c>
      <c r="BY1006">
        <v>5320</v>
      </c>
      <c r="CA1006" t="s">
        <v>601</v>
      </c>
      <c r="CC1006" t="s">
        <v>199</v>
      </c>
      <c r="CD1006">
        <v>6001</v>
      </c>
      <c r="CE1006" t="s">
        <v>147</v>
      </c>
      <c r="CF1006" s="3">
        <v>45880</v>
      </c>
      <c r="CI1006">
        <v>1</v>
      </c>
      <c r="CJ1006">
        <v>1</v>
      </c>
      <c r="CK1006">
        <v>21</v>
      </c>
      <c r="CL1006" t="s">
        <v>90</v>
      </c>
    </row>
    <row r="1007" spans="1:90" x14ac:dyDescent="0.3">
      <c r="A1007" t="s">
        <v>72</v>
      </c>
      <c r="B1007" t="s">
        <v>73</v>
      </c>
      <c r="C1007" t="s">
        <v>74</v>
      </c>
      <c r="E1007" t="str">
        <f>"080067086373"</f>
        <v>080067086373</v>
      </c>
      <c r="F1007" s="3">
        <v>45876</v>
      </c>
      <c r="G1007">
        <v>202605</v>
      </c>
      <c r="H1007" t="s">
        <v>75</v>
      </c>
      <c r="I1007" t="s">
        <v>76</v>
      </c>
      <c r="J1007" t="s">
        <v>77</v>
      </c>
      <c r="K1007" t="s">
        <v>78</v>
      </c>
      <c r="L1007" t="s">
        <v>217</v>
      </c>
      <c r="M1007" t="s">
        <v>218</v>
      </c>
      <c r="N1007" t="s">
        <v>544</v>
      </c>
      <c r="O1007" t="s">
        <v>82</v>
      </c>
      <c r="P1007" t="str">
        <f>"4170053610                    "</f>
        <v xml:space="preserve">4170053610                    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>
        <v>23.09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0</v>
      </c>
      <c r="AX1007">
        <v>0</v>
      </c>
      <c r="AY1007">
        <v>0</v>
      </c>
      <c r="AZ1007">
        <v>0</v>
      </c>
      <c r="BA1007">
        <v>0</v>
      </c>
      <c r="BB1007">
        <v>0</v>
      </c>
      <c r="BC1007">
        <v>0</v>
      </c>
      <c r="BD1007">
        <v>0</v>
      </c>
      <c r="BE1007">
        <v>0</v>
      </c>
      <c r="BF1007">
        <v>0</v>
      </c>
      <c r="BG1007">
        <v>0</v>
      </c>
      <c r="BH1007">
        <v>1</v>
      </c>
      <c r="BI1007">
        <v>1</v>
      </c>
      <c r="BJ1007">
        <v>0.2</v>
      </c>
      <c r="BK1007">
        <v>1</v>
      </c>
      <c r="BL1007">
        <v>71.69</v>
      </c>
      <c r="BM1007">
        <v>10.75</v>
      </c>
      <c r="BN1007">
        <v>82.44</v>
      </c>
      <c r="BO1007">
        <v>82.44</v>
      </c>
      <c r="BQ1007" t="s">
        <v>545</v>
      </c>
      <c r="BR1007" t="s">
        <v>84</v>
      </c>
      <c r="BS1007" s="3">
        <v>45877</v>
      </c>
      <c r="BT1007" s="4">
        <v>0.44930555555555557</v>
      </c>
      <c r="BU1007" t="s">
        <v>1571</v>
      </c>
      <c r="BV1007" t="s">
        <v>90</v>
      </c>
      <c r="BW1007" t="s">
        <v>134</v>
      </c>
      <c r="BX1007" t="s">
        <v>135</v>
      </c>
      <c r="BY1007">
        <v>1200</v>
      </c>
      <c r="CA1007" t="s">
        <v>953</v>
      </c>
      <c r="CC1007" t="s">
        <v>218</v>
      </c>
      <c r="CD1007">
        <v>4000</v>
      </c>
      <c r="CE1007" t="s">
        <v>109</v>
      </c>
      <c r="CF1007" s="3">
        <v>45877</v>
      </c>
      <c r="CI1007">
        <v>1</v>
      </c>
      <c r="CJ1007">
        <v>1</v>
      </c>
      <c r="CK1007">
        <v>21</v>
      </c>
      <c r="CL1007" t="s">
        <v>90</v>
      </c>
    </row>
    <row r="1008" spans="1:90" x14ac:dyDescent="0.3">
      <c r="A1008" t="s">
        <v>72</v>
      </c>
      <c r="B1008" t="s">
        <v>73</v>
      </c>
      <c r="C1008" t="s">
        <v>74</v>
      </c>
      <c r="E1008" t="str">
        <f>"080067086417"</f>
        <v>080067086417</v>
      </c>
      <c r="F1008" s="3">
        <v>45876</v>
      </c>
      <c r="G1008">
        <v>202605</v>
      </c>
      <c r="H1008" t="s">
        <v>75</v>
      </c>
      <c r="I1008" t="s">
        <v>76</v>
      </c>
      <c r="J1008" t="s">
        <v>77</v>
      </c>
      <c r="K1008" t="s">
        <v>78</v>
      </c>
      <c r="L1008" t="s">
        <v>75</v>
      </c>
      <c r="M1008" t="s">
        <v>76</v>
      </c>
      <c r="N1008" t="s">
        <v>1703</v>
      </c>
      <c r="O1008" t="s">
        <v>82</v>
      </c>
      <c r="P1008" t="str">
        <f>"4170053592                    "</f>
        <v xml:space="preserve">4170053592                    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>
        <v>18.03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0</v>
      </c>
      <c r="BA1008">
        <v>0</v>
      </c>
      <c r="BB1008">
        <v>0</v>
      </c>
      <c r="BC1008">
        <v>0</v>
      </c>
      <c r="BD1008">
        <v>0</v>
      </c>
      <c r="BE1008">
        <v>0</v>
      </c>
      <c r="BF1008">
        <v>0</v>
      </c>
      <c r="BG1008">
        <v>0</v>
      </c>
      <c r="BH1008">
        <v>1</v>
      </c>
      <c r="BI1008">
        <v>1</v>
      </c>
      <c r="BJ1008">
        <v>0.2</v>
      </c>
      <c r="BK1008">
        <v>1</v>
      </c>
      <c r="BL1008">
        <v>55.99</v>
      </c>
      <c r="BM1008">
        <v>8.4</v>
      </c>
      <c r="BN1008">
        <v>64.39</v>
      </c>
      <c r="BO1008">
        <v>64.39</v>
      </c>
      <c r="BQ1008" t="s">
        <v>1704</v>
      </c>
      <c r="BR1008" t="s">
        <v>84</v>
      </c>
      <c r="BS1008" s="3">
        <v>45880</v>
      </c>
      <c r="BT1008" s="4">
        <v>0.36666666666666664</v>
      </c>
      <c r="BU1008" t="s">
        <v>1705</v>
      </c>
      <c r="BV1008" t="s">
        <v>90</v>
      </c>
      <c r="BW1008" t="s">
        <v>1167</v>
      </c>
      <c r="BX1008" t="s">
        <v>1706</v>
      </c>
      <c r="BY1008">
        <v>1200</v>
      </c>
      <c r="CA1008" t="s">
        <v>1707</v>
      </c>
      <c r="CC1008" t="s">
        <v>76</v>
      </c>
      <c r="CD1008">
        <v>1609</v>
      </c>
      <c r="CE1008" t="s">
        <v>109</v>
      </c>
      <c r="CF1008" s="3">
        <v>45880</v>
      </c>
      <c r="CI1008">
        <v>1</v>
      </c>
      <c r="CJ1008">
        <v>2</v>
      </c>
      <c r="CK1008">
        <v>22</v>
      </c>
      <c r="CL1008" t="s">
        <v>90</v>
      </c>
    </row>
    <row r="1009" spans="1:90" x14ac:dyDescent="0.3">
      <c r="A1009" t="s">
        <v>72</v>
      </c>
      <c r="B1009" t="s">
        <v>73</v>
      </c>
      <c r="C1009" t="s">
        <v>74</v>
      </c>
      <c r="E1009" t="str">
        <f>"080067086421"</f>
        <v>080067086421</v>
      </c>
      <c r="F1009" s="3">
        <v>45876</v>
      </c>
      <c r="G1009">
        <v>202605</v>
      </c>
      <c r="H1009" t="s">
        <v>75</v>
      </c>
      <c r="I1009" t="s">
        <v>76</v>
      </c>
      <c r="J1009" t="s">
        <v>77</v>
      </c>
      <c r="K1009" t="s">
        <v>78</v>
      </c>
      <c r="L1009" t="s">
        <v>217</v>
      </c>
      <c r="M1009" t="s">
        <v>218</v>
      </c>
      <c r="N1009" t="s">
        <v>219</v>
      </c>
      <c r="O1009" t="s">
        <v>82</v>
      </c>
      <c r="P1009" t="str">
        <f>"4170053596                    "</f>
        <v xml:space="preserve">4170053596                    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23.09</v>
      </c>
      <c r="AR1009">
        <v>0</v>
      </c>
      <c r="AS1009">
        <v>0</v>
      </c>
      <c r="AT1009">
        <v>0</v>
      </c>
      <c r="AU1009">
        <v>0</v>
      </c>
      <c r="AV1009">
        <v>0</v>
      </c>
      <c r="AW1009">
        <v>0</v>
      </c>
      <c r="AX1009">
        <v>0</v>
      </c>
      <c r="AY1009">
        <v>0</v>
      </c>
      <c r="AZ1009">
        <v>0</v>
      </c>
      <c r="BA1009">
        <v>0</v>
      </c>
      <c r="BB1009">
        <v>0</v>
      </c>
      <c r="BC1009">
        <v>0</v>
      </c>
      <c r="BD1009">
        <v>0</v>
      </c>
      <c r="BE1009">
        <v>0</v>
      </c>
      <c r="BF1009">
        <v>0</v>
      </c>
      <c r="BG1009">
        <v>0</v>
      </c>
      <c r="BH1009">
        <v>1</v>
      </c>
      <c r="BI1009">
        <v>1</v>
      </c>
      <c r="BJ1009">
        <v>1.9</v>
      </c>
      <c r="BK1009">
        <v>2</v>
      </c>
      <c r="BL1009">
        <v>71.69</v>
      </c>
      <c r="BM1009">
        <v>10.75</v>
      </c>
      <c r="BN1009">
        <v>82.44</v>
      </c>
      <c r="BO1009">
        <v>82.44</v>
      </c>
      <c r="BQ1009" t="s">
        <v>220</v>
      </c>
      <c r="BR1009" t="s">
        <v>84</v>
      </c>
      <c r="BS1009" s="3">
        <v>45877</v>
      </c>
      <c r="BT1009" s="4">
        <v>0.38472222222222224</v>
      </c>
      <c r="BU1009" t="s">
        <v>221</v>
      </c>
      <c r="BV1009" t="s">
        <v>86</v>
      </c>
      <c r="BY1009">
        <v>9600</v>
      </c>
      <c r="CA1009" t="s">
        <v>566</v>
      </c>
      <c r="CC1009" t="s">
        <v>218</v>
      </c>
      <c r="CD1009">
        <v>4051</v>
      </c>
      <c r="CE1009" t="s">
        <v>147</v>
      </c>
      <c r="CF1009" s="3">
        <v>45877</v>
      </c>
      <c r="CI1009">
        <v>1</v>
      </c>
      <c r="CJ1009">
        <v>1</v>
      </c>
      <c r="CK1009">
        <v>21</v>
      </c>
      <c r="CL1009" t="s">
        <v>90</v>
      </c>
    </row>
    <row r="1010" spans="1:90" x14ac:dyDescent="0.3">
      <c r="A1010" t="s">
        <v>72</v>
      </c>
      <c r="B1010" t="s">
        <v>73</v>
      </c>
      <c r="C1010" t="s">
        <v>74</v>
      </c>
      <c r="E1010" t="str">
        <f>"080067086432"</f>
        <v>080067086432</v>
      </c>
      <c r="F1010" s="3">
        <v>45876</v>
      </c>
      <c r="G1010">
        <v>202605</v>
      </c>
      <c r="H1010" t="s">
        <v>75</v>
      </c>
      <c r="I1010" t="s">
        <v>76</v>
      </c>
      <c r="J1010" t="s">
        <v>77</v>
      </c>
      <c r="K1010" t="s">
        <v>78</v>
      </c>
      <c r="L1010" t="s">
        <v>241</v>
      </c>
      <c r="M1010" t="s">
        <v>242</v>
      </c>
      <c r="N1010" t="s">
        <v>1765</v>
      </c>
      <c r="O1010" t="s">
        <v>82</v>
      </c>
      <c r="P1010" t="str">
        <f>"4170053598                    "</f>
        <v xml:space="preserve">4170053598                    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18.03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</v>
      </c>
      <c r="AX1010">
        <v>0</v>
      </c>
      <c r="AY1010">
        <v>0</v>
      </c>
      <c r="AZ1010">
        <v>0</v>
      </c>
      <c r="BA1010">
        <v>0</v>
      </c>
      <c r="BB1010">
        <v>0</v>
      </c>
      <c r="BC1010">
        <v>0</v>
      </c>
      <c r="BD1010">
        <v>0</v>
      </c>
      <c r="BE1010">
        <v>0</v>
      </c>
      <c r="BF1010">
        <v>0</v>
      </c>
      <c r="BG1010">
        <v>0</v>
      </c>
      <c r="BH1010">
        <v>1</v>
      </c>
      <c r="BI1010">
        <v>1</v>
      </c>
      <c r="BJ1010">
        <v>0.2</v>
      </c>
      <c r="BK1010">
        <v>1</v>
      </c>
      <c r="BL1010">
        <v>55.99</v>
      </c>
      <c r="BM1010">
        <v>8.4</v>
      </c>
      <c r="BN1010">
        <v>64.39</v>
      </c>
      <c r="BO1010">
        <v>64.39</v>
      </c>
      <c r="BQ1010" t="s">
        <v>1766</v>
      </c>
      <c r="BR1010" t="s">
        <v>84</v>
      </c>
      <c r="BS1010" s="3">
        <v>45877</v>
      </c>
      <c r="BT1010" s="4">
        <v>0.38958333333333334</v>
      </c>
      <c r="BU1010" t="s">
        <v>1767</v>
      </c>
      <c r="BV1010" t="s">
        <v>86</v>
      </c>
      <c r="BY1010">
        <v>1200</v>
      </c>
      <c r="CA1010" t="s">
        <v>576</v>
      </c>
      <c r="CC1010" t="s">
        <v>242</v>
      </c>
      <c r="CD1010">
        <v>1459</v>
      </c>
      <c r="CE1010" t="s">
        <v>109</v>
      </c>
      <c r="CF1010" s="3">
        <v>45877</v>
      </c>
      <c r="CI1010">
        <v>1</v>
      </c>
      <c r="CJ1010">
        <v>1</v>
      </c>
      <c r="CK1010">
        <v>22</v>
      </c>
      <c r="CL1010" t="s">
        <v>90</v>
      </c>
    </row>
    <row r="1011" spans="1:90" x14ac:dyDescent="0.3">
      <c r="A1011" t="s">
        <v>72</v>
      </c>
      <c r="B1011" t="s">
        <v>73</v>
      </c>
      <c r="C1011" t="s">
        <v>74</v>
      </c>
      <c r="E1011" t="str">
        <f>"080067086442"</f>
        <v>080067086442</v>
      </c>
      <c r="F1011" s="3">
        <v>45876</v>
      </c>
      <c r="G1011">
        <v>202605</v>
      </c>
      <c r="H1011" t="s">
        <v>75</v>
      </c>
      <c r="I1011" t="s">
        <v>76</v>
      </c>
      <c r="J1011" t="s">
        <v>77</v>
      </c>
      <c r="K1011" t="s">
        <v>78</v>
      </c>
      <c r="L1011" t="s">
        <v>217</v>
      </c>
      <c r="M1011" t="s">
        <v>218</v>
      </c>
      <c r="N1011" t="s">
        <v>1768</v>
      </c>
      <c r="O1011" t="s">
        <v>82</v>
      </c>
      <c r="P1011" t="str">
        <f>"4170053600                    "</f>
        <v xml:space="preserve">4170053600                    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23.09</v>
      </c>
      <c r="AR1011">
        <v>0</v>
      </c>
      <c r="AS1011">
        <v>0</v>
      </c>
      <c r="AT1011">
        <v>0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0</v>
      </c>
      <c r="BA1011">
        <v>0</v>
      </c>
      <c r="BB1011">
        <v>0</v>
      </c>
      <c r="BC1011">
        <v>0</v>
      </c>
      <c r="BD1011">
        <v>0</v>
      </c>
      <c r="BE1011">
        <v>0</v>
      </c>
      <c r="BF1011">
        <v>0</v>
      </c>
      <c r="BG1011">
        <v>0</v>
      </c>
      <c r="BH1011">
        <v>1</v>
      </c>
      <c r="BI1011">
        <v>1</v>
      </c>
      <c r="BJ1011">
        <v>1.1000000000000001</v>
      </c>
      <c r="BK1011">
        <v>1.5</v>
      </c>
      <c r="BL1011">
        <v>71.69</v>
      </c>
      <c r="BM1011">
        <v>10.75</v>
      </c>
      <c r="BN1011">
        <v>82.44</v>
      </c>
      <c r="BO1011">
        <v>82.44</v>
      </c>
      <c r="BQ1011" t="s">
        <v>1769</v>
      </c>
      <c r="BR1011" t="s">
        <v>84</v>
      </c>
      <c r="BS1011" s="3">
        <v>45877</v>
      </c>
      <c r="BT1011" s="4">
        <v>0.6069444444444444</v>
      </c>
      <c r="BU1011" t="s">
        <v>1770</v>
      </c>
      <c r="BV1011" t="s">
        <v>90</v>
      </c>
      <c r="BW1011" t="s">
        <v>134</v>
      </c>
      <c r="BX1011" t="s">
        <v>1573</v>
      </c>
      <c r="BY1011">
        <v>5320</v>
      </c>
      <c r="BZ1011" t="s">
        <v>330</v>
      </c>
      <c r="CA1011" t="s">
        <v>425</v>
      </c>
      <c r="CC1011" t="s">
        <v>218</v>
      </c>
      <c r="CD1011">
        <v>4051</v>
      </c>
      <c r="CE1011" t="s">
        <v>147</v>
      </c>
      <c r="CF1011" s="3">
        <v>45877</v>
      </c>
      <c r="CI1011">
        <v>1</v>
      </c>
      <c r="CJ1011">
        <v>1</v>
      </c>
      <c r="CK1011">
        <v>21</v>
      </c>
      <c r="CL1011" t="s">
        <v>90</v>
      </c>
    </row>
    <row r="1012" spans="1:90" x14ac:dyDescent="0.3">
      <c r="A1012" t="s">
        <v>72</v>
      </c>
      <c r="B1012" t="s">
        <v>73</v>
      </c>
      <c r="C1012" t="s">
        <v>74</v>
      </c>
      <c r="E1012" t="str">
        <f>"080067086453"</f>
        <v>080067086453</v>
      </c>
      <c r="F1012" s="3">
        <v>45876</v>
      </c>
      <c r="G1012">
        <v>202605</v>
      </c>
      <c r="H1012" t="s">
        <v>75</v>
      </c>
      <c r="I1012" t="s">
        <v>76</v>
      </c>
      <c r="J1012" t="s">
        <v>77</v>
      </c>
      <c r="K1012" t="s">
        <v>78</v>
      </c>
      <c r="L1012" t="s">
        <v>198</v>
      </c>
      <c r="M1012" t="s">
        <v>199</v>
      </c>
      <c r="N1012" t="s">
        <v>667</v>
      </c>
      <c r="O1012" t="s">
        <v>82</v>
      </c>
      <c r="P1012" t="str">
        <f>"4170053594                    "</f>
        <v xml:space="preserve">4170053594                    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23.09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  <c r="BE1012">
        <v>0</v>
      </c>
      <c r="BF1012">
        <v>0</v>
      </c>
      <c r="BG1012">
        <v>0</v>
      </c>
      <c r="BH1012">
        <v>1</v>
      </c>
      <c r="BI1012">
        <v>1</v>
      </c>
      <c r="BJ1012">
        <v>0.2</v>
      </c>
      <c r="BK1012">
        <v>1</v>
      </c>
      <c r="BL1012">
        <v>71.69</v>
      </c>
      <c r="BM1012">
        <v>10.75</v>
      </c>
      <c r="BN1012">
        <v>82.44</v>
      </c>
      <c r="BO1012">
        <v>82.44</v>
      </c>
      <c r="BQ1012" t="s">
        <v>668</v>
      </c>
      <c r="BR1012" t="s">
        <v>84</v>
      </c>
      <c r="BS1012" s="3">
        <v>45877</v>
      </c>
      <c r="BT1012" s="4">
        <v>0.35902777777777778</v>
      </c>
      <c r="BU1012" t="s">
        <v>432</v>
      </c>
      <c r="BV1012" t="s">
        <v>86</v>
      </c>
      <c r="BY1012">
        <v>1200</v>
      </c>
      <c r="BZ1012" t="s">
        <v>330</v>
      </c>
      <c r="CA1012" t="s">
        <v>433</v>
      </c>
      <c r="CC1012" t="s">
        <v>199</v>
      </c>
      <c r="CD1012">
        <v>6001</v>
      </c>
      <c r="CE1012" t="s">
        <v>109</v>
      </c>
      <c r="CF1012" s="3">
        <v>45877</v>
      </c>
      <c r="CI1012">
        <v>1</v>
      </c>
      <c r="CJ1012">
        <v>1</v>
      </c>
      <c r="CK1012">
        <v>21</v>
      </c>
      <c r="CL1012" t="s">
        <v>90</v>
      </c>
    </row>
    <row r="1013" spans="1:90" x14ac:dyDescent="0.3">
      <c r="A1013" t="s">
        <v>72</v>
      </c>
      <c r="B1013" t="s">
        <v>73</v>
      </c>
      <c r="C1013" t="s">
        <v>74</v>
      </c>
      <c r="E1013" t="str">
        <f>"080067086469"</f>
        <v>080067086469</v>
      </c>
      <c r="F1013" s="3">
        <v>45876</v>
      </c>
      <c r="G1013">
        <v>202605</v>
      </c>
      <c r="H1013" t="s">
        <v>75</v>
      </c>
      <c r="I1013" t="s">
        <v>76</v>
      </c>
      <c r="J1013" t="s">
        <v>77</v>
      </c>
      <c r="K1013" t="s">
        <v>78</v>
      </c>
      <c r="L1013" t="s">
        <v>75</v>
      </c>
      <c r="M1013" t="s">
        <v>76</v>
      </c>
      <c r="N1013" t="s">
        <v>152</v>
      </c>
      <c r="O1013" t="s">
        <v>113</v>
      </c>
      <c r="P1013" t="str">
        <f>"4170053553                    "</f>
        <v xml:space="preserve">4170053553                    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18.04</v>
      </c>
      <c r="AR1013">
        <v>0</v>
      </c>
      <c r="AS1013">
        <v>0</v>
      </c>
      <c r="AT1013">
        <v>0</v>
      </c>
      <c r="AU1013">
        <v>0</v>
      </c>
      <c r="AV1013">
        <v>0</v>
      </c>
      <c r="AW1013">
        <v>0</v>
      </c>
      <c r="AX1013">
        <v>0</v>
      </c>
      <c r="AY1013">
        <v>0</v>
      </c>
      <c r="AZ1013">
        <v>0</v>
      </c>
      <c r="BA1013">
        <v>0</v>
      </c>
      <c r="BB1013">
        <v>0</v>
      </c>
      <c r="BC1013">
        <v>0</v>
      </c>
      <c r="BD1013">
        <v>0</v>
      </c>
      <c r="BE1013">
        <v>0</v>
      </c>
      <c r="BF1013">
        <v>0</v>
      </c>
      <c r="BG1013">
        <v>0</v>
      </c>
      <c r="BH1013">
        <v>1</v>
      </c>
      <c r="BI1013">
        <v>7</v>
      </c>
      <c r="BJ1013">
        <v>3.9</v>
      </c>
      <c r="BK1013">
        <v>7</v>
      </c>
      <c r="BL1013">
        <v>56.01</v>
      </c>
      <c r="BM1013">
        <v>8.4</v>
      </c>
      <c r="BN1013">
        <v>64.41</v>
      </c>
      <c r="BO1013">
        <v>64.41</v>
      </c>
      <c r="BQ1013" t="s">
        <v>153</v>
      </c>
      <c r="BR1013" t="s">
        <v>84</v>
      </c>
      <c r="BS1013" s="3">
        <v>45877</v>
      </c>
      <c r="BT1013" s="4">
        <v>0.31944444444444442</v>
      </c>
      <c r="BU1013" t="s">
        <v>1709</v>
      </c>
      <c r="BV1013" t="s">
        <v>86</v>
      </c>
      <c r="BY1013">
        <v>19456</v>
      </c>
      <c r="BZ1013" t="s">
        <v>100</v>
      </c>
      <c r="CA1013" t="s">
        <v>1650</v>
      </c>
      <c r="CC1013" t="s">
        <v>76</v>
      </c>
      <c r="CD1013">
        <v>1600</v>
      </c>
      <c r="CE1013" t="s">
        <v>117</v>
      </c>
      <c r="CF1013" s="3">
        <v>45877</v>
      </c>
      <c r="CI1013">
        <v>1</v>
      </c>
      <c r="CJ1013">
        <v>1</v>
      </c>
      <c r="CK1013">
        <v>32</v>
      </c>
      <c r="CL1013" t="s">
        <v>90</v>
      </c>
    </row>
    <row r="1014" spans="1:90" x14ac:dyDescent="0.3">
      <c r="A1014" t="s">
        <v>72</v>
      </c>
      <c r="B1014" t="s">
        <v>73</v>
      </c>
      <c r="C1014" t="s">
        <v>74</v>
      </c>
      <c r="E1014" t="str">
        <f>"080067086479"</f>
        <v>080067086479</v>
      </c>
      <c r="F1014" s="3">
        <v>45876</v>
      </c>
      <c r="G1014">
        <v>202605</v>
      </c>
      <c r="H1014" t="s">
        <v>75</v>
      </c>
      <c r="I1014" t="s">
        <v>76</v>
      </c>
      <c r="J1014" t="s">
        <v>77</v>
      </c>
      <c r="K1014" t="s">
        <v>78</v>
      </c>
      <c r="L1014" t="s">
        <v>129</v>
      </c>
      <c r="M1014" t="s">
        <v>130</v>
      </c>
      <c r="N1014" t="s">
        <v>131</v>
      </c>
      <c r="O1014" t="s">
        <v>82</v>
      </c>
      <c r="P1014" t="str">
        <f>"4170053615                    "</f>
        <v xml:space="preserve">4170053615                    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23.09</v>
      </c>
      <c r="AR1014">
        <v>0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>
        <v>0</v>
      </c>
      <c r="AY1014">
        <v>0</v>
      </c>
      <c r="AZ1014">
        <v>0</v>
      </c>
      <c r="BA1014">
        <v>0</v>
      </c>
      <c r="BB1014">
        <v>0</v>
      </c>
      <c r="BC1014">
        <v>0</v>
      </c>
      <c r="BD1014">
        <v>0</v>
      </c>
      <c r="BE1014">
        <v>0</v>
      </c>
      <c r="BF1014">
        <v>0</v>
      </c>
      <c r="BG1014">
        <v>0</v>
      </c>
      <c r="BH1014">
        <v>1</v>
      </c>
      <c r="BI1014">
        <v>1</v>
      </c>
      <c r="BJ1014">
        <v>0.2</v>
      </c>
      <c r="BK1014">
        <v>1</v>
      </c>
      <c r="BL1014">
        <v>71.69</v>
      </c>
      <c r="BM1014">
        <v>10.75</v>
      </c>
      <c r="BN1014">
        <v>82.44</v>
      </c>
      <c r="BO1014">
        <v>82.44</v>
      </c>
      <c r="BQ1014" t="s">
        <v>132</v>
      </c>
      <c r="BR1014" t="s">
        <v>84</v>
      </c>
      <c r="BS1014" s="3">
        <v>45880</v>
      </c>
      <c r="BT1014" s="4">
        <v>0.52083333333333337</v>
      </c>
      <c r="BU1014" t="s">
        <v>133</v>
      </c>
      <c r="BV1014" t="s">
        <v>90</v>
      </c>
      <c r="BW1014" t="s">
        <v>1167</v>
      </c>
      <c r="BX1014" t="s">
        <v>641</v>
      </c>
      <c r="BY1014">
        <v>1200</v>
      </c>
      <c r="BZ1014" t="s">
        <v>330</v>
      </c>
      <c r="CA1014" t="s">
        <v>136</v>
      </c>
      <c r="CC1014" t="s">
        <v>130</v>
      </c>
      <c r="CD1014">
        <v>4133</v>
      </c>
      <c r="CE1014" t="s">
        <v>109</v>
      </c>
      <c r="CF1014" s="3">
        <v>45881</v>
      </c>
      <c r="CI1014">
        <v>1</v>
      </c>
      <c r="CJ1014">
        <v>2</v>
      </c>
      <c r="CK1014">
        <v>21</v>
      </c>
      <c r="CL1014" t="s">
        <v>90</v>
      </c>
    </row>
    <row r="1015" spans="1:90" x14ac:dyDescent="0.3">
      <c r="A1015" t="s">
        <v>72</v>
      </c>
      <c r="B1015" t="s">
        <v>73</v>
      </c>
      <c r="C1015" t="s">
        <v>74</v>
      </c>
      <c r="E1015" t="str">
        <f>"080067086502"</f>
        <v>080067086502</v>
      </c>
      <c r="F1015" s="3">
        <v>45876</v>
      </c>
      <c r="G1015">
        <v>202605</v>
      </c>
      <c r="H1015" t="s">
        <v>75</v>
      </c>
      <c r="I1015" t="s">
        <v>76</v>
      </c>
      <c r="J1015" t="s">
        <v>77</v>
      </c>
      <c r="K1015" t="s">
        <v>78</v>
      </c>
      <c r="L1015" t="s">
        <v>234</v>
      </c>
      <c r="M1015" t="s">
        <v>235</v>
      </c>
      <c r="N1015" t="s">
        <v>236</v>
      </c>
      <c r="O1015" t="s">
        <v>82</v>
      </c>
      <c r="P1015" t="str">
        <f>"4170053603                    "</f>
        <v xml:space="preserve">4170053603                    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23.09</v>
      </c>
      <c r="AR1015">
        <v>0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>
        <v>0</v>
      </c>
      <c r="AY1015">
        <v>0</v>
      </c>
      <c r="AZ1015">
        <v>0</v>
      </c>
      <c r="BA1015">
        <v>0</v>
      </c>
      <c r="BB1015">
        <v>0</v>
      </c>
      <c r="BC1015">
        <v>0</v>
      </c>
      <c r="BD1015">
        <v>0</v>
      </c>
      <c r="BE1015">
        <v>0</v>
      </c>
      <c r="BF1015">
        <v>0</v>
      </c>
      <c r="BG1015">
        <v>0</v>
      </c>
      <c r="BH1015">
        <v>1</v>
      </c>
      <c r="BI1015">
        <v>1</v>
      </c>
      <c r="BJ1015">
        <v>0.2</v>
      </c>
      <c r="BK1015">
        <v>1</v>
      </c>
      <c r="BL1015">
        <v>71.69</v>
      </c>
      <c r="BM1015">
        <v>10.75</v>
      </c>
      <c r="BN1015">
        <v>82.44</v>
      </c>
      <c r="BO1015">
        <v>82.44</v>
      </c>
      <c r="BQ1015" t="s">
        <v>237</v>
      </c>
      <c r="BR1015" t="s">
        <v>84</v>
      </c>
      <c r="BS1015" s="3">
        <v>45877</v>
      </c>
      <c r="BT1015" s="4">
        <v>0.3576388888888889</v>
      </c>
      <c r="BU1015" t="s">
        <v>650</v>
      </c>
      <c r="BV1015" t="s">
        <v>86</v>
      </c>
      <c r="BY1015">
        <v>1200</v>
      </c>
      <c r="CA1015" t="s">
        <v>239</v>
      </c>
      <c r="CC1015" t="s">
        <v>235</v>
      </c>
      <c r="CD1015" s="5" t="s">
        <v>240</v>
      </c>
      <c r="CE1015" t="s">
        <v>109</v>
      </c>
      <c r="CF1015" s="3">
        <v>45877</v>
      </c>
      <c r="CI1015">
        <v>1</v>
      </c>
      <c r="CJ1015">
        <v>1</v>
      </c>
      <c r="CK1015">
        <v>21</v>
      </c>
      <c r="CL1015" t="s">
        <v>90</v>
      </c>
    </row>
    <row r="1016" spans="1:90" x14ac:dyDescent="0.3">
      <c r="A1016" t="s">
        <v>72</v>
      </c>
      <c r="B1016" t="s">
        <v>73</v>
      </c>
      <c r="C1016" t="s">
        <v>74</v>
      </c>
      <c r="E1016" t="str">
        <f>"080067086506"</f>
        <v>080067086506</v>
      </c>
      <c r="F1016" s="3">
        <v>45876</v>
      </c>
      <c r="G1016">
        <v>202605</v>
      </c>
      <c r="H1016" t="s">
        <v>75</v>
      </c>
      <c r="I1016" t="s">
        <v>76</v>
      </c>
      <c r="J1016" t="s">
        <v>77</v>
      </c>
      <c r="K1016" t="s">
        <v>78</v>
      </c>
      <c r="L1016" t="s">
        <v>123</v>
      </c>
      <c r="M1016" t="s">
        <v>124</v>
      </c>
      <c r="N1016" t="s">
        <v>406</v>
      </c>
      <c r="O1016" t="s">
        <v>82</v>
      </c>
      <c r="P1016" t="str">
        <f>"4170053608                    "</f>
        <v xml:space="preserve">4170053608                    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23.09</v>
      </c>
      <c r="AR1016">
        <v>0</v>
      </c>
      <c r="AS1016">
        <v>0</v>
      </c>
      <c r="AT1016">
        <v>0</v>
      </c>
      <c r="AU1016">
        <v>0</v>
      </c>
      <c r="AV1016">
        <v>0</v>
      </c>
      <c r="AW1016">
        <v>0</v>
      </c>
      <c r="AX1016">
        <v>0</v>
      </c>
      <c r="AY1016">
        <v>0</v>
      </c>
      <c r="AZ1016">
        <v>0</v>
      </c>
      <c r="BA1016">
        <v>0</v>
      </c>
      <c r="BB1016">
        <v>0</v>
      </c>
      <c r="BC1016">
        <v>0</v>
      </c>
      <c r="BD1016">
        <v>0</v>
      </c>
      <c r="BE1016">
        <v>0</v>
      </c>
      <c r="BF1016">
        <v>0</v>
      </c>
      <c r="BG1016">
        <v>0</v>
      </c>
      <c r="BH1016">
        <v>1</v>
      </c>
      <c r="BI1016">
        <v>1</v>
      </c>
      <c r="BJ1016">
        <v>0.2</v>
      </c>
      <c r="BK1016">
        <v>1</v>
      </c>
      <c r="BL1016">
        <v>71.69</v>
      </c>
      <c r="BM1016">
        <v>10.75</v>
      </c>
      <c r="BN1016">
        <v>82.44</v>
      </c>
      <c r="BO1016">
        <v>82.44</v>
      </c>
      <c r="BQ1016" t="s">
        <v>407</v>
      </c>
      <c r="BR1016" t="s">
        <v>84</v>
      </c>
      <c r="BS1016" s="3">
        <v>45877</v>
      </c>
      <c r="BT1016" s="4">
        <v>0.4375</v>
      </c>
      <c r="BU1016" t="s">
        <v>408</v>
      </c>
      <c r="BV1016" t="s">
        <v>86</v>
      </c>
      <c r="BY1016">
        <v>1200</v>
      </c>
      <c r="CA1016" t="s">
        <v>192</v>
      </c>
      <c r="CC1016" t="s">
        <v>124</v>
      </c>
      <c r="CD1016">
        <v>7441</v>
      </c>
      <c r="CE1016" t="s">
        <v>109</v>
      </c>
      <c r="CF1016" s="3">
        <v>45880</v>
      </c>
      <c r="CI1016">
        <v>1</v>
      </c>
      <c r="CJ1016">
        <v>1</v>
      </c>
      <c r="CK1016">
        <v>21</v>
      </c>
      <c r="CL1016" t="s">
        <v>90</v>
      </c>
    </row>
    <row r="1017" spans="1:90" x14ac:dyDescent="0.3">
      <c r="A1017" t="s">
        <v>72</v>
      </c>
      <c r="B1017" t="s">
        <v>73</v>
      </c>
      <c r="C1017" t="s">
        <v>74</v>
      </c>
      <c r="E1017" t="str">
        <f>"080067086540"</f>
        <v>080067086540</v>
      </c>
      <c r="F1017" s="3">
        <v>45876</v>
      </c>
      <c r="G1017">
        <v>202605</v>
      </c>
      <c r="H1017" t="s">
        <v>75</v>
      </c>
      <c r="I1017" t="s">
        <v>76</v>
      </c>
      <c r="J1017" t="s">
        <v>77</v>
      </c>
      <c r="K1017" t="s">
        <v>78</v>
      </c>
      <c r="L1017" t="s">
        <v>241</v>
      </c>
      <c r="M1017" t="s">
        <v>242</v>
      </c>
      <c r="N1017" t="s">
        <v>1771</v>
      </c>
      <c r="O1017" t="s">
        <v>82</v>
      </c>
      <c r="P1017" t="str">
        <f>"4170053585                    "</f>
        <v xml:space="preserve">4170053585                    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18.03</v>
      </c>
      <c r="AR1017">
        <v>0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>
        <v>0</v>
      </c>
      <c r="AY1017">
        <v>0</v>
      </c>
      <c r="AZ1017">
        <v>0</v>
      </c>
      <c r="BA1017">
        <v>0</v>
      </c>
      <c r="BB1017">
        <v>0</v>
      </c>
      <c r="BC1017">
        <v>0</v>
      </c>
      <c r="BD1017">
        <v>0</v>
      </c>
      <c r="BE1017">
        <v>0</v>
      </c>
      <c r="BF1017">
        <v>0</v>
      </c>
      <c r="BG1017">
        <v>0</v>
      </c>
      <c r="BH1017">
        <v>1</v>
      </c>
      <c r="BI1017">
        <v>1</v>
      </c>
      <c r="BJ1017">
        <v>0.2</v>
      </c>
      <c r="BK1017">
        <v>1</v>
      </c>
      <c r="BL1017">
        <v>55.99</v>
      </c>
      <c r="BM1017">
        <v>8.4</v>
      </c>
      <c r="BN1017">
        <v>64.39</v>
      </c>
      <c r="BO1017">
        <v>64.39</v>
      </c>
      <c r="BQ1017" t="s">
        <v>1772</v>
      </c>
      <c r="BR1017" t="s">
        <v>84</v>
      </c>
      <c r="BS1017" s="3">
        <v>45877</v>
      </c>
      <c r="BT1017" s="4">
        <v>0.3659722222222222</v>
      </c>
      <c r="BU1017" t="s">
        <v>1773</v>
      </c>
      <c r="BV1017" t="s">
        <v>86</v>
      </c>
      <c r="BY1017">
        <v>1200</v>
      </c>
      <c r="CA1017" t="s">
        <v>576</v>
      </c>
      <c r="CC1017" t="s">
        <v>242</v>
      </c>
      <c r="CD1017">
        <v>1459</v>
      </c>
      <c r="CE1017" t="s">
        <v>109</v>
      </c>
      <c r="CF1017" s="3">
        <v>45877</v>
      </c>
      <c r="CI1017">
        <v>1</v>
      </c>
      <c r="CJ1017">
        <v>1</v>
      </c>
      <c r="CK1017">
        <v>22</v>
      </c>
      <c r="CL1017" t="s">
        <v>90</v>
      </c>
    </row>
    <row r="1018" spans="1:90" x14ac:dyDescent="0.3">
      <c r="A1018" t="s">
        <v>72</v>
      </c>
      <c r="B1018" t="s">
        <v>73</v>
      </c>
      <c r="C1018" t="s">
        <v>74</v>
      </c>
      <c r="E1018" t="str">
        <f>"080067086560"</f>
        <v>080067086560</v>
      </c>
      <c r="F1018" s="3">
        <v>45876</v>
      </c>
      <c r="G1018">
        <v>202605</v>
      </c>
      <c r="H1018" t="s">
        <v>75</v>
      </c>
      <c r="I1018" t="s">
        <v>76</v>
      </c>
      <c r="J1018" t="s">
        <v>77</v>
      </c>
      <c r="K1018" t="s">
        <v>78</v>
      </c>
      <c r="L1018" t="s">
        <v>241</v>
      </c>
      <c r="M1018" t="s">
        <v>242</v>
      </c>
      <c r="N1018" t="s">
        <v>978</v>
      </c>
      <c r="O1018" t="s">
        <v>82</v>
      </c>
      <c r="P1018" t="str">
        <f>"4170053599                    "</f>
        <v xml:space="preserve">4170053599                    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18.03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0</v>
      </c>
      <c r="BE1018">
        <v>0</v>
      </c>
      <c r="BF1018">
        <v>0</v>
      </c>
      <c r="BG1018">
        <v>0</v>
      </c>
      <c r="BH1018">
        <v>1</v>
      </c>
      <c r="BI1018">
        <v>1</v>
      </c>
      <c r="BJ1018">
        <v>0.2</v>
      </c>
      <c r="BK1018">
        <v>1</v>
      </c>
      <c r="BL1018">
        <v>55.99</v>
      </c>
      <c r="BM1018">
        <v>8.4</v>
      </c>
      <c r="BN1018">
        <v>64.39</v>
      </c>
      <c r="BO1018">
        <v>64.39</v>
      </c>
      <c r="BQ1018" t="s">
        <v>1774</v>
      </c>
      <c r="BR1018" t="s">
        <v>84</v>
      </c>
      <c r="BS1018" s="3">
        <v>45877</v>
      </c>
      <c r="BT1018" s="4">
        <v>0.33750000000000002</v>
      </c>
      <c r="BU1018" t="s">
        <v>1775</v>
      </c>
      <c r="BV1018" t="s">
        <v>86</v>
      </c>
      <c r="BY1018">
        <v>1200</v>
      </c>
      <c r="CA1018" t="s">
        <v>720</v>
      </c>
      <c r="CC1018" t="s">
        <v>242</v>
      </c>
      <c r="CD1018">
        <v>1459</v>
      </c>
      <c r="CE1018" t="s">
        <v>109</v>
      </c>
      <c r="CF1018" s="3">
        <v>45877</v>
      </c>
      <c r="CI1018">
        <v>1</v>
      </c>
      <c r="CJ1018">
        <v>1</v>
      </c>
      <c r="CK1018">
        <v>22</v>
      </c>
      <c r="CL1018" t="s">
        <v>90</v>
      </c>
    </row>
    <row r="1019" spans="1:90" x14ac:dyDescent="0.3">
      <c r="A1019" t="s">
        <v>72</v>
      </c>
      <c r="B1019" t="s">
        <v>73</v>
      </c>
      <c r="C1019" t="s">
        <v>74</v>
      </c>
      <c r="E1019" t="str">
        <f>"080067086578"</f>
        <v>080067086578</v>
      </c>
      <c r="F1019" s="3">
        <v>45876</v>
      </c>
      <c r="G1019">
        <v>202605</v>
      </c>
      <c r="H1019" t="s">
        <v>75</v>
      </c>
      <c r="I1019" t="s">
        <v>76</v>
      </c>
      <c r="J1019" t="s">
        <v>77</v>
      </c>
      <c r="K1019" t="s">
        <v>78</v>
      </c>
      <c r="L1019" t="s">
        <v>172</v>
      </c>
      <c r="M1019" t="s">
        <v>173</v>
      </c>
      <c r="N1019" t="s">
        <v>1776</v>
      </c>
      <c r="O1019" t="s">
        <v>82</v>
      </c>
      <c r="P1019" t="str">
        <f>"4170053593                    "</f>
        <v xml:space="preserve">4170053593                    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23.09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>
        <v>0</v>
      </c>
      <c r="AY1019">
        <v>0</v>
      </c>
      <c r="AZ1019">
        <v>0</v>
      </c>
      <c r="BA1019">
        <v>0</v>
      </c>
      <c r="BB1019">
        <v>0</v>
      </c>
      <c r="BC1019">
        <v>0</v>
      </c>
      <c r="BD1019">
        <v>0</v>
      </c>
      <c r="BE1019">
        <v>0</v>
      </c>
      <c r="BF1019">
        <v>0</v>
      </c>
      <c r="BG1019">
        <v>0</v>
      </c>
      <c r="BH1019">
        <v>1</v>
      </c>
      <c r="BI1019">
        <v>1</v>
      </c>
      <c r="BJ1019">
        <v>0.2</v>
      </c>
      <c r="BK1019">
        <v>1</v>
      </c>
      <c r="BL1019">
        <v>71.69</v>
      </c>
      <c r="BM1019">
        <v>10.75</v>
      </c>
      <c r="BN1019">
        <v>82.44</v>
      </c>
      <c r="BO1019">
        <v>82.44</v>
      </c>
      <c r="BQ1019" t="s">
        <v>1777</v>
      </c>
      <c r="BR1019" t="s">
        <v>84</v>
      </c>
      <c r="BS1019" s="3">
        <v>45877</v>
      </c>
      <c r="BT1019" s="4">
        <v>0.36666666666666664</v>
      </c>
      <c r="BU1019" t="s">
        <v>1778</v>
      </c>
      <c r="BV1019" t="s">
        <v>86</v>
      </c>
      <c r="BY1019">
        <v>1200</v>
      </c>
      <c r="CA1019" t="s">
        <v>1779</v>
      </c>
      <c r="CC1019" t="s">
        <v>173</v>
      </c>
      <c r="CD1019">
        <v>7600</v>
      </c>
      <c r="CE1019" t="s">
        <v>109</v>
      </c>
      <c r="CF1019" s="3">
        <v>45880</v>
      </c>
      <c r="CI1019">
        <v>1</v>
      </c>
      <c r="CJ1019">
        <v>1</v>
      </c>
      <c r="CK1019">
        <v>21</v>
      </c>
      <c r="CL1019" t="s">
        <v>90</v>
      </c>
    </row>
    <row r="1020" spans="1:90" x14ac:dyDescent="0.3">
      <c r="A1020" t="s">
        <v>72</v>
      </c>
      <c r="B1020" t="s">
        <v>73</v>
      </c>
      <c r="C1020" t="s">
        <v>74</v>
      </c>
      <c r="E1020" t="str">
        <f>"080067086669"</f>
        <v>080067086669</v>
      </c>
      <c r="F1020" s="3">
        <v>45876</v>
      </c>
      <c r="G1020">
        <v>202605</v>
      </c>
      <c r="H1020" t="s">
        <v>75</v>
      </c>
      <c r="I1020" t="s">
        <v>76</v>
      </c>
      <c r="J1020" t="s">
        <v>77</v>
      </c>
      <c r="K1020" t="s">
        <v>78</v>
      </c>
      <c r="L1020" t="s">
        <v>1254</v>
      </c>
      <c r="M1020" t="s">
        <v>1255</v>
      </c>
      <c r="N1020" t="s">
        <v>1780</v>
      </c>
      <c r="O1020" t="s">
        <v>95</v>
      </c>
      <c r="P1020" t="str">
        <f>"4170053565                    "</f>
        <v xml:space="preserve">4170053565                    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75.819999999999993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0</v>
      </c>
      <c r="BA1020">
        <v>0</v>
      </c>
      <c r="BB1020">
        <v>0</v>
      </c>
      <c r="BC1020">
        <v>0</v>
      </c>
      <c r="BD1020">
        <v>0</v>
      </c>
      <c r="BE1020">
        <v>0</v>
      </c>
      <c r="BF1020">
        <v>0</v>
      </c>
      <c r="BG1020">
        <v>0</v>
      </c>
      <c r="BH1020">
        <v>1</v>
      </c>
      <c r="BI1020">
        <v>9</v>
      </c>
      <c r="BJ1020">
        <v>18.7</v>
      </c>
      <c r="BK1020">
        <v>19</v>
      </c>
      <c r="BL1020">
        <v>241.32</v>
      </c>
      <c r="BM1020">
        <v>36.200000000000003</v>
      </c>
      <c r="BN1020">
        <v>277.52</v>
      </c>
      <c r="BO1020">
        <v>277.52</v>
      </c>
      <c r="BQ1020" t="s">
        <v>1781</v>
      </c>
      <c r="BR1020" t="s">
        <v>84</v>
      </c>
      <c r="BS1020" s="3">
        <v>45880</v>
      </c>
      <c r="BT1020" s="4">
        <v>0.81597222222222221</v>
      </c>
      <c r="BU1020" t="s">
        <v>1782</v>
      </c>
      <c r="BV1020" t="s">
        <v>86</v>
      </c>
      <c r="BY1020">
        <v>93312</v>
      </c>
      <c r="CA1020" t="s">
        <v>593</v>
      </c>
      <c r="CC1020" t="s">
        <v>1255</v>
      </c>
      <c r="CD1020">
        <v>3280</v>
      </c>
      <c r="CE1020" t="s">
        <v>117</v>
      </c>
      <c r="CF1020" s="3">
        <v>45881</v>
      </c>
      <c r="CI1020">
        <v>2</v>
      </c>
      <c r="CJ1020">
        <v>2</v>
      </c>
      <c r="CK1020">
        <v>43</v>
      </c>
      <c r="CL1020" t="s">
        <v>90</v>
      </c>
    </row>
    <row r="1021" spans="1:90" x14ac:dyDescent="0.3">
      <c r="A1021" t="s">
        <v>72</v>
      </c>
      <c r="B1021" t="s">
        <v>73</v>
      </c>
      <c r="C1021" t="s">
        <v>74</v>
      </c>
      <c r="E1021" t="str">
        <f>"080067086720"</f>
        <v>080067086720</v>
      </c>
      <c r="F1021" s="3">
        <v>45876</v>
      </c>
      <c r="G1021">
        <v>202605</v>
      </c>
      <c r="H1021" t="s">
        <v>75</v>
      </c>
      <c r="I1021" t="s">
        <v>76</v>
      </c>
      <c r="J1021" t="s">
        <v>77</v>
      </c>
      <c r="K1021" t="s">
        <v>78</v>
      </c>
      <c r="L1021" t="s">
        <v>278</v>
      </c>
      <c r="M1021" t="s">
        <v>279</v>
      </c>
      <c r="N1021" t="s">
        <v>285</v>
      </c>
      <c r="O1021" t="s">
        <v>82</v>
      </c>
      <c r="P1021" t="str">
        <f>"4170053613                    "</f>
        <v xml:space="preserve">4170053613                    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23.09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0</v>
      </c>
      <c r="AY1021">
        <v>0</v>
      </c>
      <c r="AZ1021">
        <v>0</v>
      </c>
      <c r="BA1021">
        <v>0</v>
      </c>
      <c r="BB1021">
        <v>0</v>
      </c>
      <c r="BC1021">
        <v>0</v>
      </c>
      <c r="BD1021">
        <v>0</v>
      </c>
      <c r="BE1021">
        <v>0</v>
      </c>
      <c r="BF1021">
        <v>0</v>
      </c>
      <c r="BG1021">
        <v>0</v>
      </c>
      <c r="BH1021">
        <v>1</v>
      </c>
      <c r="BI1021">
        <v>1</v>
      </c>
      <c r="BJ1021">
        <v>1.4</v>
      </c>
      <c r="BK1021">
        <v>1.5</v>
      </c>
      <c r="BL1021">
        <v>71.69</v>
      </c>
      <c r="BM1021">
        <v>10.75</v>
      </c>
      <c r="BN1021">
        <v>82.44</v>
      </c>
      <c r="BO1021">
        <v>82.44</v>
      </c>
      <c r="BQ1021" t="s">
        <v>286</v>
      </c>
      <c r="BR1021" t="s">
        <v>84</v>
      </c>
      <c r="BS1021" s="3">
        <v>45877</v>
      </c>
      <c r="BT1021" s="4">
        <v>0.42291666666666666</v>
      </c>
      <c r="BU1021" t="s">
        <v>647</v>
      </c>
      <c r="BV1021" t="s">
        <v>86</v>
      </c>
      <c r="BY1021">
        <v>7000</v>
      </c>
      <c r="CA1021" t="s">
        <v>288</v>
      </c>
      <c r="CC1021" t="s">
        <v>279</v>
      </c>
      <c r="CD1021" s="5" t="s">
        <v>289</v>
      </c>
      <c r="CE1021" t="s">
        <v>147</v>
      </c>
      <c r="CF1021" s="3">
        <v>45877</v>
      </c>
      <c r="CI1021">
        <v>1</v>
      </c>
      <c r="CJ1021">
        <v>1</v>
      </c>
      <c r="CK1021">
        <v>21</v>
      </c>
      <c r="CL1021" t="s">
        <v>90</v>
      </c>
    </row>
    <row r="1022" spans="1:90" x14ac:dyDescent="0.3">
      <c r="A1022" t="s">
        <v>72</v>
      </c>
      <c r="B1022" t="s">
        <v>73</v>
      </c>
      <c r="C1022" t="s">
        <v>74</v>
      </c>
      <c r="E1022" t="str">
        <f>"080067086750"</f>
        <v>080067086750</v>
      </c>
      <c r="F1022" s="3">
        <v>45876</v>
      </c>
      <c r="G1022">
        <v>202605</v>
      </c>
      <c r="H1022" t="s">
        <v>75</v>
      </c>
      <c r="I1022" t="s">
        <v>76</v>
      </c>
      <c r="J1022" t="s">
        <v>77</v>
      </c>
      <c r="K1022" t="s">
        <v>78</v>
      </c>
      <c r="L1022" t="s">
        <v>446</v>
      </c>
      <c r="M1022" t="s">
        <v>447</v>
      </c>
      <c r="N1022" t="s">
        <v>448</v>
      </c>
      <c r="O1022" t="s">
        <v>82</v>
      </c>
      <c r="P1022" t="str">
        <f>"4170053572                    "</f>
        <v xml:space="preserve">4170053572                    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32.47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>
        <v>0</v>
      </c>
      <c r="AY1022">
        <v>0</v>
      </c>
      <c r="AZ1022">
        <v>0</v>
      </c>
      <c r="BA1022">
        <v>0</v>
      </c>
      <c r="BB1022">
        <v>0</v>
      </c>
      <c r="BC1022">
        <v>0</v>
      </c>
      <c r="BD1022">
        <v>0</v>
      </c>
      <c r="BE1022">
        <v>0</v>
      </c>
      <c r="BF1022">
        <v>0</v>
      </c>
      <c r="BG1022">
        <v>0</v>
      </c>
      <c r="BH1022">
        <v>1</v>
      </c>
      <c r="BI1022">
        <v>1</v>
      </c>
      <c r="BJ1022">
        <v>0.2</v>
      </c>
      <c r="BK1022">
        <v>1</v>
      </c>
      <c r="BL1022">
        <v>100.82</v>
      </c>
      <c r="BM1022">
        <v>15.12</v>
      </c>
      <c r="BN1022">
        <v>115.94</v>
      </c>
      <c r="BO1022">
        <v>115.94</v>
      </c>
      <c r="BQ1022" t="s">
        <v>449</v>
      </c>
      <c r="BR1022" t="s">
        <v>84</v>
      </c>
      <c r="BS1022" s="3">
        <v>45877</v>
      </c>
      <c r="BT1022" s="4">
        <v>0.34375</v>
      </c>
      <c r="BU1022" t="s">
        <v>1783</v>
      </c>
      <c r="BV1022" t="s">
        <v>86</v>
      </c>
      <c r="BY1022">
        <v>1200</v>
      </c>
      <c r="CA1022" t="s">
        <v>451</v>
      </c>
      <c r="CC1022" t="s">
        <v>447</v>
      </c>
      <c r="CD1022">
        <v>2210</v>
      </c>
      <c r="CE1022" t="s">
        <v>109</v>
      </c>
      <c r="CF1022" s="3">
        <v>45878</v>
      </c>
      <c r="CI1022">
        <v>1</v>
      </c>
      <c r="CJ1022">
        <v>1</v>
      </c>
      <c r="CK1022">
        <v>24</v>
      </c>
      <c r="CL1022" t="s">
        <v>90</v>
      </c>
    </row>
    <row r="1023" spans="1:90" x14ac:dyDescent="0.3">
      <c r="A1023" t="s">
        <v>72</v>
      </c>
      <c r="B1023" t="s">
        <v>73</v>
      </c>
      <c r="C1023" t="s">
        <v>74</v>
      </c>
      <c r="E1023" t="str">
        <f>"080067086763"</f>
        <v>080067086763</v>
      </c>
      <c r="F1023" s="3">
        <v>45876</v>
      </c>
      <c r="G1023">
        <v>202605</v>
      </c>
      <c r="H1023" t="s">
        <v>75</v>
      </c>
      <c r="I1023" t="s">
        <v>76</v>
      </c>
      <c r="J1023" t="s">
        <v>77</v>
      </c>
      <c r="K1023" t="s">
        <v>78</v>
      </c>
      <c r="L1023" t="s">
        <v>75</v>
      </c>
      <c r="M1023" t="s">
        <v>76</v>
      </c>
      <c r="N1023" t="s">
        <v>1784</v>
      </c>
      <c r="O1023" t="s">
        <v>82</v>
      </c>
      <c r="P1023" t="str">
        <f>"4170053611                    "</f>
        <v xml:space="preserve">4170053611                    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>
        <v>18.03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>
        <v>0</v>
      </c>
      <c r="AY1023">
        <v>0</v>
      </c>
      <c r="AZ1023">
        <v>0</v>
      </c>
      <c r="BA1023">
        <v>0</v>
      </c>
      <c r="BB1023">
        <v>0</v>
      </c>
      <c r="BC1023">
        <v>0</v>
      </c>
      <c r="BD1023">
        <v>0</v>
      </c>
      <c r="BE1023">
        <v>0</v>
      </c>
      <c r="BF1023">
        <v>0</v>
      </c>
      <c r="BG1023">
        <v>0</v>
      </c>
      <c r="BH1023">
        <v>1</v>
      </c>
      <c r="BI1023">
        <v>1</v>
      </c>
      <c r="BJ1023">
        <v>0.2</v>
      </c>
      <c r="BK1023">
        <v>1</v>
      </c>
      <c r="BL1023">
        <v>55.99</v>
      </c>
      <c r="BM1023">
        <v>8.4</v>
      </c>
      <c r="BN1023">
        <v>64.39</v>
      </c>
      <c r="BO1023">
        <v>64.39</v>
      </c>
      <c r="BQ1023" t="s">
        <v>1785</v>
      </c>
      <c r="BR1023" t="s">
        <v>84</v>
      </c>
      <c r="BS1023" s="3">
        <v>45880</v>
      </c>
      <c r="BT1023" s="4">
        <v>0.39513888888888887</v>
      </c>
      <c r="BU1023" t="s">
        <v>1786</v>
      </c>
      <c r="BV1023" t="s">
        <v>90</v>
      </c>
      <c r="BW1023" t="s">
        <v>380</v>
      </c>
      <c r="BX1023" t="s">
        <v>1742</v>
      </c>
      <c r="BY1023">
        <v>1200</v>
      </c>
      <c r="CA1023" t="s">
        <v>1743</v>
      </c>
      <c r="CC1023" t="s">
        <v>76</v>
      </c>
      <c r="CD1023">
        <v>1600</v>
      </c>
      <c r="CE1023" t="s">
        <v>109</v>
      </c>
      <c r="CF1023" s="3">
        <v>45880</v>
      </c>
      <c r="CI1023">
        <v>1</v>
      </c>
      <c r="CJ1023">
        <v>2</v>
      </c>
      <c r="CK1023">
        <v>22</v>
      </c>
      <c r="CL1023" t="s">
        <v>90</v>
      </c>
    </row>
    <row r="1024" spans="1:90" x14ac:dyDescent="0.3">
      <c r="A1024" t="s">
        <v>72</v>
      </c>
      <c r="B1024" t="s">
        <v>73</v>
      </c>
      <c r="C1024" t="s">
        <v>74</v>
      </c>
      <c r="E1024" t="str">
        <f>"080067086907"</f>
        <v>080067086907</v>
      </c>
      <c r="F1024" s="3">
        <v>45876</v>
      </c>
      <c r="G1024">
        <v>202605</v>
      </c>
      <c r="H1024" t="s">
        <v>75</v>
      </c>
      <c r="I1024" t="s">
        <v>76</v>
      </c>
      <c r="J1024" t="s">
        <v>77</v>
      </c>
      <c r="K1024" t="s">
        <v>78</v>
      </c>
      <c r="L1024" t="s">
        <v>162</v>
      </c>
      <c r="M1024" t="s">
        <v>163</v>
      </c>
      <c r="N1024" t="s">
        <v>1192</v>
      </c>
      <c r="O1024" t="s">
        <v>82</v>
      </c>
      <c r="P1024" t="str">
        <f>"4170053604                    "</f>
        <v xml:space="preserve">4170053604                    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>
        <v>23.09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0</v>
      </c>
      <c r="BA1024">
        <v>0</v>
      </c>
      <c r="BB1024">
        <v>0</v>
      </c>
      <c r="BC1024">
        <v>0</v>
      </c>
      <c r="BD1024">
        <v>0</v>
      </c>
      <c r="BE1024">
        <v>0</v>
      </c>
      <c r="BF1024">
        <v>0</v>
      </c>
      <c r="BG1024">
        <v>0</v>
      </c>
      <c r="BH1024">
        <v>1</v>
      </c>
      <c r="BI1024">
        <v>1</v>
      </c>
      <c r="BJ1024">
        <v>0.2</v>
      </c>
      <c r="BK1024">
        <v>1</v>
      </c>
      <c r="BL1024">
        <v>71.69</v>
      </c>
      <c r="BM1024">
        <v>10.75</v>
      </c>
      <c r="BN1024">
        <v>82.44</v>
      </c>
      <c r="BO1024">
        <v>82.44</v>
      </c>
      <c r="BQ1024" t="s">
        <v>1193</v>
      </c>
      <c r="BR1024" t="s">
        <v>84</v>
      </c>
      <c r="BS1024" s="3">
        <v>45877</v>
      </c>
      <c r="BT1024" s="4">
        <v>0.41666666666666669</v>
      </c>
      <c r="BU1024" t="s">
        <v>1309</v>
      </c>
      <c r="BV1024" t="s">
        <v>86</v>
      </c>
      <c r="BY1024">
        <v>1200</v>
      </c>
      <c r="CC1024" t="s">
        <v>163</v>
      </c>
      <c r="CD1024">
        <v>3212</v>
      </c>
      <c r="CE1024" t="s">
        <v>109</v>
      </c>
      <c r="CF1024" s="3">
        <v>45877</v>
      </c>
      <c r="CI1024">
        <v>2</v>
      </c>
      <c r="CJ1024">
        <v>1</v>
      </c>
      <c r="CK1024">
        <v>21</v>
      </c>
      <c r="CL1024" t="s">
        <v>90</v>
      </c>
    </row>
    <row r="1025" spans="1:90" x14ac:dyDescent="0.3">
      <c r="A1025" t="s">
        <v>72</v>
      </c>
      <c r="B1025" t="s">
        <v>73</v>
      </c>
      <c r="C1025" t="s">
        <v>74</v>
      </c>
      <c r="E1025" t="str">
        <f>"080067087964"</f>
        <v>080067087964</v>
      </c>
      <c r="F1025" s="3">
        <v>45876</v>
      </c>
      <c r="G1025">
        <v>202605</v>
      </c>
      <c r="H1025" t="s">
        <v>75</v>
      </c>
      <c r="I1025" t="s">
        <v>76</v>
      </c>
      <c r="J1025" t="s">
        <v>77</v>
      </c>
      <c r="K1025" t="s">
        <v>78</v>
      </c>
      <c r="L1025" t="s">
        <v>123</v>
      </c>
      <c r="M1025" t="s">
        <v>124</v>
      </c>
      <c r="N1025" t="s">
        <v>1115</v>
      </c>
      <c r="O1025" t="s">
        <v>82</v>
      </c>
      <c r="P1025" t="str">
        <f>"4170053639                    "</f>
        <v xml:space="preserve">4170053639                    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23.09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>
        <v>0</v>
      </c>
      <c r="AY1025">
        <v>0</v>
      </c>
      <c r="AZ1025">
        <v>0</v>
      </c>
      <c r="BA1025">
        <v>0</v>
      </c>
      <c r="BB1025">
        <v>0</v>
      </c>
      <c r="BC1025">
        <v>0</v>
      </c>
      <c r="BD1025">
        <v>0</v>
      </c>
      <c r="BE1025">
        <v>0</v>
      </c>
      <c r="BF1025">
        <v>0</v>
      </c>
      <c r="BG1025">
        <v>0</v>
      </c>
      <c r="BH1025">
        <v>1</v>
      </c>
      <c r="BI1025">
        <v>1</v>
      </c>
      <c r="BJ1025">
        <v>0.2</v>
      </c>
      <c r="BK1025">
        <v>1</v>
      </c>
      <c r="BL1025">
        <v>71.69</v>
      </c>
      <c r="BM1025">
        <v>10.75</v>
      </c>
      <c r="BN1025">
        <v>82.44</v>
      </c>
      <c r="BO1025">
        <v>82.44</v>
      </c>
      <c r="BQ1025" t="s">
        <v>1116</v>
      </c>
      <c r="BR1025" t="s">
        <v>84</v>
      </c>
      <c r="BS1025" s="3">
        <v>45877</v>
      </c>
      <c r="BT1025" s="4">
        <v>0.38750000000000001</v>
      </c>
      <c r="BU1025" t="s">
        <v>1588</v>
      </c>
      <c r="BV1025" t="s">
        <v>86</v>
      </c>
      <c r="BY1025">
        <v>1200</v>
      </c>
      <c r="CA1025" t="s">
        <v>192</v>
      </c>
      <c r="CC1025" t="s">
        <v>124</v>
      </c>
      <c r="CD1025">
        <v>7441</v>
      </c>
      <c r="CE1025" t="s">
        <v>109</v>
      </c>
      <c r="CF1025" s="3">
        <v>45880</v>
      </c>
      <c r="CI1025">
        <v>1</v>
      </c>
      <c r="CJ1025">
        <v>1</v>
      </c>
      <c r="CK1025">
        <v>21</v>
      </c>
      <c r="CL1025" t="s">
        <v>90</v>
      </c>
    </row>
    <row r="1026" spans="1:90" x14ac:dyDescent="0.3">
      <c r="A1026" t="s">
        <v>72</v>
      </c>
      <c r="B1026" t="s">
        <v>73</v>
      </c>
      <c r="C1026" t="s">
        <v>74</v>
      </c>
      <c r="E1026" t="str">
        <f>"080067087991"</f>
        <v>080067087991</v>
      </c>
      <c r="F1026" s="3">
        <v>45876</v>
      </c>
      <c r="G1026">
        <v>202605</v>
      </c>
      <c r="H1026" t="s">
        <v>75</v>
      </c>
      <c r="I1026" t="s">
        <v>76</v>
      </c>
      <c r="J1026" t="s">
        <v>77</v>
      </c>
      <c r="K1026" t="s">
        <v>78</v>
      </c>
      <c r="L1026" t="s">
        <v>79</v>
      </c>
      <c r="M1026" t="s">
        <v>80</v>
      </c>
      <c r="N1026" t="s">
        <v>1787</v>
      </c>
      <c r="O1026" t="s">
        <v>95</v>
      </c>
      <c r="P1026" t="str">
        <f>"4170053571                    "</f>
        <v xml:space="preserve">4170053571                    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50.56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0</v>
      </c>
      <c r="AY1026">
        <v>0</v>
      </c>
      <c r="AZ1026">
        <v>0</v>
      </c>
      <c r="BA1026">
        <v>0</v>
      </c>
      <c r="BB1026">
        <v>0</v>
      </c>
      <c r="BC1026">
        <v>0</v>
      </c>
      <c r="BD1026">
        <v>0</v>
      </c>
      <c r="BE1026">
        <v>0</v>
      </c>
      <c r="BF1026">
        <v>0</v>
      </c>
      <c r="BG1026">
        <v>0</v>
      </c>
      <c r="BH1026">
        <v>1</v>
      </c>
      <c r="BI1026">
        <v>26</v>
      </c>
      <c r="BJ1026">
        <v>30.4</v>
      </c>
      <c r="BK1026">
        <v>31</v>
      </c>
      <c r="BL1026">
        <v>162.87</v>
      </c>
      <c r="BM1026">
        <v>24.43</v>
      </c>
      <c r="BN1026">
        <v>187.3</v>
      </c>
      <c r="BO1026">
        <v>187.3</v>
      </c>
      <c r="BQ1026" t="s">
        <v>1788</v>
      </c>
      <c r="BR1026" t="s">
        <v>84</v>
      </c>
      <c r="BS1026" s="3">
        <v>45877</v>
      </c>
      <c r="BT1026" s="4">
        <v>0.54652777777777772</v>
      </c>
      <c r="BU1026" t="s">
        <v>121</v>
      </c>
      <c r="BV1026" t="s">
        <v>86</v>
      </c>
      <c r="BY1026">
        <v>151800</v>
      </c>
      <c r="CA1026" t="s">
        <v>1026</v>
      </c>
      <c r="CC1026" t="s">
        <v>80</v>
      </c>
      <c r="CD1026">
        <v>1401</v>
      </c>
      <c r="CE1026" t="s">
        <v>147</v>
      </c>
      <c r="CF1026" s="3">
        <v>45878</v>
      </c>
      <c r="CI1026">
        <v>1</v>
      </c>
      <c r="CJ1026">
        <v>1</v>
      </c>
      <c r="CK1026">
        <v>42</v>
      </c>
      <c r="CL1026" t="s">
        <v>90</v>
      </c>
    </row>
    <row r="1027" spans="1:90" x14ac:dyDescent="0.3">
      <c r="A1027" t="s">
        <v>72</v>
      </c>
      <c r="B1027" t="s">
        <v>73</v>
      </c>
      <c r="C1027" t="s">
        <v>74</v>
      </c>
      <c r="E1027" t="str">
        <f>"080067088008"</f>
        <v>080067088008</v>
      </c>
      <c r="F1027" s="3">
        <v>45876</v>
      </c>
      <c r="G1027">
        <v>202605</v>
      </c>
      <c r="H1027" t="s">
        <v>75</v>
      </c>
      <c r="I1027" t="s">
        <v>76</v>
      </c>
      <c r="J1027" t="s">
        <v>77</v>
      </c>
      <c r="K1027" t="s">
        <v>78</v>
      </c>
      <c r="L1027" t="s">
        <v>75</v>
      </c>
      <c r="M1027" t="s">
        <v>76</v>
      </c>
      <c r="N1027" t="s">
        <v>1789</v>
      </c>
      <c r="O1027" t="s">
        <v>82</v>
      </c>
      <c r="P1027" t="str">
        <f>"4170053574                    "</f>
        <v xml:space="preserve">4170053574                    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18.03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</v>
      </c>
      <c r="AX1027">
        <v>0</v>
      </c>
      <c r="AY1027">
        <v>0</v>
      </c>
      <c r="AZ1027">
        <v>0</v>
      </c>
      <c r="BA1027">
        <v>0</v>
      </c>
      <c r="BB1027">
        <v>0</v>
      </c>
      <c r="BC1027">
        <v>0</v>
      </c>
      <c r="BD1027">
        <v>0</v>
      </c>
      <c r="BE1027">
        <v>0</v>
      </c>
      <c r="BF1027">
        <v>0</v>
      </c>
      <c r="BG1027">
        <v>0</v>
      </c>
      <c r="BH1027">
        <v>1</v>
      </c>
      <c r="BI1027">
        <v>1</v>
      </c>
      <c r="BJ1027">
        <v>0.2</v>
      </c>
      <c r="BK1027">
        <v>1</v>
      </c>
      <c r="BL1027">
        <v>55.99</v>
      </c>
      <c r="BM1027">
        <v>8.4</v>
      </c>
      <c r="BN1027">
        <v>64.39</v>
      </c>
      <c r="BO1027">
        <v>64.39</v>
      </c>
      <c r="BQ1027" t="s">
        <v>1790</v>
      </c>
      <c r="BR1027" t="s">
        <v>84</v>
      </c>
      <c r="BS1027" s="3">
        <v>45880</v>
      </c>
      <c r="BT1027" s="4">
        <v>0.42916666666666664</v>
      </c>
      <c r="BU1027" t="s">
        <v>1747</v>
      </c>
      <c r="BV1027" t="s">
        <v>90</v>
      </c>
      <c r="BW1027" t="s">
        <v>380</v>
      </c>
      <c r="BX1027" t="s">
        <v>1742</v>
      </c>
      <c r="BY1027">
        <v>1200</v>
      </c>
      <c r="CA1027" t="s">
        <v>1743</v>
      </c>
      <c r="CC1027" t="s">
        <v>76</v>
      </c>
      <c r="CD1027">
        <v>1600</v>
      </c>
      <c r="CE1027" t="s">
        <v>109</v>
      </c>
      <c r="CF1027" s="3">
        <v>45880</v>
      </c>
      <c r="CI1027">
        <v>1</v>
      </c>
      <c r="CJ1027">
        <v>2</v>
      </c>
      <c r="CK1027">
        <v>22</v>
      </c>
      <c r="CL1027" t="s">
        <v>90</v>
      </c>
    </row>
    <row r="1028" spans="1:90" x14ac:dyDescent="0.3">
      <c r="A1028" t="s">
        <v>72</v>
      </c>
      <c r="B1028" t="s">
        <v>73</v>
      </c>
      <c r="C1028" t="s">
        <v>74</v>
      </c>
      <c r="E1028" t="str">
        <f>"080067088048"</f>
        <v>080067088048</v>
      </c>
      <c r="F1028" s="3">
        <v>45876</v>
      </c>
      <c r="G1028">
        <v>202605</v>
      </c>
      <c r="H1028" t="s">
        <v>75</v>
      </c>
      <c r="I1028" t="s">
        <v>76</v>
      </c>
      <c r="J1028" t="s">
        <v>77</v>
      </c>
      <c r="K1028" t="s">
        <v>78</v>
      </c>
      <c r="L1028" t="s">
        <v>223</v>
      </c>
      <c r="M1028" t="s">
        <v>224</v>
      </c>
      <c r="N1028" t="s">
        <v>939</v>
      </c>
      <c r="O1028" t="s">
        <v>82</v>
      </c>
      <c r="P1028" t="str">
        <f>"4170053561                    "</f>
        <v xml:space="preserve">4170053561                    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34.619999999999997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0</v>
      </c>
      <c r="BA1028">
        <v>0</v>
      </c>
      <c r="BB1028">
        <v>0</v>
      </c>
      <c r="BC1028">
        <v>0</v>
      </c>
      <c r="BD1028">
        <v>0</v>
      </c>
      <c r="BE1028">
        <v>0</v>
      </c>
      <c r="BF1028">
        <v>0</v>
      </c>
      <c r="BG1028">
        <v>0</v>
      </c>
      <c r="BH1028">
        <v>1</v>
      </c>
      <c r="BI1028">
        <v>3</v>
      </c>
      <c r="BJ1028">
        <v>1.8</v>
      </c>
      <c r="BK1028">
        <v>3</v>
      </c>
      <c r="BL1028">
        <v>107.5</v>
      </c>
      <c r="BM1028">
        <v>16.13</v>
      </c>
      <c r="BN1028">
        <v>123.63</v>
      </c>
      <c r="BO1028">
        <v>123.63</v>
      </c>
      <c r="BQ1028" t="s">
        <v>940</v>
      </c>
      <c r="BR1028" t="s">
        <v>84</v>
      </c>
      <c r="BS1028" s="3">
        <v>45877</v>
      </c>
      <c r="BT1028" s="4">
        <v>0.51527777777777772</v>
      </c>
      <c r="BU1028" t="s">
        <v>295</v>
      </c>
      <c r="BV1028" t="s">
        <v>90</v>
      </c>
      <c r="BY1028">
        <v>8976</v>
      </c>
      <c r="CA1028" t="s">
        <v>228</v>
      </c>
      <c r="CC1028" t="s">
        <v>224</v>
      </c>
      <c r="CD1028">
        <v>5201</v>
      </c>
      <c r="CE1028" t="s">
        <v>117</v>
      </c>
      <c r="CF1028" s="3">
        <v>45877</v>
      </c>
      <c r="CI1028">
        <v>1</v>
      </c>
      <c r="CJ1028">
        <v>1</v>
      </c>
      <c r="CK1028">
        <v>21</v>
      </c>
      <c r="CL1028" t="s">
        <v>90</v>
      </c>
    </row>
    <row r="1029" spans="1:90" x14ac:dyDescent="0.3">
      <c r="A1029" t="s">
        <v>72</v>
      </c>
      <c r="B1029" t="s">
        <v>73</v>
      </c>
      <c r="C1029" t="s">
        <v>74</v>
      </c>
      <c r="E1029" t="str">
        <f>"080067088060"</f>
        <v>080067088060</v>
      </c>
      <c r="F1029" s="3">
        <v>45876</v>
      </c>
      <c r="G1029">
        <v>202605</v>
      </c>
      <c r="H1029" t="s">
        <v>75</v>
      </c>
      <c r="I1029" t="s">
        <v>76</v>
      </c>
      <c r="J1029" t="s">
        <v>77</v>
      </c>
      <c r="K1029" t="s">
        <v>78</v>
      </c>
      <c r="L1029" t="s">
        <v>1135</v>
      </c>
      <c r="M1029" t="s">
        <v>1136</v>
      </c>
      <c r="N1029" t="s">
        <v>1137</v>
      </c>
      <c r="O1029" t="s">
        <v>82</v>
      </c>
      <c r="P1029" t="str">
        <f>"4170053632                    "</f>
        <v xml:space="preserve">4170053632                    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44.73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>
        <v>0</v>
      </c>
      <c r="AY1029">
        <v>0</v>
      </c>
      <c r="AZ1029">
        <v>0</v>
      </c>
      <c r="BA1029">
        <v>0</v>
      </c>
      <c r="BB1029">
        <v>0</v>
      </c>
      <c r="BC1029">
        <v>0</v>
      </c>
      <c r="BD1029">
        <v>0</v>
      </c>
      <c r="BE1029">
        <v>0</v>
      </c>
      <c r="BF1029">
        <v>0</v>
      </c>
      <c r="BG1029">
        <v>0</v>
      </c>
      <c r="BH1029">
        <v>1</v>
      </c>
      <c r="BI1029">
        <v>1</v>
      </c>
      <c r="BJ1029">
        <v>0.2</v>
      </c>
      <c r="BK1029">
        <v>1</v>
      </c>
      <c r="BL1029">
        <v>138.88999999999999</v>
      </c>
      <c r="BM1029">
        <v>20.83</v>
      </c>
      <c r="BN1029">
        <v>159.72</v>
      </c>
      <c r="BO1029">
        <v>159.72</v>
      </c>
      <c r="BQ1029" t="s">
        <v>1138</v>
      </c>
      <c r="BR1029" t="s">
        <v>84</v>
      </c>
      <c r="BS1029" s="3">
        <v>45877</v>
      </c>
      <c r="BT1029" s="4">
        <v>0.41666666666666669</v>
      </c>
      <c r="BU1029" t="s">
        <v>1139</v>
      </c>
      <c r="BV1029" t="s">
        <v>86</v>
      </c>
      <c r="BY1029">
        <v>1200</v>
      </c>
      <c r="BZ1029" t="s">
        <v>35</v>
      </c>
      <c r="CC1029" t="s">
        <v>1136</v>
      </c>
      <c r="CD1029">
        <v>3760</v>
      </c>
      <c r="CE1029" t="s">
        <v>109</v>
      </c>
      <c r="CF1029" s="3">
        <v>45880</v>
      </c>
      <c r="CI1029">
        <v>5</v>
      </c>
      <c r="CJ1029">
        <v>1</v>
      </c>
      <c r="CK1029">
        <v>23</v>
      </c>
      <c r="CL1029" t="s">
        <v>90</v>
      </c>
    </row>
    <row r="1030" spans="1:90" x14ac:dyDescent="0.3">
      <c r="A1030" t="s">
        <v>72</v>
      </c>
      <c r="B1030" t="s">
        <v>73</v>
      </c>
      <c r="C1030" t="s">
        <v>74</v>
      </c>
      <c r="E1030" t="str">
        <f>"080067088117"</f>
        <v>080067088117</v>
      </c>
      <c r="F1030" s="3">
        <v>45876</v>
      </c>
      <c r="G1030">
        <v>202605</v>
      </c>
      <c r="H1030" t="s">
        <v>75</v>
      </c>
      <c r="I1030" t="s">
        <v>76</v>
      </c>
      <c r="J1030" t="s">
        <v>77</v>
      </c>
      <c r="K1030" t="s">
        <v>78</v>
      </c>
      <c r="L1030" t="s">
        <v>325</v>
      </c>
      <c r="M1030" t="s">
        <v>326</v>
      </c>
      <c r="N1030" t="s">
        <v>754</v>
      </c>
      <c r="O1030" t="s">
        <v>82</v>
      </c>
      <c r="P1030" t="str">
        <f>"4170053626                    "</f>
        <v xml:space="preserve">4170053626                    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18.03</v>
      </c>
      <c r="AR1030">
        <v>0</v>
      </c>
      <c r="AS1030">
        <v>0</v>
      </c>
      <c r="AT1030">
        <v>0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0</v>
      </c>
      <c r="BA1030">
        <v>0</v>
      </c>
      <c r="BB1030">
        <v>0</v>
      </c>
      <c r="BC1030">
        <v>0</v>
      </c>
      <c r="BD1030">
        <v>0</v>
      </c>
      <c r="BE1030">
        <v>0</v>
      </c>
      <c r="BF1030">
        <v>0</v>
      </c>
      <c r="BG1030">
        <v>0</v>
      </c>
      <c r="BH1030">
        <v>1</v>
      </c>
      <c r="BI1030">
        <v>1</v>
      </c>
      <c r="BJ1030">
        <v>0.2</v>
      </c>
      <c r="BK1030">
        <v>1</v>
      </c>
      <c r="BL1030">
        <v>55.99</v>
      </c>
      <c r="BM1030">
        <v>8.4</v>
      </c>
      <c r="BN1030">
        <v>64.39</v>
      </c>
      <c r="BO1030">
        <v>64.39</v>
      </c>
      <c r="BQ1030" t="s">
        <v>755</v>
      </c>
      <c r="BR1030" t="s">
        <v>84</v>
      </c>
      <c r="BS1030" s="3">
        <v>45877</v>
      </c>
      <c r="BT1030" s="4">
        <v>0.40972222222222221</v>
      </c>
      <c r="BU1030" t="s">
        <v>756</v>
      </c>
      <c r="BV1030" t="s">
        <v>86</v>
      </c>
      <c r="BY1030">
        <v>1200</v>
      </c>
      <c r="CA1030" t="s">
        <v>461</v>
      </c>
      <c r="CC1030" t="s">
        <v>326</v>
      </c>
      <c r="CD1030">
        <v>2094</v>
      </c>
      <c r="CE1030" t="s">
        <v>109</v>
      </c>
      <c r="CF1030" s="3">
        <v>45878</v>
      </c>
      <c r="CI1030">
        <v>1</v>
      </c>
      <c r="CJ1030">
        <v>1</v>
      </c>
      <c r="CK1030">
        <v>22</v>
      </c>
      <c r="CL1030" t="s">
        <v>90</v>
      </c>
    </row>
    <row r="1031" spans="1:90" x14ac:dyDescent="0.3">
      <c r="A1031" t="s">
        <v>72</v>
      </c>
      <c r="B1031" t="s">
        <v>73</v>
      </c>
      <c r="C1031" t="s">
        <v>74</v>
      </c>
      <c r="E1031" t="str">
        <f>"080067088132"</f>
        <v>080067088132</v>
      </c>
      <c r="F1031" s="3">
        <v>45876</v>
      </c>
      <c r="G1031">
        <v>202605</v>
      </c>
      <c r="H1031" t="s">
        <v>75</v>
      </c>
      <c r="I1031" t="s">
        <v>76</v>
      </c>
      <c r="J1031" t="s">
        <v>77</v>
      </c>
      <c r="K1031" t="s">
        <v>78</v>
      </c>
      <c r="L1031" t="s">
        <v>291</v>
      </c>
      <c r="M1031" t="s">
        <v>292</v>
      </c>
      <c r="N1031" t="s">
        <v>1791</v>
      </c>
      <c r="O1031" t="s">
        <v>113</v>
      </c>
      <c r="P1031" t="str">
        <f>"4170053621                    "</f>
        <v xml:space="preserve">4170053621                    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18.04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0</v>
      </c>
      <c r="BA1031">
        <v>0</v>
      </c>
      <c r="BB1031">
        <v>0</v>
      </c>
      <c r="BC1031">
        <v>0</v>
      </c>
      <c r="BD1031">
        <v>0</v>
      </c>
      <c r="BE1031">
        <v>0</v>
      </c>
      <c r="BF1031">
        <v>0</v>
      </c>
      <c r="BG1031">
        <v>0</v>
      </c>
      <c r="BH1031">
        <v>1</v>
      </c>
      <c r="BI1031">
        <v>6</v>
      </c>
      <c r="BJ1031">
        <v>3.4</v>
      </c>
      <c r="BK1031">
        <v>6</v>
      </c>
      <c r="BL1031">
        <v>56.01</v>
      </c>
      <c r="BM1031">
        <v>8.4</v>
      </c>
      <c r="BN1031">
        <v>64.41</v>
      </c>
      <c r="BO1031">
        <v>64.41</v>
      </c>
      <c r="BQ1031" t="s">
        <v>1792</v>
      </c>
      <c r="BR1031" t="s">
        <v>84</v>
      </c>
      <c r="BS1031" s="3">
        <v>45877</v>
      </c>
      <c r="BT1031" s="4">
        <v>0.375</v>
      </c>
      <c r="BU1031" t="s">
        <v>1793</v>
      </c>
      <c r="BV1031" t="s">
        <v>86</v>
      </c>
      <c r="BY1031">
        <v>16965</v>
      </c>
      <c r="CA1031" t="s">
        <v>296</v>
      </c>
      <c r="CC1031" t="s">
        <v>292</v>
      </c>
      <c r="CD1031">
        <v>1451</v>
      </c>
      <c r="CE1031" t="s">
        <v>147</v>
      </c>
      <c r="CF1031" s="3">
        <v>45877</v>
      </c>
      <c r="CI1031">
        <v>1</v>
      </c>
      <c r="CJ1031">
        <v>1</v>
      </c>
      <c r="CK1031">
        <v>32</v>
      </c>
      <c r="CL1031" t="s">
        <v>90</v>
      </c>
    </row>
    <row r="1032" spans="1:90" x14ac:dyDescent="0.3">
      <c r="A1032" t="s">
        <v>72</v>
      </c>
      <c r="B1032" t="s">
        <v>73</v>
      </c>
      <c r="C1032" t="s">
        <v>74</v>
      </c>
      <c r="E1032" t="str">
        <f>"080067088165"</f>
        <v>080067088165</v>
      </c>
      <c r="F1032" s="3">
        <v>45876</v>
      </c>
      <c r="G1032">
        <v>202605</v>
      </c>
      <c r="H1032" t="s">
        <v>75</v>
      </c>
      <c r="I1032" t="s">
        <v>76</v>
      </c>
      <c r="J1032" t="s">
        <v>77</v>
      </c>
      <c r="K1032" t="s">
        <v>78</v>
      </c>
      <c r="L1032" t="s">
        <v>1581</v>
      </c>
      <c r="M1032" t="s">
        <v>1582</v>
      </c>
      <c r="N1032" t="s">
        <v>1583</v>
      </c>
      <c r="O1032" t="s">
        <v>82</v>
      </c>
      <c r="P1032" t="str">
        <f>"4170053644                    "</f>
        <v xml:space="preserve">4170053644                    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44.73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0</v>
      </c>
      <c r="BA1032">
        <v>0</v>
      </c>
      <c r="BB1032">
        <v>0</v>
      </c>
      <c r="BC1032">
        <v>0</v>
      </c>
      <c r="BD1032">
        <v>0</v>
      </c>
      <c r="BE1032">
        <v>0</v>
      </c>
      <c r="BF1032">
        <v>0</v>
      </c>
      <c r="BG1032">
        <v>0</v>
      </c>
      <c r="BH1032">
        <v>1</v>
      </c>
      <c r="BI1032">
        <v>1</v>
      </c>
      <c r="BJ1032">
        <v>0.2</v>
      </c>
      <c r="BK1032">
        <v>1</v>
      </c>
      <c r="BL1032">
        <v>138.88999999999999</v>
      </c>
      <c r="BM1032">
        <v>20.83</v>
      </c>
      <c r="BN1032">
        <v>159.72</v>
      </c>
      <c r="BO1032">
        <v>159.72</v>
      </c>
      <c r="BQ1032" t="s">
        <v>1584</v>
      </c>
      <c r="BR1032" t="s">
        <v>84</v>
      </c>
      <c r="BS1032" s="3">
        <v>45880</v>
      </c>
      <c r="BT1032" s="4">
        <v>0.64236111111111116</v>
      </c>
      <c r="BU1032" t="s">
        <v>1585</v>
      </c>
      <c r="BV1032" t="s">
        <v>90</v>
      </c>
      <c r="BY1032">
        <v>1200</v>
      </c>
      <c r="CA1032" t="s">
        <v>1586</v>
      </c>
      <c r="CC1032" t="s">
        <v>1582</v>
      </c>
      <c r="CD1032">
        <v>1028</v>
      </c>
      <c r="CE1032" t="s">
        <v>109</v>
      </c>
      <c r="CF1032" s="3">
        <v>45880</v>
      </c>
      <c r="CI1032">
        <v>1</v>
      </c>
      <c r="CJ1032">
        <v>2</v>
      </c>
      <c r="CK1032">
        <v>23</v>
      </c>
      <c r="CL1032" t="s">
        <v>90</v>
      </c>
    </row>
    <row r="1033" spans="1:90" x14ac:dyDescent="0.3">
      <c r="A1033" t="s">
        <v>72</v>
      </c>
      <c r="B1033" t="s">
        <v>73</v>
      </c>
      <c r="C1033" t="s">
        <v>74</v>
      </c>
      <c r="E1033" t="str">
        <f>"080067088235"</f>
        <v>080067088235</v>
      </c>
      <c r="F1033" s="3">
        <v>45876</v>
      </c>
      <c r="G1033">
        <v>202605</v>
      </c>
      <c r="H1033" t="s">
        <v>75</v>
      </c>
      <c r="I1033" t="s">
        <v>76</v>
      </c>
      <c r="J1033" t="s">
        <v>77</v>
      </c>
      <c r="K1033" t="s">
        <v>78</v>
      </c>
      <c r="L1033" t="s">
        <v>123</v>
      </c>
      <c r="M1033" t="s">
        <v>124</v>
      </c>
      <c r="N1033" t="s">
        <v>1794</v>
      </c>
      <c r="O1033" t="s">
        <v>82</v>
      </c>
      <c r="P1033" t="str">
        <f>"4170053629                    "</f>
        <v xml:space="preserve">4170053629                    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23.09</v>
      </c>
      <c r="AR1033">
        <v>0</v>
      </c>
      <c r="AS1033">
        <v>0</v>
      </c>
      <c r="AT1033">
        <v>0</v>
      </c>
      <c r="AU1033">
        <v>0</v>
      </c>
      <c r="AV1033">
        <v>0</v>
      </c>
      <c r="AW1033">
        <v>0</v>
      </c>
      <c r="AX1033">
        <v>0</v>
      </c>
      <c r="AY1033">
        <v>0</v>
      </c>
      <c r="AZ1033">
        <v>0</v>
      </c>
      <c r="BA1033">
        <v>0</v>
      </c>
      <c r="BB1033">
        <v>0</v>
      </c>
      <c r="BC1033">
        <v>0</v>
      </c>
      <c r="BD1033">
        <v>0</v>
      </c>
      <c r="BE1033">
        <v>0</v>
      </c>
      <c r="BF1033">
        <v>0</v>
      </c>
      <c r="BG1033">
        <v>0</v>
      </c>
      <c r="BH1033">
        <v>1</v>
      </c>
      <c r="BI1033">
        <v>1</v>
      </c>
      <c r="BJ1033">
        <v>0.2</v>
      </c>
      <c r="BK1033">
        <v>1</v>
      </c>
      <c r="BL1033">
        <v>71.69</v>
      </c>
      <c r="BM1033">
        <v>10.75</v>
      </c>
      <c r="BN1033">
        <v>82.44</v>
      </c>
      <c r="BO1033">
        <v>82.44</v>
      </c>
      <c r="BQ1033" t="s">
        <v>1795</v>
      </c>
      <c r="BR1033" t="s">
        <v>84</v>
      </c>
      <c r="BS1033" s="3">
        <v>45877</v>
      </c>
      <c r="BT1033" s="4">
        <v>0.41666666666666669</v>
      </c>
      <c r="BU1033" t="s">
        <v>1796</v>
      </c>
      <c r="BV1033" t="s">
        <v>86</v>
      </c>
      <c r="BY1033">
        <v>1200</v>
      </c>
      <c r="CA1033" t="s">
        <v>1753</v>
      </c>
      <c r="CC1033" t="s">
        <v>124</v>
      </c>
      <c r="CD1033">
        <v>7405</v>
      </c>
      <c r="CE1033" t="s">
        <v>109</v>
      </c>
      <c r="CF1033" s="3">
        <v>45880</v>
      </c>
      <c r="CI1033">
        <v>1</v>
      </c>
      <c r="CJ1033">
        <v>1</v>
      </c>
      <c r="CK1033">
        <v>21</v>
      </c>
      <c r="CL1033" t="s">
        <v>90</v>
      </c>
    </row>
    <row r="1034" spans="1:90" x14ac:dyDescent="0.3">
      <c r="A1034" t="s">
        <v>72</v>
      </c>
      <c r="B1034" t="s">
        <v>73</v>
      </c>
      <c r="C1034" t="s">
        <v>74</v>
      </c>
      <c r="E1034" t="str">
        <f>"080067088362"</f>
        <v>080067088362</v>
      </c>
      <c r="F1034" s="3">
        <v>45876</v>
      </c>
      <c r="G1034">
        <v>202605</v>
      </c>
      <c r="H1034" t="s">
        <v>75</v>
      </c>
      <c r="I1034" t="s">
        <v>76</v>
      </c>
      <c r="J1034" t="s">
        <v>77</v>
      </c>
      <c r="K1034" t="s">
        <v>78</v>
      </c>
      <c r="L1034" t="s">
        <v>198</v>
      </c>
      <c r="M1034" t="s">
        <v>199</v>
      </c>
      <c r="N1034" t="s">
        <v>469</v>
      </c>
      <c r="O1034" t="s">
        <v>82</v>
      </c>
      <c r="P1034" t="str">
        <f>"4170053619                    "</f>
        <v xml:space="preserve">4170053619                    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Q1034">
        <v>23.09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</v>
      </c>
      <c r="AX1034">
        <v>0</v>
      </c>
      <c r="AY1034">
        <v>0</v>
      </c>
      <c r="AZ1034">
        <v>0</v>
      </c>
      <c r="BA1034">
        <v>0</v>
      </c>
      <c r="BB1034">
        <v>0</v>
      </c>
      <c r="BC1034">
        <v>0</v>
      </c>
      <c r="BD1034">
        <v>0</v>
      </c>
      <c r="BE1034">
        <v>0</v>
      </c>
      <c r="BF1034">
        <v>0</v>
      </c>
      <c r="BG1034">
        <v>0</v>
      </c>
      <c r="BH1034">
        <v>1</v>
      </c>
      <c r="BI1034">
        <v>1</v>
      </c>
      <c r="BJ1034">
        <v>0.2</v>
      </c>
      <c r="BK1034">
        <v>1</v>
      </c>
      <c r="BL1034">
        <v>71.69</v>
      </c>
      <c r="BM1034">
        <v>10.75</v>
      </c>
      <c r="BN1034">
        <v>82.44</v>
      </c>
      <c r="BO1034">
        <v>82.44</v>
      </c>
      <c r="BQ1034" t="s">
        <v>470</v>
      </c>
      <c r="BR1034" t="s">
        <v>84</v>
      </c>
      <c r="BS1034" s="3">
        <v>45877</v>
      </c>
      <c r="BT1034" s="4">
        <v>0.37569444444444444</v>
      </c>
      <c r="BU1034" t="s">
        <v>1797</v>
      </c>
      <c r="BV1034" t="s">
        <v>86</v>
      </c>
      <c r="BY1034">
        <v>1200</v>
      </c>
      <c r="CA1034" t="s">
        <v>1570</v>
      </c>
      <c r="CC1034" t="s">
        <v>199</v>
      </c>
      <c r="CD1034">
        <v>6001</v>
      </c>
      <c r="CE1034" t="s">
        <v>109</v>
      </c>
      <c r="CF1034" s="3">
        <v>45877</v>
      </c>
      <c r="CI1034">
        <v>1</v>
      </c>
      <c r="CJ1034">
        <v>1</v>
      </c>
      <c r="CK1034">
        <v>21</v>
      </c>
      <c r="CL1034" t="s">
        <v>90</v>
      </c>
    </row>
    <row r="1035" spans="1:90" x14ac:dyDescent="0.3">
      <c r="A1035" t="s">
        <v>72</v>
      </c>
      <c r="B1035" t="s">
        <v>73</v>
      </c>
      <c r="C1035" t="s">
        <v>74</v>
      </c>
      <c r="E1035" t="str">
        <f>"080067088422"</f>
        <v>080067088422</v>
      </c>
      <c r="F1035" s="3">
        <v>45876</v>
      </c>
      <c r="G1035">
        <v>202605</v>
      </c>
      <c r="H1035" t="s">
        <v>75</v>
      </c>
      <c r="I1035" t="s">
        <v>76</v>
      </c>
      <c r="J1035" t="s">
        <v>77</v>
      </c>
      <c r="K1035" t="s">
        <v>78</v>
      </c>
      <c r="L1035" t="s">
        <v>217</v>
      </c>
      <c r="M1035" t="s">
        <v>218</v>
      </c>
      <c r="N1035" t="s">
        <v>1798</v>
      </c>
      <c r="O1035" t="s">
        <v>82</v>
      </c>
      <c r="P1035" t="str">
        <f>"4170053636                    "</f>
        <v xml:space="preserve">4170053636                    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23.09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0</v>
      </c>
      <c r="BA1035">
        <v>0</v>
      </c>
      <c r="BB1035">
        <v>0</v>
      </c>
      <c r="BC1035">
        <v>0</v>
      </c>
      <c r="BD1035">
        <v>0</v>
      </c>
      <c r="BE1035">
        <v>0</v>
      </c>
      <c r="BF1035">
        <v>0</v>
      </c>
      <c r="BG1035">
        <v>0</v>
      </c>
      <c r="BH1035">
        <v>1</v>
      </c>
      <c r="BI1035">
        <v>1</v>
      </c>
      <c r="BJ1035">
        <v>0.2</v>
      </c>
      <c r="BK1035">
        <v>1</v>
      </c>
      <c r="BL1035">
        <v>71.69</v>
      </c>
      <c r="BM1035">
        <v>10.75</v>
      </c>
      <c r="BN1035">
        <v>82.44</v>
      </c>
      <c r="BO1035">
        <v>82.44</v>
      </c>
      <c r="BQ1035" t="s">
        <v>1799</v>
      </c>
      <c r="BR1035" t="s">
        <v>84</v>
      </c>
      <c r="BS1035" s="3">
        <v>45877</v>
      </c>
      <c r="BT1035" s="4">
        <v>0.43055555555555558</v>
      </c>
      <c r="BU1035" t="s">
        <v>1800</v>
      </c>
      <c r="BV1035" t="s">
        <v>86</v>
      </c>
      <c r="BY1035">
        <v>1200</v>
      </c>
      <c r="CA1035" t="s">
        <v>1801</v>
      </c>
      <c r="CC1035" t="s">
        <v>218</v>
      </c>
      <c r="CD1035">
        <v>4000</v>
      </c>
      <c r="CE1035" t="s">
        <v>109</v>
      </c>
      <c r="CF1035" s="3">
        <v>45878</v>
      </c>
      <c r="CI1035">
        <v>1</v>
      </c>
      <c r="CJ1035">
        <v>1</v>
      </c>
      <c r="CK1035">
        <v>21</v>
      </c>
      <c r="CL1035" t="s">
        <v>90</v>
      </c>
    </row>
    <row r="1036" spans="1:90" x14ac:dyDescent="0.3">
      <c r="A1036" t="s">
        <v>72</v>
      </c>
      <c r="B1036" t="s">
        <v>73</v>
      </c>
      <c r="C1036" t="s">
        <v>74</v>
      </c>
      <c r="E1036" t="str">
        <f>"080067088734"</f>
        <v>080067088734</v>
      </c>
      <c r="F1036" s="3">
        <v>45876</v>
      </c>
      <c r="G1036">
        <v>202605</v>
      </c>
      <c r="H1036" t="s">
        <v>75</v>
      </c>
      <c r="I1036" t="s">
        <v>76</v>
      </c>
      <c r="J1036" t="s">
        <v>77</v>
      </c>
      <c r="K1036" t="s">
        <v>78</v>
      </c>
      <c r="L1036" t="s">
        <v>179</v>
      </c>
      <c r="M1036" t="s">
        <v>180</v>
      </c>
      <c r="N1036" t="s">
        <v>275</v>
      </c>
      <c r="O1036" t="s">
        <v>95</v>
      </c>
      <c r="P1036" t="str">
        <f>"1825458361                    "</f>
        <v xml:space="preserve">1825458361                    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156.13999999999999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0</v>
      </c>
      <c r="BA1036">
        <v>0</v>
      </c>
      <c r="BB1036">
        <v>0</v>
      </c>
      <c r="BC1036">
        <v>0</v>
      </c>
      <c r="BD1036">
        <v>0</v>
      </c>
      <c r="BE1036">
        <v>0</v>
      </c>
      <c r="BF1036">
        <v>0</v>
      </c>
      <c r="BG1036">
        <v>0</v>
      </c>
      <c r="BH1036">
        <v>2</v>
      </c>
      <c r="BI1036">
        <v>34</v>
      </c>
      <c r="BJ1036">
        <v>97.1</v>
      </c>
      <c r="BK1036">
        <v>98</v>
      </c>
      <c r="BL1036">
        <v>490.73</v>
      </c>
      <c r="BM1036">
        <v>73.61</v>
      </c>
      <c r="BN1036">
        <v>564.34</v>
      </c>
      <c r="BO1036">
        <v>564.34</v>
      </c>
      <c r="BQ1036" t="s">
        <v>276</v>
      </c>
      <c r="BR1036" t="s">
        <v>84</v>
      </c>
      <c r="BS1036" s="3">
        <v>45877</v>
      </c>
      <c r="BT1036" s="4">
        <v>0.41666666666666669</v>
      </c>
      <c r="BU1036" t="s">
        <v>1802</v>
      </c>
      <c r="BV1036" t="s">
        <v>86</v>
      </c>
      <c r="BY1036">
        <v>242802</v>
      </c>
      <c r="BZ1036" t="s">
        <v>100</v>
      </c>
      <c r="CC1036" t="s">
        <v>180</v>
      </c>
      <c r="CD1036">
        <v>1748</v>
      </c>
      <c r="CE1036" t="s">
        <v>1803</v>
      </c>
      <c r="CF1036" s="3">
        <v>45877</v>
      </c>
      <c r="CI1036">
        <v>1</v>
      </c>
      <c r="CJ1036">
        <v>1</v>
      </c>
      <c r="CK1036">
        <v>44</v>
      </c>
      <c r="CL1036" t="s">
        <v>90</v>
      </c>
    </row>
    <row r="1037" spans="1:90" x14ac:dyDescent="0.3">
      <c r="A1037" t="s">
        <v>72</v>
      </c>
      <c r="B1037" t="s">
        <v>73</v>
      </c>
      <c r="C1037" t="s">
        <v>74</v>
      </c>
      <c r="E1037" t="str">
        <f>"080067089004"</f>
        <v>080067089004</v>
      </c>
      <c r="F1037" s="3">
        <v>45876</v>
      </c>
      <c r="G1037">
        <v>202605</v>
      </c>
      <c r="H1037" t="s">
        <v>75</v>
      </c>
      <c r="I1037" t="s">
        <v>76</v>
      </c>
      <c r="J1037" t="s">
        <v>77</v>
      </c>
      <c r="K1037" t="s">
        <v>78</v>
      </c>
      <c r="L1037" t="s">
        <v>137</v>
      </c>
      <c r="M1037" t="s">
        <v>138</v>
      </c>
      <c r="N1037" t="s">
        <v>1239</v>
      </c>
      <c r="O1037" t="s">
        <v>82</v>
      </c>
      <c r="P1037" t="str">
        <f>"4170053628                    "</f>
        <v xml:space="preserve">4170053628                    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23.09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0</v>
      </c>
      <c r="BA1037">
        <v>0</v>
      </c>
      <c r="BB1037">
        <v>0</v>
      </c>
      <c r="BC1037">
        <v>0</v>
      </c>
      <c r="BD1037">
        <v>0</v>
      </c>
      <c r="BE1037">
        <v>0</v>
      </c>
      <c r="BF1037">
        <v>0</v>
      </c>
      <c r="BG1037">
        <v>0</v>
      </c>
      <c r="BH1037">
        <v>1</v>
      </c>
      <c r="BI1037">
        <v>1</v>
      </c>
      <c r="BJ1037">
        <v>0.2</v>
      </c>
      <c r="BK1037">
        <v>1</v>
      </c>
      <c r="BL1037">
        <v>71.69</v>
      </c>
      <c r="BM1037">
        <v>10.75</v>
      </c>
      <c r="BN1037">
        <v>82.44</v>
      </c>
      <c r="BO1037">
        <v>82.44</v>
      </c>
      <c r="BQ1037" t="s">
        <v>1240</v>
      </c>
      <c r="BR1037" t="s">
        <v>84</v>
      </c>
      <c r="BS1037" s="3">
        <v>45877</v>
      </c>
      <c r="BT1037" s="4">
        <v>0.41041666666666665</v>
      </c>
      <c r="BU1037" t="s">
        <v>1241</v>
      </c>
      <c r="BV1037" t="s">
        <v>86</v>
      </c>
      <c r="BY1037">
        <v>1200</v>
      </c>
      <c r="CA1037" t="s">
        <v>953</v>
      </c>
      <c r="CC1037" t="s">
        <v>138</v>
      </c>
      <c r="CD1037">
        <v>3610</v>
      </c>
      <c r="CE1037" t="s">
        <v>109</v>
      </c>
      <c r="CF1037" s="3">
        <v>45877</v>
      </c>
      <c r="CI1037">
        <v>1</v>
      </c>
      <c r="CJ1037">
        <v>1</v>
      </c>
      <c r="CK1037">
        <v>21</v>
      </c>
      <c r="CL1037" t="s">
        <v>90</v>
      </c>
    </row>
    <row r="1038" spans="1:90" x14ac:dyDescent="0.3">
      <c r="A1038" t="s">
        <v>72</v>
      </c>
      <c r="B1038" t="s">
        <v>73</v>
      </c>
      <c r="C1038" t="s">
        <v>74</v>
      </c>
      <c r="E1038" t="str">
        <f>"080067089508"</f>
        <v>080067089508</v>
      </c>
      <c r="F1038" s="3">
        <v>45876</v>
      </c>
      <c r="G1038">
        <v>202605</v>
      </c>
      <c r="H1038" t="s">
        <v>75</v>
      </c>
      <c r="I1038" t="s">
        <v>76</v>
      </c>
      <c r="J1038" t="s">
        <v>77</v>
      </c>
      <c r="K1038" t="s">
        <v>78</v>
      </c>
      <c r="L1038" t="s">
        <v>255</v>
      </c>
      <c r="M1038" t="s">
        <v>256</v>
      </c>
      <c r="N1038" t="s">
        <v>257</v>
      </c>
      <c r="O1038" t="s">
        <v>113</v>
      </c>
      <c r="P1038" t="str">
        <f>"4170053643                    "</f>
        <v xml:space="preserve">4170053643                    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18.04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  <c r="AX1038">
        <v>0</v>
      </c>
      <c r="AY1038">
        <v>0</v>
      </c>
      <c r="AZ1038">
        <v>0</v>
      </c>
      <c r="BA1038">
        <v>0</v>
      </c>
      <c r="BB1038">
        <v>0</v>
      </c>
      <c r="BC1038">
        <v>0</v>
      </c>
      <c r="BD1038">
        <v>0</v>
      </c>
      <c r="BE1038">
        <v>0</v>
      </c>
      <c r="BF1038">
        <v>0</v>
      </c>
      <c r="BG1038">
        <v>0</v>
      </c>
      <c r="BH1038">
        <v>1</v>
      </c>
      <c r="BI1038">
        <v>7</v>
      </c>
      <c r="BJ1038">
        <v>3.6</v>
      </c>
      <c r="BK1038">
        <v>7</v>
      </c>
      <c r="BL1038">
        <v>56.01</v>
      </c>
      <c r="BM1038">
        <v>8.4</v>
      </c>
      <c r="BN1038">
        <v>64.41</v>
      </c>
      <c r="BO1038">
        <v>64.41</v>
      </c>
      <c r="BQ1038" t="s">
        <v>258</v>
      </c>
      <c r="BR1038" t="s">
        <v>84</v>
      </c>
      <c r="BS1038" s="3">
        <v>45877</v>
      </c>
      <c r="BT1038" s="4">
        <v>0.44097222222222221</v>
      </c>
      <c r="BU1038" t="s">
        <v>1804</v>
      </c>
      <c r="BV1038" t="s">
        <v>86</v>
      </c>
      <c r="BY1038">
        <v>18207</v>
      </c>
      <c r="CA1038" t="s">
        <v>623</v>
      </c>
      <c r="CC1038" t="s">
        <v>256</v>
      </c>
      <c r="CD1038">
        <v>1501</v>
      </c>
      <c r="CE1038" t="s">
        <v>117</v>
      </c>
      <c r="CF1038" s="3">
        <v>45878</v>
      </c>
      <c r="CI1038">
        <v>1</v>
      </c>
      <c r="CJ1038">
        <v>1</v>
      </c>
      <c r="CK1038">
        <v>32</v>
      </c>
      <c r="CL1038" t="s">
        <v>90</v>
      </c>
    </row>
    <row r="1039" spans="1:90" x14ac:dyDescent="0.3">
      <c r="A1039" t="s">
        <v>72</v>
      </c>
      <c r="B1039" t="s">
        <v>73</v>
      </c>
      <c r="C1039" t="s">
        <v>74</v>
      </c>
      <c r="E1039" t="str">
        <f>"080067089555"</f>
        <v>080067089555</v>
      </c>
      <c r="F1039" s="3">
        <v>45876</v>
      </c>
      <c r="G1039">
        <v>202605</v>
      </c>
      <c r="H1039" t="s">
        <v>75</v>
      </c>
      <c r="I1039" t="s">
        <v>76</v>
      </c>
      <c r="J1039" t="s">
        <v>77</v>
      </c>
      <c r="K1039" t="s">
        <v>78</v>
      </c>
      <c r="L1039" t="s">
        <v>198</v>
      </c>
      <c r="M1039" t="s">
        <v>199</v>
      </c>
      <c r="N1039" t="s">
        <v>342</v>
      </c>
      <c r="O1039" t="s">
        <v>82</v>
      </c>
      <c r="P1039" t="str">
        <f>"4170053642                    "</f>
        <v xml:space="preserve">4170053642                    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23.09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0</v>
      </c>
      <c r="BA1039">
        <v>0</v>
      </c>
      <c r="BB1039">
        <v>0</v>
      </c>
      <c r="BC1039">
        <v>0</v>
      </c>
      <c r="BD1039">
        <v>0</v>
      </c>
      <c r="BE1039">
        <v>0</v>
      </c>
      <c r="BF1039">
        <v>0</v>
      </c>
      <c r="BG1039">
        <v>0</v>
      </c>
      <c r="BH1039">
        <v>1</v>
      </c>
      <c r="BI1039">
        <v>1</v>
      </c>
      <c r="BJ1039">
        <v>0.2</v>
      </c>
      <c r="BK1039">
        <v>1</v>
      </c>
      <c r="BL1039">
        <v>71.69</v>
      </c>
      <c r="BM1039">
        <v>10.75</v>
      </c>
      <c r="BN1039">
        <v>82.44</v>
      </c>
      <c r="BO1039">
        <v>82.44</v>
      </c>
      <c r="BQ1039" t="s">
        <v>343</v>
      </c>
      <c r="BR1039" t="s">
        <v>84</v>
      </c>
      <c r="BS1039" s="3">
        <v>45877</v>
      </c>
      <c r="BT1039" s="4">
        <v>0.40138888888888891</v>
      </c>
      <c r="BU1039" t="s">
        <v>344</v>
      </c>
      <c r="BV1039" t="s">
        <v>86</v>
      </c>
      <c r="BY1039">
        <v>1200</v>
      </c>
      <c r="CA1039" t="s">
        <v>1570</v>
      </c>
      <c r="CC1039" t="s">
        <v>199</v>
      </c>
      <c r="CD1039">
        <v>6001</v>
      </c>
      <c r="CE1039" t="s">
        <v>109</v>
      </c>
      <c r="CF1039" s="3">
        <v>45877</v>
      </c>
      <c r="CI1039">
        <v>1</v>
      </c>
      <c r="CJ1039">
        <v>1</v>
      </c>
      <c r="CK1039">
        <v>21</v>
      </c>
      <c r="CL1039" t="s">
        <v>90</v>
      </c>
    </row>
    <row r="1040" spans="1:90" x14ac:dyDescent="0.3">
      <c r="A1040" t="s">
        <v>72</v>
      </c>
      <c r="B1040" t="s">
        <v>73</v>
      </c>
      <c r="C1040" t="s">
        <v>74</v>
      </c>
      <c r="E1040" t="str">
        <f>"080067089672"</f>
        <v>080067089672</v>
      </c>
      <c r="F1040" s="3">
        <v>45876</v>
      </c>
      <c r="G1040">
        <v>202605</v>
      </c>
      <c r="H1040" t="s">
        <v>75</v>
      </c>
      <c r="I1040" t="s">
        <v>76</v>
      </c>
      <c r="J1040" t="s">
        <v>77</v>
      </c>
      <c r="K1040" t="s">
        <v>78</v>
      </c>
      <c r="L1040" t="s">
        <v>278</v>
      </c>
      <c r="M1040" t="s">
        <v>279</v>
      </c>
      <c r="N1040" t="s">
        <v>866</v>
      </c>
      <c r="O1040" t="s">
        <v>82</v>
      </c>
      <c r="P1040" t="str">
        <f>"4170053569                    "</f>
        <v xml:space="preserve">4170053569                    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23.09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0</v>
      </c>
      <c r="AX1040">
        <v>0</v>
      </c>
      <c r="AY1040">
        <v>0</v>
      </c>
      <c r="AZ1040">
        <v>0</v>
      </c>
      <c r="BA1040">
        <v>0</v>
      </c>
      <c r="BB1040">
        <v>0</v>
      </c>
      <c r="BC1040">
        <v>0</v>
      </c>
      <c r="BD1040">
        <v>0</v>
      </c>
      <c r="BE1040">
        <v>0</v>
      </c>
      <c r="BF1040">
        <v>0</v>
      </c>
      <c r="BG1040">
        <v>0</v>
      </c>
      <c r="BH1040">
        <v>1</v>
      </c>
      <c r="BI1040">
        <v>1</v>
      </c>
      <c r="BJ1040">
        <v>0.2</v>
      </c>
      <c r="BK1040">
        <v>1</v>
      </c>
      <c r="BL1040">
        <v>71.69</v>
      </c>
      <c r="BM1040">
        <v>10.75</v>
      </c>
      <c r="BN1040">
        <v>82.44</v>
      </c>
      <c r="BO1040">
        <v>82.44</v>
      </c>
      <c r="BQ1040" t="s">
        <v>867</v>
      </c>
      <c r="BR1040" t="s">
        <v>84</v>
      </c>
      <c r="BS1040" s="3">
        <v>45877</v>
      </c>
      <c r="BT1040" s="4">
        <v>0.39791666666666664</v>
      </c>
      <c r="BU1040" t="s">
        <v>1805</v>
      </c>
      <c r="BV1040" t="s">
        <v>86</v>
      </c>
      <c r="BY1040">
        <v>1200</v>
      </c>
      <c r="CA1040" t="s">
        <v>532</v>
      </c>
      <c r="CC1040" t="s">
        <v>279</v>
      </c>
      <c r="CD1040" s="5" t="s">
        <v>533</v>
      </c>
      <c r="CE1040" t="s">
        <v>109</v>
      </c>
      <c r="CF1040" s="3">
        <v>45877</v>
      </c>
      <c r="CI1040">
        <v>1</v>
      </c>
      <c r="CJ1040">
        <v>1</v>
      </c>
      <c r="CK1040">
        <v>21</v>
      </c>
      <c r="CL1040" t="s">
        <v>90</v>
      </c>
    </row>
    <row r="1041" spans="1:90" x14ac:dyDescent="0.3">
      <c r="A1041" t="s">
        <v>72</v>
      </c>
      <c r="B1041" t="s">
        <v>73</v>
      </c>
      <c r="C1041" t="s">
        <v>74</v>
      </c>
      <c r="E1041" t="str">
        <f>"080067090018"</f>
        <v>080067090018</v>
      </c>
      <c r="F1041" s="3">
        <v>45876</v>
      </c>
      <c r="G1041">
        <v>202605</v>
      </c>
      <c r="H1041" t="s">
        <v>75</v>
      </c>
      <c r="I1041" t="s">
        <v>76</v>
      </c>
      <c r="J1041" t="s">
        <v>77</v>
      </c>
      <c r="K1041" t="s">
        <v>78</v>
      </c>
      <c r="L1041" t="s">
        <v>855</v>
      </c>
      <c r="M1041" t="s">
        <v>856</v>
      </c>
      <c r="N1041" t="s">
        <v>1806</v>
      </c>
      <c r="O1041" t="s">
        <v>82</v>
      </c>
      <c r="P1041" t="str">
        <f>"4170053408                    "</f>
        <v xml:space="preserve">4170053408                    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18.03</v>
      </c>
      <c r="AR1041">
        <v>0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>
        <v>0</v>
      </c>
      <c r="BD1041">
        <v>0</v>
      </c>
      <c r="BE1041">
        <v>0</v>
      </c>
      <c r="BF1041">
        <v>0</v>
      </c>
      <c r="BG1041">
        <v>0</v>
      </c>
      <c r="BH1041">
        <v>1</v>
      </c>
      <c r="BI1041">
        <v>1</v>
      </c>
      <c r="BJ1041">
        <v>0.2</v>
      </c>
      <c r="BK1041">
        <v>1</v>
      </c>
      <c r="BL1041">
        <v>55.99</v>
      </c>
      <c r="BM1041">
        <v>8.4</v>
      </c>
      <c r="BN1041">
        <v>64.39</v>
      </c>
      <c r="BO1041">
        <v>64.39</v>
      </c>
      <c r="BQ1041" t="s">
        <v>1807</v>
      </c>
      <c r="BR1041" t="s">
        <v>84</v>
      </c>
      <c r="BS1041" s="3">
        <v>45877</v>
      </c>
      <c r="BT1041" s="4">
        <v>0.40763888888888888</v>
      </c>
      <c r="BU1041" t="s">
        <v>1808</v>
      </c>
      <c r="BV1041" t="s">
        <v>86</v>
      </c>
      <c r="BY1041">
        <v>1200</v>
      </c>
      <c r="CA1041" t="s">
        <v>1604</v>
      </c>
      <c r="CC1041" t="s">
        <v>856</v>
      </c>
      <c r="CD1041">
        <v>1684</v>
      </c>
      <c r="CE1041" t="s">
        <v>109</v>
      </c>
      <c r="CF1041" s="3">
        <v>45878</v>
      </c>
      <c r="CI1041">
        <v>1</v>
      </c>
      <c r="CJ1041">
        <v>1</v>
      </c>
      <c r="CK1041">
        <v>22</v>
      </c>
      <c r="CL1041" t="s">
        <v>90</v>
      </c>
    </row>
    <row r="1042" spans="1:90" x14ac:dyDescent="0.3">
      <c r="A1042" t="s">
        <v>72</v>
      </c>
      <c r="B1042" t="s">
        <v>73</v>
      </c>
      <c r="C1042" t="s">
        <v>74</v>
      </c>
      <c r="E1042" t="str">
        <f>"080067090061"</f>
        <v>080067090061</v>
      </c>
      <c r="F1042" s="3">
        <v>45876</v>
      </c>
      <c r="G1042">
        <v>202605</v>
      </c>
      <c r="H1042" t="s">
        <v>75</v>
      </c>
      <c r="I1042" t="s">
        <v>76</v>
      </c>
      <c r="J1042" t="s">
        <v>77</v>
      </c>
      <c r="K1042" t="s">
        <v>78</v>
      </c>
      <c r="L1042" t="s">
        <v>217</v>
      </c>
      <c r="M1042" t="s">
        <v>218</v>
      </c>
      <c r="N1042" t="s">
        <v>219</v>
      </c>
      <c r="O1042" t="s">
        <v>82</v>
      </c>
      <c r="P1042" t="str">
        <f>"4170053607                    "</f>
        <v xml:space="preserve">4170053607                    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23.09</v>
      </c>
      <c r="AR1042">
        <v>0</v>
      </c>
      <c r="AS1042">
        <v>0</v>
      </c>
      <c r="AT1042">
        <v>0</v>
      </c>
      <c r="AU1042">
        <v>0</v>
      </c>
      <c r="AV1042">
        <v>0</v>
      </c>
      <c r="AW1042">
        <v>0</v>
      </c>
      <c r="AX1042">
        <v>0</v>
      </c>
      <c r="AY1042">
        <v>0</v>
      </c>
      <c r="AZ1042">
        <v>0</v>
      </c>
      <c r="BA1042">
        <v>0</v>
      </c>
      <c r="BB1042">
        <v>0</v>
      </c>
      <c r="BC1042">
        <v>0</v>
      </c>
      <c r="BD1042">
        <v>0</v>
      </c>
      <c r="BE1042">
        <v>0</v>
      </c>
      <c r="BF1042">
        <v>0</v>
      </c>
      <c r="BG1042">
        <v>0</v>
      </c>
      <c r="BH1042">
        <v>1</v>
      </c>
      <c r="BI1042">
        <v>1</v>
      </c>
      <c r="BJ1042">
        <v>0.2</v>
      </c>
      <c r="BK1042">
        <v>1</v>
      </c>
      <c r="BL1042">
        <v>71.69</v>
      </c>
      <c r="BM1042">
        <v>10.75</v>
      </c>
      <c r="BN1042">
        <v>82.44</v>
      </c>
      <c r="BO1042">
        <v>82.44</v>
      </c>
      <c r="BQ1042" t="s">
        <v>220</v>
      </c>
      <c r="BR1042" t="s">
        <v>84</v>
      </c>
      <c r="BS1042" s="3">
        <v>45877</v>
      </c>
      <c r="BT1042" s="4">
        <v>0.38472222222222224</v>
      </c>
      <c r="BU1042" t="s">
        <v>221</v>
      </c>
      <c r="BV1042" t="s">
        <v>86</v>
      </c>
      <c r="BY1042">
        <v>1200</v>
      </c>
      <c r="CA1042" t="s">
        <v>566</v>
      </c>
      <c r="CC1042" t="s">
        <v>218</v>
      </c>
      <c r="CD1042">
        <v>4000</v>
      </c>
      <c r="CE1042" t="s">
        <v>109</v>
      </c>
      <c r="CF1042" s="3">
        <v>45877</v>
      </c>
      <c r="CI1042">
        <v>1</v>
      </c>
      <c r="CJ1042">
        <v>1</v>
      </c>
      <c r="CK1042">
        <v>21</v>
      </c>
      <c r="CL1042" t="s">
        <v>90</v>
      </c>
    </row>
    <row r="1043" spans="1:90" x14ac:dyDescent="0.3">
      <c r="A1043" t="s">
        <v>72</v>
      </c>
      <c r="B1043" t="s">
        <v>73</v>
      </c>
      <c r="C1043" t="s">
        <v>74</v>
      </c>
      <c r="E1043" t="str">
        <f>"080067090121"</f>
        <v>080067090121</v>
      </c>
      <c r="F1043" s="3">
        <v>45876</v>
      </c>
      <c r="G1043">
        <v>202605</v>
      </c>
      <c r="H1043" t="s">
        <v>75</v>
      </c>
      <c r="I1043" t="s">
        <v>76</v>
      </c>
      <c r="J1043" t="s">
        <v>77</v>
      </c>
      <c r="K1043" t="s">
        <v>78</v>
      </c>
      <c r="L1043" t="s">
        <v>79</v>
      </c>
      <c r="M1043" t="s">
        <v>80</v>
      </c>
      <c r="N1043" t="s">
        <v>1809</v>
      </c>
      <c r="O1043" t="s">
        <v>82</v>
      </c>
      <c r="P1043" t="str">
        <f>"4170053630                    "</f>
        <v xml:space="preserve">4170053630                    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18.03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0</v>
      </c>
      <c r="BE1043">
        <v>0</v>
      </c>
      <c r="BF1043">
        <v>0</v>
      </c>
      <c r="BG1043">
        <v>0</v>
      </c>
      <c r="BH1043">
        <v>1</v>
      </c>
      <c r="BI1043">
        <v>3</v>
      </c>
      <c r="BJ1043">
        <v>1.9</v>
      </c>
      <c r="BK1043">
        <v>3</v>
      </c>
      <c r="BL1043">
        <v>55.99</v>
      </c>
      <c r="BM1043">
        <v>8.4</v>
      </c>
      <c r="BN1043">
        <v>64.39</v>
      </c>
      <c r="BO1043">
        <v>64.39</v>
      </c>
      <c r="BQ1043" t="s">
        <v>1810</v>
      </c>
      <c r="BR1043" t="s">
        <v>84</v>
      </c>
      <c r="BS1043" s="3">
        <v>45884</v>
      </c>
      <c r="BT1043" s="4">
        <v>0.41666666666666669</v>
      </c>
      <c r="BU1043" t="s">
        <v>1811</v>
      </c>
      <c r="BV1043" t="s">
        <v>90</v>
      </c>
      <c r="BW1043" t="s">
        <v>380</v>
      </c>
      <c r="BX1043" t="s">
        <v>1742</v>
      </c>
      <c r="BY1043">
        <v>9600</v>
      </c>
      <c r="CC1043" t="s">
        <v>80</v>
      </c>
      <c r="CD1043">
        <v>1407</v>
      </c>
      <c r="CE1043" t="s">
        <v>147</v>
      </c>
      <c r="CF1043" s="3">
        <v>45884</v>
      </c>
      <c r="CI1043">
        <v>1</v>
      </c>
      <c r="CJ1043">
        <v>6</v>
      </c>
      <c r="CK1043">
        <v>22</v>
      </c>
      <c r="CL1043" t="s">
        <v>90</v>
      </c>
    </row>
    <row r="1044" spans="1:90" x14ac:dyDescent="0.3">
      <c r="A1044" t="s">
        <v>72</v>
      </c>
      <c r="B1044" t="s">
        <v>73</v>
      </c>
      <c r="C1044" t="s">
        <v>74</v>
      </c>
      <c r="E1044" t="str">
        <f>"080067090159"</f>
        <v>080067090159</v>
      </c>
      <c r="F1044" s="3">
        <v>45876</v>
      </c>
      <c r="G1044">
        <v>202605</v>
      </c>
      <c r="H1044" t="s">
        <v>75</v>
      </c>
      <c r="I1044" t="s">
        <v>76</v>
      </c>
      <c r="J1044" t="s">
        <v>77</v>
      </c>
      <c r="K1044" t="s">
        <v>78</v>
      </c>
      <c r="L1044" t="s">
        <v>198</v>
      </c>
      <c r="M1044" t="s">
        <v>199</v>
      </c>
      <c r="N1044" t="s">
        <v>598</v>
      </c>
      <c r="O1044" t="s">
        <v>82</v>
      </c>
      <c r="P1044" t="str">
        <f>"4170053623                    "</f>
        <v xml:space="preserve">4170053623                    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86.52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0</v>
      </c>
      <c r="AZ1044">
        <v>0</v>
      </c>
      <c r="BA1044">
        <v>0</v>
      </c>
      <c r="BB1044">
        <v>0</v>
      </c>
      <c r="BC1044">
        <v>0</v>
      </c>
      <c r="BD1044">
        <v>0</v>
      </c>
      <c r="BE1044">
        <v>0</v>
      </c>
      <c r="BF1044">
        <v>0</v>
      </c>
      <c r="BG1044">
        <v>0</v>
      </c>
      <c r="BH1044">
        <v>1</v>
      </c>
      <c r="BI1044">
        <v>4</v>
      </c>
      <c r="BJ1044">
        <v>7.5</v>
      </c>
      <c r="BK1044">
        <v>7.5</v>
      </c>
      <c r="BL1044">
        <v>268.66000000000003</v>
      </c>
      <c r="BM1044">
        <v>40.299999999999997</v>
      </c>
      <c r="BN1044">
        <v>308.95999999999998</v>
      </c>
      <c r="BO1044">
        <v>308.95999999999998</v>
      </c>
      <c r="BQ1044" t="s">
        <v>599</v>
      </c>
      <c r="BR1044" t="s">
        <v>84</v>
      </c>
      <c r="BS1044" s="3">
        <v>45877</v>
      </c>
      <c r="BT1044" s="4">
        <v>0.39861111111111114</v>
      </c>
      <c r="BU1044" t="s">
        <v>1757</v>
      </c>
      <c r="BV1044" t="s">
        <v>86</v>
      </c>
      <c r="BY1044">
        <v>37440</v>
      </c>
      <c r="CA1044" t="s">
        <v>601</v>
      </c>
      <c r="CC1044" t="s">
        <v>199</v>
      </c>
      <c r="CD1044">
        <v>6001</v>
      </c>
      <c r="CE1044" t="s">
        <v>117</v>
      </c>
      <c r="CF1044" s="3">
        <v>45880</v>
      </c>
      <c r="CI1044">
        <v>1</v>
      </c>
      <c r="CJ1044">
        <v>1</v>
      </c>
      <c r="CK1044">
        <v>21</v>
      </c>
      <c r="CL1044" t="s">
        <v>90</v>
      </c>
    </row>
    <row r="1045" spans="1:90" x14ac:dyDescent="0.3">
      <c r="A1045" t="s">
        <v>72</v>
      </c>
      <c r="B1045" t="s">
        <v>73</v>
      </c>
      <c r="C1045" t="s">
        <v>74</v>
      </c>
      <c r="E1045" t="str">
        <f>"080067090347"</f>
        <v>080067090347</v>
      </c>
      <c r="F1045" s="3">
        <v>45876</v>
      </c>
      <c r="G1045">
        <v>202605</v>
      </c>
      <c r="H1045" t="s">
        <v>75</v>
      </c>
      <c r="I1045" t="s">
        <v>76</v>
      </c>
      <c r="J1045" t="s">
        <v>77</v>
      </c>
      <c r="K1045" t="s">
        <v>78</v>
      </c>
      <c r="L1045" t="s">
        <v>137</v>
      </c>
      <c r="M1045" t="s">
        <v>138</v>
      </c>
      <c r="N1045" t="s">
        <v>505</v>
      </c>
      <c r="O1045" t="s">
        <v>82</v>
      </c>
      <c r="P1045" t="str">
        <f>"4170053552                    "</f>
        <v xml:space="preserve">4170053552                    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23.09</v>
      </c>
      <c r="AR1045">
        <v>0</v>
      </c>
      <c r="AS1045">
        <v>0</v>
      </c>
      <c r="AT1045">
        <v>0</v>
      </c>
      <c r="AU1045">
        <v>0</v>
      </c>
      <c r="AV1045">
        <v>0</v>
      </c>
      <c r="AW1045">
        <v>0</v>
      </c>
      <c r="AX1045">
        <v>0</v>
      </c>
      <c r="AY1045">
        <v>0</v>
      </c>
      <c r="AZ1045">
        <v>0</v>
      </c>
      <c r="BA1045">
        <v>0</v>
      </c>
      <c r="BB1045">
        <v>0</v>
      </c>
      <c r="BC1045">
        <v>0</v>
      </c>
      <c r="BD1045">
        <v>0</v>
      </c>
      <c r="BE1045">
        <v>0</v>
      </c>
      <c r="BF1045">
        <v>0</v>
      </c>
      <c r="BG1045">
        <v>0</v>
      </c>
      <c r="BH1045">
        <v>1</v>
      </c>
      <c r="BI1045">
        <v>1</v>
      </c>
      <c r="BJ1045">
        <v>1.8</v>
      </c>
      <c r="BK1045">
        <v>2</v>
      </c>
      <c r="BL1045">
        <v>71.69</v>
      </c>
      <c r="BM1045">
        <v>10.75</v>
      </c>
      <c r="BN1045">
        <v>82.44</v>
      </c>
      <c r="BO1045">
        <v>82.44</v>
      </c>
      <c r="BQ1045" t="s">
        <v>506</v>
      </c>
      <c r="BR1045" t="s">
        <v>84</v>
      </c>
      <c r="BS1045" s="3">
        <v>45877</v>
      </c>
      <c r="BT1045" s="4">
        <v>0.39027777777777778</v>
      </c>
      <c r="BU1045" t="s">
        <v>1429</v>
      </c>
      <c r="BV1045" t="s">
        <v>86</v>
      </c>
      <c r="BY1045">
        <v>9044</v>
      </c>
      <c r="BZ1045" t="s">
        <v>330</v>
      </c>
      <c r="CA1045" t="s">
        <v>264</v>
      </c>
      <c r="CC1045" t="s">
        <v>138</v>
      </c>
      <c r="CD1045">
        <v>3600</v>
      </c>
      <c r="CE1045" t="s">
        <v>147</v>
      </c>
      <c r="CF1045" s="3">
        <v>45878</v>
      </c>
      <c r="CI1045">
        <v>1</v>
      </c>
      <c r="CJ1045">
        <v>1</v>
      </c>
      <c r="CK1045">
        <v>21</v>
      </c>
      <c r="CL1045" t="s">
        <v>90</v>
      </c>
    </row>
    <row r="1046" spans="1:90" x14ac:dyDescent="0.3">
      <c r="A1046" t="s">
        <v>72</v>
      </c>
      <c r="B1046" t="s">
        <v>73</v>
      </c>
      <c r="C1046" t="s">
        <v>74</v>
      </c>
      <c r="E1046" t="str">
        <f>"080067090379"</f>
        <v>080067090379</v>
      </c>
      <c r="F1046" s="3">
        <v>45876</v>
      </c>
      <c r="G1046">
        <v>202605</v>
      </c>
      <c r="H1046" t="s">
        <v>75</v>
      </c>
      <c r="I1046" t="s">
        <v>76</v>
      </c>
      <c r="J1046" t="s">
        <v>77</v>
      </c>
      <c r="K1046" t="s">
        <v>78</v>
      </c>
      <c r="L1046" t="s">
        <v>278</v>
      </c>
      <c r="M1046" t="s">
        <v>279</v>
      </c>
      <c r="N1046" t="s">
        <v>1812</v>
      </c>
      <c r="O1046" t="s">
        <v>82</v>
      </c>
      <c r="P1046" t="str">
        <f>"4170053648                    "</f>
        <v xml:space="preserve">4170053648                    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23.09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0</v>
      </c>
      <c r="BE1046">
        <v>0</v>
      </c>
      <c r="BF1046">
        <v>0</v>
      </c>
      <c r="BG1046">
        <v>0</v>
      </c>
      <c r="BH1046">
        <v>1</v>
      </c>
      <c r="BI1046">
        <v>1</v>
      </c>
      <c r="BJ1046">
        <v>0.2</v>
      </c>
      <c r="BK1046">
        <v>1</v>
      </c>
      <c r="BL1046">
        <v>71.69</v>
      </c>
      <c r="BM1046">
        <v>10.75</v>
      </c>
      <c r="BN1046">
        <v>82.44</v>
      </c>
      <c r="BO1046">
        <v>82.44</v>
      </c>
      <c r="BQ1046" t="s">
        <v>1813</v>
      </c>
      <c r="BR1046" t="s">
        <v>84</v>
      </c>
      <c r="BS1046" s="3">
        <v>45877</v>
      </c>
      <c r="BT1046" s="4">
        <v>0.42916666666666664</v>
      </c>
      <c r="BU1046" t="s">
        <v>1814</v>
      </c>
      <c r="BV1046" t="s">
        <v>86</v>
      </c>
      <c r="BY1046">
        <v>1200</v>
      </c>
      <c r="BZ1046" t="s">
        <v>330</v>
      </c>
      <c r="CA1046" t="s">
        <v>532</v>
      </c>
      <c r="CC1046" t="s">
        <v>279</v>
      </c>
      <c r="CD1046" s="5" t="s">
        <v>533</v>
      </c>
      <c r="CE1046" t="s">
        <v>109</v>
      </c>
      <c r="CF1046" s="3">
        <v>45877</v>
      </c>
      <c r="CI1046">
        <v>1</v>
      </c>
      <c r="CJ1046">
        <v>1</v>
      </c>
      <c r="CK1046">
        <v>21</v>
      </c>
      <c r="CL1046" t="s">
        <v>90</v>
      </c>
    </row>
    <row r="1047" spans="1:90" x14ac:dyDescent="0.3">
      <c r="A1047" t="s">
        <v>72</v>
      </c>
      <c r="B1047" t="s">
        <v>73</v>
      </c>
      <c r="C1047" t="s">
        <v>74</v>
      </c>
      <c r="E1047" t="str">
        <f>"080067090401"</f>
        <v>080067090401</v>
      </c>
      <c r="F1047" s="3">
        <v>45876</v>
      </c>
      <c r="G1047">
        <v>202605</v>
      </c>
      <c r="H1047" t="s">
        <v>75</v>
      </c>
      <c r="I1047" t="s">
        <v>76</v>
      </c>
      <c r="J1047" t="s">
        <v>77</v>
      </c>
      <c r="K1047" t="s">
        <v>78</v>
      </c>
      <c r="L1047" t="s">
        <v>162</v>
      </c>
      <c r="M1047" t="s">
        <v>163</v>
      </c>
      <c r="N1047" t="s">
        <v>164</v>
      </c>
      <c r="O1047" t="s">
        <v>82</v>
      </c>
      <c r="P1047" t="str">
        <f>"4170053647                    "</f>
        <v xml:space="preserve">4170053647                    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>
        <v>23.09</v>
      </c>
      <c r="AR1047">
        <v>0</v>
      </c>
      <c r="AS1047">
        <v>0</v>
      </c>
      <c r="AT1047">
        <v>0</v>
      </c>
      <c r="AU1047">
        <v>0</v>
      </c>
      <c r="AV1047">
        <v>0</v>
      </c>
      <c r="AW1047">
        <v>0</v>
      </c>
      <c r="AX1047">
        <v>0</v>
      </c>
      <c r="AY1047">
        <v>0</v>
      </c>
      <c r="AZ1047">
        <v>0</v>
      </c>
      <c r="BA1047">
        <v>0</v>
      </c>
      <c r="BB1047">
        <v>0</v>
      </c>
      <c r="BC1047">
        <v>0</v>
      </c>
      <c r="BD1047">
        <v>0</v>
      </c>
      <c r="BE1047">
        <v>0</v>
      </c>
      <c r="BF1047">
        <v>0</v>
      </c>
      <c r="BG1047">
        <v>0</v>
      </c>
      <c r="BH1047">
        <v>1</v>
      </c>
      <c r="BI1047">
        <v>1</v>
      </c>
      <c r="BJ1047">
        <v>0.2</v>
      </c>
      <c r="BK1047">
        <v>1</v>
      </c>
      <c r="BL1047">
        <v>71.69</v>
      </c>
      <c r="BM1047">
        <v>10.75</v>
      </c>
      <c r="BN1047">
        <v>82.44</v>
      </c>
      <c r="BO1047">
        <v>82.44</v>
      </c>
      <c r="BQ1047" t="s">
        <v>165</v>
      </c>
      <c r="BR1047" t="s">
        <v>84</v>
      </c>
      <c r="BS1047" s="3">
        <v>45877</v>
      </c>
      <c r="BT1047" s="4">
        <v>0.41666666666666669</v>
      </c>
      <c r="BU1047" t="s">
        <v>1815</v>
      </c>
      <c r="BV1047" t="s">
        <v>86</v>
      </c>
      <c r="BY1047">
        <v>1200</v>
      </c>
      <c r="CC1047" t="s">
        <v>163</v>
      </c>
      <c r="CD1047">
        <v>3212</v>
      </c>
      <c r="CE1047" t="s">
        <v>109</v>
      </c>
      <c r="CF1047" s="3">
        <v>45877</v>
      </c>
      <c r="CI1047">
        <v>2</v>
      </c>
      <c r="CJ1047">
        <v>1</v>
      </c>
      <c r="CK1047">
        <v>21</v>
      </c>
      <c r="CL1047" t="s">
        <v>90</v>
      </c>
    </row>
    <row r="1048" spans="1:90" x14ac:dyDescent="0.3">
      <c r="A1048" t="s">
        <v>72</v>
      </c>
      <c r="B1048" t="s">
        <v>73</v>
      </c>
      <c r="C1048" t="s">
        <v>74</v>
      </c>
      <c r="E1048" t="str">
        <f>"080067090440"</f>
        <v>080067090440</v>
      </c>
      <c r="F1048" s="3">
        <v>45876</v>
      </c>
      <c r="G1048">
        <v>202605</v>
      </c>
      <c r="H1048" t="s">
        <v>75</v>
      </c>
      <c r="I1048" t="s">
        <v>76</v>
      </c>
      <c r="J1048" t="s">
        <v>77</v>
      </c>
      <c r="K1048" t="s">
        <v>78</v>
      </c>
      <c r="L1048" t="s">
        <v>123</v>
      </c>
      <c r="M1048" t="s">
        <v>124</v>
      </c>
      <c r="N1048" t="s">
        <v>406</v>
      </c>
      <c r="O1048" t="s">
        <v>82</v>
      </c>
      <c r="P1048" t="str">
        <f>"4170053576                    "</f>
        <v xml:space="preserve">4170053576                    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23.09</v>
      </c>
      <c r="AR1048">
        <v>0</v>
      </c>
      <c r="AS1048">
        <v>0</v>
      </c>
      <c r="AT1048">
        <v>0</v>
      </c>
      <c r="AU1048">
        <v>0</v>
      </c>
      <c r="AV1048">
        <v>0</v>
      </c>
      <c r="AW1048">
        <v>0</v>
      </c>
      <c r="AX1048">
        <v>0</v>
      </c>
      <c r="AY1048">
        <v>0</v>
      </c>
      <c r="AZ1048">
        <v>0</v>
      </c>
      <c r="BA1048">
        <v>0</v>
      </c>
      <c r="BB1048">
        <v>0</v>
      </c>
      <c r="BC1048">
        <v>0</v>
      </c>
      <c r="BD1048">
        <v>0</v>
      </c>
      <c r="BE1048">
        <v>0</v>
      </c>
      <c r="BF1048">
        <v>0</v>
      </c>
      <c r="BG1048">
        <v>0</v>
      </c>
      <c r="BH1048">
        <v>1</v>
      </c>
      <c r="BI1048">
        <v>1</v>
      </c>
      <c r="BJ1048">
        <v>0.2</v>
      </c>
      <c r="BK1048">
        <v>1</v>
      </c>
      <c r="BL1048">
        <v>71.69</v>
      </c>
      <c r="BM1048">
        <v>10.75</v>
      </c>
      <c r="BN1048">
        <v>82.44</v>
      </c>
      <c r="BO1048">
        <v>82.44</v>
      </c>
      <c r="BQ1048" t="s">
        <v>407</v>
      </c>
      <c r="BR1048" t="s">
        <v>84</v>
      </c>
      <c r="BS1048" s="3">
        <v>45877</v>
      </c>
      <c r="BT1048" s="4">
        <v>0.4375</v>
      </c>
      <c r="BU1048" t="s">
        <v>408</v>
      </c>
      <c r="BV1048" t="s">
        <v>86</v>
      </c>
      <c r="BY1048">
        <v>1200</v>
      </c>
      <c r="CA1048" t="s">
        <v>192</v>
      </c>
      <c r="CC1048" t="s">
        <v>124</v>
      </c>
      <c r="CD1048">
        <v>7441</v>
      </c>
      <c r="CE1048" t="s">
        <v>109</v>
      </c>
      <c r="CF1048" s="3">
        <v>45880</v>
      </c>
      <c r="CI1048">
        <v>1</v>
      </c>
      <c r="CJ1048">
        <v>1</v>
      </c>
      <c r="CK1048">
        <v>21</v>
      </c>
      <c r="CL1048" t="s">
        <v>90</v>
      </c>
    </row>
    <row r="1049" spans="1:90" x14ac:dyDescent="0.3">
      <c r="A1049" t="s">
        <v>72</v>
      </c>
      <c r="B1049" t="s">
        <v>73</v>
      </c>
      <c r="C1049" t="s">
        <v>74</v>
      </c>
      <c r="E1049" t="str">
        <f>"080067090483"</f>
        <v>080067090483</v>
      </c>
      <c r="F1049" s="3">
        <v>45876</v>
      </c>
      <c r="G1049">
        <v>202605</v>
      </c>
      <c r="H1049" t="s">
        <v>75</v>
      </c>
      <c r="I1049" t="s">
        <v>76</v>
      </c>
      <c r="J1049" t="s">
        <v>77</v>
      </c>
      <c r="K1049" t="s">
        <v>78</v>
      </c>
      <c r="L1049" t="s">
        <v>198</v>
      </c>
      <c r="M1049" t="s">
        <v>199</v>
      </c>
      <c r="N1049" t="s">
        <v>1816</v>
      </c>
      <c r="O1049" t="s">
        <v>82</v>
      </c>
      <c r="P1049" t="str">
        <f>"4170053631                    "</f>
        <v xml:space="preserve">4170053631                    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>
        <v>23.09</v>
      </c>
      <c r="AR1049">
        <v>0</v>
      </c>
      <c r="AS1049">
        <v>0</v>
      </c>
      <c r="AT1049">
        <v>0</v>
      </c>
      <c r="AU1049">
        <v>0</v>
      </c>
      <c r="AV1049">
        <v>0</v>
      </c>
      <c r="AW1049">
        <v>0</v>
      </c>
      <c r="AX1049">
        <v>0</v>
      </c>
      <c r="AY1049">
        <v>0</v>
      </c>
      <c r="AZ1049">
        <v>0</v>
      </c>
      <c r="BA1049">
        <v>0</v>
      </c>
      <c r="BB1049">
        <v>0</v>
      </c>
      <c r="BC1049">
        <v>0</v>
      </c>
      <c r="BD1049">
        <v>0</v>
      </c>
      <c r="BE1049">
        <v>0</v>
      </c>
      <c r="BF1049">
        <v>0</v>
      </c>
      <c r="BG1049">
        <v>0</v>
      </c>
      <c r="BH1049">
        <v>1</v>
      </c>
      <c r="BI1049">
        <v>1</v>
      </c>
      <c r="BJ1049">
        <v>0.2</v>
      </c>
      <c r="BK1049">
        <v>1</v>
      </c>
      <c r="BL1049">
        <v>71.69</v>
      </c>
      <c r="BM1049">
        <v>10.75</v>
      </c>
      <c r="BN1049">
        <v>82.44</v>
      </c>
      <c r="BO1049">
        <v>82.44</v>
      </c>
      <c r="BQ1049" t="s">
        <v>1817</v>
      </c>
      <c r="BR1049" t="s">
        <v>84</v>
      </c>
      <c r="BS1049" s="3">
        <v>45877</v>
      </c>
      <c r="BT1049" s="4">
        <v>0.39444444444444443</v>
      </c>
      <c r="BU1049" t="s">
        <v>1818</v>
      </c>
      <c r="BV1049" t="s">
        <v>86</v>
      </c>
      <c r="BY1049">
        <v>1200</v>
      </c>
      <c r="CA1049" t="s">
        <v>1570</v>
      </c>
      <c r="CC1049" t="s">
        <v>199</v>
      </c>
      <c r="CD1049">
        <v>6001</v>
      </c>
      <c r="CE1049" t="s">
        <v>109</v>
      </c>
      <c r="CF1049" s="3">
        <v>45877</v>
      </c>
      <c r="CI1049">
        <v>1</v>
      </c>
      <c r="CJ1049">
        <v>1</v>
      </c>
      <c r="CK1049">
        <v>21</v>
      </c>
      <c r="CL1049" t="s">
        <v>90</v>
      </c>
    </row>
    <row r="1050" spans="1:90" x14ac:dyDescent="0.3">
      <c r="A1050" t="s">
        <v>72</v>
      </c>
      <c r="B1050" t="s">
        <v>73</v>
      </c>
      <c r="C1050" t="s">
        <v>74</v>
      </c>
      <c r="E1050" t="str">
        <f>"080067090506"</f>
        <v>080067090506</v>
      </c>
      <c r="F1050" s="3">
        <v>45876</v>
      </c>
      <c r="G1050">
        <v>202605</v>
      </c>
      <c r="H1050" t="s">
        <v>75</v>
      </c>
      <c r="I1050" t="s">
        <v>76</v>
      </c>
      <c r="J1050" t="s">
        <v>77</v>
      </c>
      <c r="K1050" t="s">
        <v>78</v>
      </c>
      <c r="L1050" t="s">
        <v>75</v>
      </c>
      <c r="M1050" t="s">
        <v>76</v>
      </c>
      <c r="N1050" t="s">
        <v>537</v>
      </c>
      <c r="O1050" t="s">
        <v>82</v>
      </c>
      <c r="P1050" t="str">
        <f>"4170053646                    "</f>
        <v xml:space="preserve">4170053646                    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0</v>
      </c>
      <c r="AQ1050">
        <v>18.03</v>
      </c>
      <c r="AR1050">
        <v>0</v>
      </c>
      <c r="AS1050">
        <v>0</v>
      </c>
      <c r="AT1050">
        <v>0</v>
      </c>
      <c r="AU1050">
        <v>0</v>
      </c>
      <c r="AV1050">
        <v>0</v>
      </c>
      <c r="AW1050">
        <v>0</v>
      </c>
      <c r="AX1050">
        <v>0</v>
      </c>
      <c r="AY1050">
        <v>0</v>
      </c>
      <c r="AZ1050">
        <v>0</v>
      </c>
      <c r="BA1050">
        <v>0</v>
      </c>
      <c r="BB1050">
        <v>0</v>
      </c>
      <c r="BC1050">
        <v>0</v>
      </c>
      <c r="BD1050">
        <v>0</v>
      </c>
      <c r="BE1050">
        <v>0</v>
      </c>
      <c r="BF1050">
        <v>0</v>
      </c>
      <c r="BG1050">
        <v>0</v>
      </c>
      <c r="BH1050">
        <v>1</v>
      </c>
      <c r="BI1050">
        <v>1</v>
      </c>
      <c r="BJ1050">
        <v>0.2</v>
      </c>
      <c r="BK1050">
        <v>1</v>
      </c>
      <c r="BL1050">
        <v>55.99</v>
      </c>
      <c r="BM1050">
        <v>8.4</v>
      </c>
      <c r="BN1050">
        <v>64.39</v>
      </c>
      <c r="BO1050">
        <v>64.39</v>
      </c>
      <c r="BQ1050" t="s">
        <v>538</v>
      </c>
      <c r="BR1050" t="s">
        <v>84</v>
      </c>
      <c r="BS1050" s="3">
        <v>45877</v>
      </c>
      <c r="BT1050" s="4">
        <v>0.36249999999999999</v>
      </c>
      <c r="BU1050" t="s">
        <v>738</v>
      </c>
      <c r="BV1050" t="s">
        <v>86</v>
      </c>
      <c r="BY1050">
        <v>1200</v>
      </c>
      <c r="CA1050" t="s">
        <v>739</v>
      </c>
      <c r="CC1050" t="s">
        <v>76</v>
      </c>
      <c r="CD1050">
        <v>1619</v>
      </c>
      <c r="CE1050" t="s">
        <v>109</v>
      </c>
      <c r="CF1050" s="3">
        <v>45877</v>
      </c>
      <c r="CI1050">
        <v>1</v>
      </c>
      <c r="CJ1050">
        <v>1</v>
      </c>
      <c r="CK1050">
        <v>22</v>
      </c>
      <c r="CL1050" t="s">
        <v>90</v>
      </c>
    </row>
    <row r="1051" spans="1:90" x14ac:dyDescent="0.3">
      <c r="A1051" t="s">
        <v>72</v>
      </c>
      <c r="B1051" t="s">
        <v>73</v>
      </c>
      <c r="C1051" t="s">
        <v>74</v>
      </c>
      <c r="E1051" t="str">
        <f>"080067090637"</f>
        <v>080067090637</v>
      </c>
      <c r="F1051" s="3">
        <v>45876</v>
      </c>
      <c r="G1051">
        <v>202605</v>
      </c>
      <c r="H1051" t="s">
        <v>75</v>
      </c>
      <c r="I1051" t="s">
        <v>76</v>
      </c>
      <c r="J1051" t="s">
        <v>77</v>
      </c>
      <c r="K1051" t="s">
        <v>78</v>
      </c>
      <c r="L1051" t="s">
        <v>137</v>
      </c>
      <c r="M1051" t="s">
        <v>138</v>
      </c>
      <c r="N1051" t="s">
        <v>1760</v>
      </c>
      <c r="O1051" t="s">
        <v>82</v>
      </c>
      <c r="P1051" t="str">
        <f>"4170053649                    "</f>
        <v xml:space="preserve">4170053649                    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>
        <v>23.09</v>
      </c>
      <c r="AR1051">
        <v>0</v>
      </c>
      <c r="AS1051">
        <v>0</v>
      </c>
      <c r="AT1051">
        <v>0</v>
      </c>
      <c r="AU1051">
        <v>0</v>
      </c>
      <c r="AV1051">
        <v>0</v>
      </c>
      <c r="AW1051">
        <v>0</v>
      </c>
      <c r="AX1051">
        <v>0</v>
      </c>
      <c r="AY1051">
        <v>0</v>
      </c>
      <c r="AZ1051">
        <v>0</v>
      </c>
      <c r="BA1051">
        <v>0</v>
      </c>
      <c r="BB1051">
        <v>0</v>
      </c>
      <c r="BC1051">
        <v>0</v>
      </c>
      <c r="BD1051">
        <v>0</v>
      </c>
      <c r="BE1051">
        <v>0</v>
      </c>
      <c r="BF1051">
        <v>0</v>
      </c>
      <c r="BG1051">
        <v>0</v>
      </c>
      <c r="BH1051">
        <v>1</v>
      </c>
      <c r="BI1051">
        <v>1</v>
      </c>
      <c r="BJ1051">
        <v>0.2</v>
      </c>
      <c r="BK1051">
        <v>1</v>
      </c>
      <c r="BL1051">
        <v>71.69</v>
      </c>
      <c r="BM1051">
        <v>10.75</v>
      </c>
      <c r="BN1051">
        <v>82.44</v>
      </c>
      <c r="BO1051">
        <v>82.44</v>
      </c>
      <c r="BQ1051" t="s">
        <v>1761</v>
      </c>
      <c r="BR1051" t="s">
        <v>84</v>
      </c>
      <c r="BS1051" s="3">
        <v>45877</v>
      </c>
      <c r="BT1051" s="4">
        <v>0.41875000000000001</v>
      </c>
      <c r="BU1051" t="s">
        <v>1819</v>
      </c>
      <c r="BV1051" t="s">
        <v>86</v>
      </c>
      <c r="BY1051">
        <v>1200</v>
      </c>
      <c r="CA1051" t="s">
        <v>953</v>
      </c>
      <c r="CC1051" t="s">
        <v>138</v>
      </c>
      <c r="CD1051">
        <v>3610</v>
      </c>
      <c r="CE1051" t="s">
        <v>109</v>
      </c>
      <c r="CF1051" s="3">
        <v>45877</v>
      </c>
      <c r="CI1051">
        <v>1</v>
      </c>
      <c r="CJ1051">
        <v>1</v>
      </c>
      <c r="CK1051">
        <v>21</v>
      </c>
      <c r="CL1051" t="s">
        <v>90</v>
      </c>
    </row>
    <row r="1052" spans="1:90" x14ac:dyDescent="0.3">
      <c r="A1052" t="s">
        <v>72</v>
      </c>
      <c r="B1052" t="s">
        <v>73</v>
      </c>
      <c r="C1052" t="s">
        <v>74</v>
      </c>
      <c r="E1052" t="str">
        <f>"080067090654"</f>
        <v>080067090654</v>
      </c>
      <c r="F1052" s="3">
        <v>45876</v>
      </c>
      <c r="G1052">
        <v>202605</v>
      </c>
      <c r="H1052" t="s">
        <v>75</v>
      </c>
      <c r="I1052" t="s">
        <v>76</v>
      </c>
      <c r="J1052" t="s">
        <v>77</v>
      </c>
      <c r="K1052" t="s">
        <v>78</v>
      </c>
      <c r="L1052" t="s">
        <v>118</v>
      </c>
      <c r="M1052" t="s">
        <v>118</v>
      </c>
      <c r="N1052" t="s">
        <v>1820</v>
      </c>
      <c r="O1052" t="s">
        <v>95</v>
      </c>
      <c r="P1052" t="str">
        <f>"4170053533                    "</f>
        <v xml:space="preserve">4170053533                    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>
        <v>185.16</v>
      </c>
      <c r="AR1052">
        <v>0</v>
      </c>
      <c r="AS1052">
        <v>0</v>
      </c>
      <c r="AT1052">
        <v>0</v>
      </c>
      <c r="AU1052">
        <v>0</v>
      </c>
      <c r="AV1052">
        <v>0</v>
      </c>
      <c r="AW1052">
        <v>0</v>
      </c>
      <c r="AX1052">
        <v>0</v>
      </c>
      <c r="AY1052">
        <v>0</v>
      </c>
      <c r="AZ1052">
        <v>0</v>
      </c>
      <c r="BA1052">
        <v>0</v>
      </c>
      <c r="BB1052">
        <v>0</v>
      </c>
      <c r="BC1052">
        <v>0</v>
      </c>
      <c r="BD1052">
        <v>0</v>
      </c>
      <c r="BE1052">
        <v>0</v>
      </c>
      <c r="BF1052">
        <v>0</v>
      </c>
      <c r="BG1052">
        <v>0</v>
      </c>
      <c r="BH1052">
        <v>2</v>
      </c>
      <c r="BI1052">
        <v>25</v>
      </c>
      <c r="BJ1052">
        <v>52.1</v>
      </c>
      <c r="BK1052">
        <v>53</v>
      </c>
      <c r="BL1052">
        <v>580.84</v>
      </c>
      <c r="BM1052">
        <v>87.13</v>
      </c>
      <c r="BN1052">
        <v>667.97</v>
      </c>
      <c r="BO1052">
        <v>667.97</v>
      </c>
      <c r="BQ1052" t="s">
        <v>1821</v>
      </c>
      <c r="BR1052" t="s">
        <v>84</v>
      </c>
      <c r="BS1052" s="3">
        <v>45881</v>
      </c>
      <c r="BT1052" s="4">
        <v>0.38194444444444442</v>
      </c>
      <c r="BU1052" t="s">
        <v>1822</v>
      </c>
      <c r="BV1052" t="s">
        <v>86</v>
      </c>
      <c r="BY1052">
        <v>260446</v>
      </c>
      <c r="CA1052" t="s">
        <v>1823</v>
      </c>
      <c r="CC1052" t="s">
        <v>118</v>
      </c>
      <c r="CD1052">
        <v>7646</v>
      </c>
      <c r="CE1052" t="s">
        <v>147</v>
      </c>
      <c r="CF1052" s="3">
        <v>45882</v>
      </c>
      <c r="CI1052">
        <v>3</v>
      </c>
      <c r="CJ1052">
        <v>3</v>
      </c>
      <c r="CK1052">
        <v>43</v>
      </c>
      <c r="CL1052" t="s">
        <v>90</v>
      </c>
    </row>
    <row r="1053" spans="1:90" x14ac:dyDescent="0.3">
      <c r="A1053" t="s">
        <v>72</v>
      </c>
      <c r="B1053" t="s">
        <v>73</v>
      </c>
      <c r="C1053" t="s">
        <v>74</v>
      </c>
      <c r="E1053" t="str">
        <f>"080067090674"</f>
        <v>080067090674</v>
      </c>
      <c r="F1053" s="3">
        <v>45876</v>
      </c>
      <c r="G1053">
        <v>202605</v>
      </c>
      <c r="H1053" t="s">
        <v>75</v>
      </c>
      <c r="I1053" t="s">
        <v>76</v>
      </c>
      <c r="J1053" t="s">
        <v>77</v>
      </c>
      <c r="K1053" t="s">
        <v>78</v>
      </c>
      <c r="L1053" t="s">
        <v>325</v>
      </c>
      <c r="M1053" t="s">
        <v>326</v>
      </c>
      <c r="N1053" t="s">
        <v>1824</v>
      </c>
      <c r="O1053" t="s">
        <v>82</v>
      </c>
      <c r="P1053" t="str">
        <f>"4170053652                    "</f>
        <v xml:space="preserve">4170053652                    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0</v>
      </c>
      <c r="AQ1053">
        <v>18.03</v>
      </c>
      <c r="AR1053">
        <v>0</v>
      </c>
      <c r="AS1053">
        <v>0</v>
      </c>
      <c r="AT1053">
        <v>0</v>
      </c>
      <c r="AU1053">
        <v>0</v>
      </c>
      <c r="AV1053">
        <v>0</v>
      </c>
      <c r="AW1053">
        <v>0</v>
      </c>
      <c r="AX1053">
        <v>0</v>
      </c>
      <c r="AY1053">
        <v>0</v>
      </c>
      <c r="AZ1053">
        <v>0</v>
      </c>
      <c r="BA1053">
        <v>0</v>
      </c>
      <c r="BB1053">
        <v>0</v>
      </c>
      <c r="BC1053">
        <v>0</v>
      </c>
      <c r="BD1053">
        <v>0</v>
      </c>
      <c r="BE1053">
        <v>0</v>
      </c>
      <c r="BF1053">
        <v>0</v>
      </c>
      <c r="BG1053">
        <v>0</v>
      </c>
      <c r="BH1053">
        <v>1</v>
      </c>
      <c r="BI1053">
        <v>1</v>
      </c>
      <c r="BJ1053">
        <v>0.2</v>
      </c>
      <c r="BK1053">
        <v>1</v>
      </c>
      <c r="BL1053">
        <v>55.99</v>
      </c>
      <c r="BM1053">
        <v>8.4</v>
      </c>
      <c r="BN1053">
        <v>64.39</v>
      </c>
      <c r="BO1053">
        <v>64.39</v>
      </c>
      <c r="BQ1053" t="s">
        <v>1825</v>
      </c>
      <c r="BR1053" t="s">
        <v>84</v>
      </c>
      <c r="BS1053" s="3">
        <v>45877</v>
      </c>
      <c r="BT1053" s="4">
        <v>0.40555555555555556</v>
      </c>
      <c r="BU1053" t="s">
        <v>1310</v>
      </c>
      <c r="BV1053" t="s">
        <v>86</v>
      </c>
      <c r="BY1053">
        <v>1200</v>
      </c>
      <c r="CA1053" t="s">
        <v>461</v>
      </c>
      <c r="CC1053" t="s">
        <v>326</v>
      </c>
      <c r="CD1053">
        <v>2094</v>
      </c>
      <c r="CE1053" t="s">
        <v>109</v>
      </c>
      <c r="CF1053" s="3">
        <v>45878</v>
      </c>
      <c r="CI1053">
        <v>1</v>
      </c>
      <c r="CJ1053">
        <v>1</v>
      </c>
      <c r="CK1053">
        <v>22</v>
      </c>
      <c r="CL1053" t="s">
        <v>90</v>
      </c>
    </row>
    <row r="1054" spans="1:90" x14ac:dyDescent="0.3">
      <c r="A1054" t="s">
        <v>72</v>
      </c>
      <c r="B1054" t="s">
        <v>73</v>
      </c>
      <c r="C1054" t="s">
        <v>74</v>
      </c>
      <c r="E1054" t="str">
        <f>"080067090703"</f>
        <v>080067090703</v>
      </c>
      <c r="F1054" s="3">
        <v>45876</v>
      </c>
      <c r="G1054">
        <v>202605</v>
      </c>
      <c r="H1054" t="s">
        <v>75</v>
      </c>
      <c r="I1054" t="s">
        <v>76</v>
      </c>
      <c r="J1054" t="s">
        <v>77</v>
      </c>
      <c r="K1054" t="s">
        <v>78</v>
      </c>
      <c r="L1054" t="s">
        <v>75</v>
      </c>
      <c r="M1054" t="s">
        <v>76</v>
      </c>
      <c r="N1054" t="s">
        <v>152</v>
      </c>
      <c r="O1054" t="s">
        <v>82</v>
      </c>
      <c r="P1054" t="str">
        <f>"4170053650                    "</f>
        <v xml:space="preserve">4170053650                    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0</v>
      </c>
      <c r="AQ1054">
        <v>18.03</v>
      </c>
      <c r="AR1054">
        <v>0</v>
      </c>
      <c r="AS1054">
        <v>0</v>
      </c>
      <c r="AT1054">
        <v>0</v>
      </c>
      <c r="AU1054">
        <v>0</v>
      </c>
      <c r="AV1054">
        <v>0</v>
      </c>
      <c r="AW1054">
        <v>0</v>
      </c>
      <c r="AX1054">
        <v>0</v>
      </c>
      <c r="AY1054">
        <v>0</v>
      </c>
      <c r="AZ1054">
        <v>0</v>
      </c>
      <c r="BA1054">
        <v>0</v>
      </c>
      <c r="BB1054">
        <v>0</v>
      </c>
      <c r="BC1054">
        <v>0</v>
      </c>
      <c r="BD1054">
        <v>0</v>
      </c>
      <c r="BE1054">
        <v>0</v>
      </c>
      <c r="BF1054">
        <v>0</v>
      </c>
      <c r="BG1054">
        <v>0</v>
      </c>
      <c r="BH1054">
        <v>1</v>
      </c>
      <c r="BI1054">
        <v>1</v>
      </c>
      <c r="BJ1054">
        <v>0.2</v>
      </c>
      <c r="BK1054">
        <v>1</v>
      </c>
      <c r="BL1054">
        <v>55.99</v>
      </c>
      <c r="BM1054">
        <v>8.4</v>
      </c>
      <c r="BN1054">
        <v>64.39</v>
      </c>
      <c r="BO1054">
        <v>64.39</v>
      </c>
      <c r="BQ1054" t="s">
        <v>153</v>
      </c>
      <c r="BR1054" t="s">
        <v>84</v>
      </c>
      <c r="BS1054" s="3">
        <v>45877</v>
      </c>
      <c r="BT1054" s="4">
        <v>0.32291666666666669</v>
      </c>
      <c r="BU1054" t="s">
        <v>1699</v>
      </c>
      <c r="BV1054" t="s">
        <v>86</v>
      </c>
      <c r="BY1054">
        <v>1200</v>
      </c>
      <c r="CA1054" t="s">
        <v>1650</v>
      </c>
      <c r="CC1054" t="s">
        <v>76</v>
      </c>
      <c r="CD1054">
        <v>1600</v>
      </c>
      <c r="CE1054" t="s">
        <v>109</v>
      </c>
      <c r="CF1054" s="3">
        <v>45877</v>
      </c>
      <c r="CI1054">
        <v>1</v>
      </c>
      <c r="CJ1054">
        <v>1</v>
      </c>
      <c r="CK1054">
        <v>22</v>
      </c>
      <c r="CL1054" t="s">
        <v>90</v>
      </c>
    </row>
    <row r="1055" spans="1:90" x14ac:dyDescent="0.3">
      <c r="A1055" t="s">
        <v>72</v>
      </c>
      <c r="B1055" t="s">
        <v>73</v>
      </c>
      <c r="C1055" t="s">
        <v>74</v>
      </c>
      <c r="E1055" t="str">
        <f>"080067090855"</f>
        <v>080067090855</v>
      </c>
      <c r="F1055" s="3">
        <v>45876</v>
      </c>
      <c r="G1055">
        <v>202605</v>
      </c>
      <c r="H1055" t="s">
        <v>75</v>
      </c>
      <c r="I1055" t="s">
        <v>76</v>
      </c>
      <c r="J1055" t="s">
        <v>77</v>
      </c>
      <c r="K1055" t="s">
        <v>78</v>
      </c>
      <c r="L1055" t="s">
        <v>198</v>
      </c>
      <c r="M1055" t="s">
        <v>199</v>
      </c>
      <c r="N1055" t="s">
        <v>598</v>
      </c>
      <c r="O1055" t="s">
        <v>82</v>
      </c>
      <c r="P1055" t="str">
        <f>"4170053674                    "</f>
        <v xml:space="preserve">4170053674                    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0</v>
      </c>
      <c r="AO1055">
        <v>0</v>
      </c>
      <c r="AP1055">
        <v>0</v>
      </c>
      <c r="AQ1055">
        <v>80.75</v>
      </c>
      <c r="AR1055">
        <v>0</v>
      </c>
      <c r="AS1055">
        <v>0</v>
      </c>
      <c r="AT1055">
        <v>0</v>
      </c>
      <c r="AU1055">
        <v>0</v>
      </c>
      <c r="AV1055">
        <v>0</v>
      </c>
      <c r="AW1055">
        <v>0</v>
      </c>
      <c r="AX1055">
        <v>0</v>
      </c>
      <c r="AY1055">
        <v>0</v>
      </c>
      <c r="AZ1055">
        <v>0</v>
      </c>
      <c r="BA1055">
        <v>0</v>
      </c>
      <c r="BB1055">
        <v>0</v>
      </c>
      <c r="BC1055">
        <v>0</v>
      </c>
      <c r="BD1055">
        <v>0</v>
      </c>
      <c r="BE1055">
        <v>0</v>
      </c>
      <c r="BF1055">
        <v>0</v>
      </c>
      <c r="BG1055">
        <v>0</v>
      </c>
      <c r="BH1055">
        <v>1</v>
      </c>
      <c r="BI1055">
        <v>5</v>
      </c>
      <c r="BJ1055">
        <v>6.8</v>
      </c>
      <c r="BK1055">
        <v>7</v>
      </c>
      <c r="BL1055">
        <v>250.75</v>
      </c>
      <c r="BM1055">
        <v>37.61</v>
      </c>
      <c r="BN1055">
        <v>288.36</v>
      </c>
      <c r="BO1055">
        <v>288.36</v>
      </c>
      <c r="BQ1055" t="s">
        <v>599</v>
      </c>
      <c r="BR1055" t="s">
        <v>84</v>
      </c>
      <c r="BS1055" s="3">
        <v>45877</v>
      </c>
      <c r="BT1055" s="4">
        <v>0.39930555555555558</v>
      </c>
      <c r="BU1055" t="s">
        <v>1757</v>
      </c>
      <c r="BV1055" t="s">
        <v>86</v>
      </c>
      <c r="BY1055">
        <v>33880</v>
      </c>
      <c r="CA1055" t="s">
        <v>601</v>
      </c>
      <c r="CC1055" t="s">
        <v>199</v>
      </c>
      <c r="CD1055">
        <v>6001</v>
      </c>
      <c r="CE1055" t="s">
        <v>147</v>
      </c>
      <c r="CF1055" s="3">
        <v>45880</v>
      </c>
      <c r="CI1055">
        <v>1</v>
      </c>
      <c r="CJ1055">
        <v>1</v>
      </c>
      <c r="CK1055">
        <v>21</v>
      </c>
      <c r="CL1055" t="s">
        <v>90</v>
      </c>
    </row>
    <row r="1056" spans="1:90" x14ac:dyDescent="0.3">
      <c r="A1056" t="s">
        <v>72</v>
      </c>
      <c r="B1056" t="s">
        <v>73</v>
      </c>
      <c r="C1056" t="s">
        <v>74</v>
      </c>
      <c r="E1056" t="str">
        <f>"080067090871"</f>
        <v>080067090871</v>
      </c>
      <c r="F1056" s="3">
        <v>45876</v>
      </c>
      <c r="G1056">
        <v>202605</v>
      </c>
      <c r="H1056" t="s">
        <v>75</v>
      </c>
      <c r="I1056" t="s">
        <v>76</v>
      </c>
      <c r="J1056" t="s">
        <v>77</v>
      </c>
      <c r="K1056" t="s">
        <v>78</v>
      </c>
      <c r="L1056" t="s">
        <v>75</v>
      </c>
      <c r="M1056" t="s">
        <v>76</v>
      </c>
      <c r="N1056" t="s">
        <v>152</v>
      </c>
      <c r="O1056" t="s">
        <v>113</v>
      </c>
      <c r="P1056" t="str">
        <f>"4170053627                    "</f>
        <v xml:space="preserve">4170053627                    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>
        <v>32.200000000000003</v>
      </c>
      <c r="AR1056">
        <v>0</v>
      </c>
      <c r="AS1056">
        <v>0</v>
      </c>
      <c r="AT1056">
        <v>0</v>
      </c>
      <c r="AU1056">
        <v>0</v>
      </c>
      <c r="AV1056">
        <v>0</v>
      </c>
      <c r="AW1056">
        <v>0</v>
      </c>
      <c r="AX1056">
        <v>0</v>
      </c>
      <c r="AY1056">
        <v>0</v>
      </c>
      <c r="AZ1056">
        <v>0</v>
      </c>
      <c r="BA1056">
        <v>0</v>
      </c>
      <c r="BB1056">
        <v>0</v>
      </c>
      <c r="BC1056">
        <v>0</v>
      </c>
      <c r="BD1056">
        <v>0</v>
      </c>
      <c r="BE1056">
        <v>0</v>
      </c>
      <c r="BF1056">
        <v>0</v>
      </c>
      <c r="BG1056">
        <v>0</v>
      </c>
      <c r="BH1056">
        <v>1</v>
      </c>
      <c r="BI1056">
        <v>15</v>
      </c>
      <c r="BJ1056">
        <v>5.2</v>
      </c>
      <c r="BK1056">
        <v>15</v>
      </c>
      <c r="BL1056">
        <v>99.99</v>
      </c>
      <c r="BM1056">
        <v>15</v>
      </c>
      <c r="BN1056">
        <v>114.99</v>
      </c>
      <c r="BO1056">
        <v>114.99</v>
      </c>
      <c r="BQ1056" t="s">
        <v>153</v>
      </c>
      <c r="BR1056" t="s">
        <v>84</v>
      </c>
      <c r="BS1056" s="3">
        <v>45877</v>
      </c>
      <c r="BT1056" s="4">
        <v>0.32291666666666669</v>
      </c>
      <c r="BU1056" t="s">
        <v>1709</v>
      </c>
      <c r="BV1056" t="s">
        <v>86</v>
      </c>
      <c r="BY1056">
        <v>26013</v>
      </c>
      <c r="CA1056" t="s">
        <v>1650</v>
      </c>
      <c r="CC1056" t="s">
        <v>76</v>
      </c>
      <c r="CD1056">
        <v>1600</v>
      </c>
      <c r="CE1056" t="s">
        <v>906</v>
      </c>
      <c r="CF1056" s="3">
        <v>45877</v>
      </c>
      <c r="CI1056">
        <v>1</v>
      </c>
      <c r="CJ1056">
        <v>1</v>
      </c>
      <c r="CK1056">
        <v>32</v>
      </c>
      <c r="CL1056" t="s">
        <v>90</v>
      </c>
    </row>
    <row r="1057" spans="1:90" x14ac:dyDescent="0.3">
      <c r="A1057" t="s">
        <v>72</v>
      </c>
      <c r="B1057" t="s">
        <v>73</v>
      </c>
      <c r="C1057" t="s">
        <v>74</v>
      </c>
      <c r="E1057" t="str">
        <f>"080067090899"</f>
        <v>080067090899</v>
      </c>
      <c r="F1057" s="3">
        <v>45876</v>
      </c>
      <c r="G1057">
        <v>202605</v>
      </c>
      <c r="H1057" t="s">
        <v>75</v>
      </c>
      <c r="I1057" t="s">
        <v>76</v>
      </c>
      <c r="J1057" t="s">
        <v>77</v>
      </c>
      <c r="K1057" t="s">
        <v>78</v>
      </c>
      <c r="L1057" t="s">
        <v>123</v>
      </c>
      <c r="M1057" t="s">
        <v>124</v>
      </c>
      <c r="N1057" t="s">
        <v>1096</v>
      </c>
      <c r="O1057" t="s">
        <v>82</v>
      </c>
      <c r="P1057" t="str">
        <f>"4170053573                    "</f>
        <v xml:space="preserve">4170053573                    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0</v>
      </c>
      <c r="AQ1057">
        <v>92.28</v>
      </c>
      <c r="AR1057">
        <v>0</v>
      </c>
      <c r="AS1057">
        <v>0</v>
      </c>
      <c r="AT1057">
        <v>0</v>
      </c>
      <c r="AU1057">
        <v>0</v>
      </c>
      <c r="AV1057">
        <v>0</v>
      </c>
      <c r="AW1057">
        <v>0</v>
      </c>
      <c r="AX1057">
        <v>0</v>
      </c>
      <c r="AY1057">
        <v>0</v>
      </c>
      <c r="AZ1057">
        <v>0</v>
      </c>
      <c r="BA1057">
        <v>0</v>
      </c>
      <c r="BB1057">
        <v>0</v>
      </c>
      <c r="BC1057">
        <v>0</v>
      </c>
      <c r="BD1057">
        <v>0</v>
      </c>
      <c r="BE1057">
        <v>0</v>
      </c>
      <c r="BF1057">
        <v>0</v>
      </c>
      <c r="BG1057">
        <v>0</v>
      </c>
      <c r="BH1057">
        <v>1</v>
      </c>
      <c r="BI1057">
        <v>8</v>
      </c>
      <c r="BJ1057">
        <v>3.4</v>
      </c>
      <c r="BK1057">
        <v>8</v>
      </c>
      <c r="BL1057">
        <v>286.56</v>
      </c>
      <c r="BM1057">
        <v>42.98</v>
      </c>
      <c r="BN1057">
        <v>329.54</v>
      </c>
      <c r="BO1057">
        <v>329.54</v>
      </c>
      <c r="BQ1057" t="s">
        <v>1097</v>
      </c>
      <c r="BR1057" t="s">
        <v>84</v>
      </c>
      <c r="BS1057" s="3">
        <v>45877</v>
      </c>
      <c r="BT1057" s="4">
        <v>0.4236111111111111</v>
      </c>
      <c r="BU1057" t="s">
        <v>1433</v>
      </c>
      <c r="BV1057" t="s">
        <v>86</v>
      </c>
      <c r="BY1057">
        <v>16965</v>
      </c>
      <c r="CC1057" t="s">
        <v>124</v>
      </c>
      <c r="CD1057">
        <v>7550</v>
      </c>
      <c r="CE1057" t="s">
        <v>147</v>
      </c>
      <c r="CF1057" s="3">
        <v>45880</v>
      </c>
      <c r="CI1057">
        <v>1</v>
      </c>
      <c r="CJ1057">
        <v>1</v>
      </c>
      <c r="CK1057">
        <v>21</v>
      </c>
      <c r="CL1057" t="s">
        <v>90</v>
      </c>
    </row>
    <row r="1058" spans="1:90" x14ac:dyDescent="0.3">
      <c r="A1058" t="s">
        <v>72</v>
      </c>
      <c r="B1058" t="s">
        <v>73</v>
      </c>
      <c r="C1058" t="s">
        <v>74</v>
      </c>
      <c r="E1058" t="str">
        <f>"080067090903"</f>
        <v>080067090903</v>
      </c>
      <c r="F1058" s="3">
        <v>45876</v>
      </c>
      <c r="G1058">
        <v>202605</v>
      </c>
      <c r="H1058" t="s">
        <v>75</v>
      </c>
      <c r="I1058" t="s">
        <v>76</v>
      </c>
      <c r="J1058" t="s">
        <v>77</v>
      </c>
      <c r="K1058" t="s">
        <v>78</v>
      </c>
      <c r="L1058" t="s">
        <v>520</v>
      </c>
      <c r="M1058" t="s">
        <v>521</v>
      </c>
      <c r="N1058" t="s">
        <v>1826</v>
      </c>
      <c r="O1058" t="s">
        <v>82</v>
      </c>
      <c r="P1058" t="str">
        <f>"4170053625                    "</f>
        <v xml:space="preserve">4170053625                    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Q1058">
        <v>44.73</v>
      </c>
      <c r="AR1058">
        <v>0</v>
      </c>
      <c r="AS1058">
        <v>0</v>
      </c>
      <c r="AT1058">
        <v>0</v>
      </c>
      <c r="AU1058">
        <v>0</v>
      </c>
      <c r="AV1058">
        <v>0</v>
      </c>
      <c r="AW1058">
        <v>0</v>
      </c>
      <c r="AX1058">
        <v>0</v>
      </c>
      <c r="AY1058">
        <v>0</v>
      </c>
      <c r="AZ1058">
        <v>0</v>
      </c>
      <c r="BA1058">
        <v>0</v>
      </c>
      <c r="BB1058">
        <v>0</v>
      </c>
      <c r="BC1058">
        <v>0</v>
      </c>
      <c r="BD1058">
        <v>0</v>
      </c>
      <c r="BE1058">
        <v>0</v>
      </c>
      <c r="BF1058">
        <v>0</v>
      </c>
      <c r="BG1058">
        <v>0</v>
      </c>
      <c r="BH1058">
        <v>1</v>
      </c>
      <c r="BI1058">
        <v>1</v>
      </c>
      <c r="BJ1058">
        <v>2</v>
      </c>
      <c r="BK1058">
        <v>2</v>
      </c>
      <c r="BL1058">
        <v>138.88999999999999</v>
      </c>
      <c r="BM1058">
        <v>20.83</v>
      </c>
      <c r="BN1058">
        <v>159.72</v>
      </c>
      <c r="BO1058">
        <v>159.72</v>
      </c>
      <c r="BQ1058" t="s">
        <v>1827</v>
      </c>
      <c r="BR1058" t="s">
        <v>84</v>
      </c>
      <c r="BS1058" s="3">
        <v>45880</v>
      </c>
      <c r="BT1058" s="4">
        <v>0.4375</v>
      </c>
      <c r="BU1058" t="s">
        <v>1828</v>
      </c>
      <c r="BV1058" t="s">
        <v>90</v>
      </c>
      <c r="BW1058" t="s">
        <v>1167</v>
      </c>
      <c r="BX1058" t="s">
        <v>1168</v>
      </c>
      <c r="BY1058">
        <v>9900</v>
      </c>
      <c r="CA1058" t="s">
        <v>525</v>
      </c>
      <c r="CC1058" t="s">
        <v>521</v>
      </c>
      <c r="CD1058">
        <v>1961</v>
      </c>
      <c r="CE1058" t="s">
        <v>147</v>
      </c>
      <c r="CF1058" s="3">
        <v>45881</v>
      </c>
      <c r="CI1058">
        <v>1</v>
      </c>
      <c r="CJ1058">
        <v>2</v>
      </c>
      <c r="CK1058">
        <v>23</v>
      </c>
      <c r="CL1058" t="s">
        <v>90</v>
      </c>
    </row>
    <row r="1059" spans="1:90" x14ac:dyDescent="0.3">
      <c r="A1059" t="s">
        <v>72</v>
      </c>
      <c r="B1059" t="s">
        <v>73</v>
      </c>
      <c r="C1059" t="s">
        <v>74</v>
      </c>
      <c r="E1059" t="str">
        <f>"080067090932"</f>
        <v>080067090932</v>
      </c>
      <c r="F1059" s="3">
        <v>45876</v>
      </c>
      <c r="G1059">
        <v>202605</v>
      </c>
      <c r="H1059" t="s">
        <v>75</v>
      </c>
      <c r="I1059" t="s">
        <v>76</v>
      </c>
      <c r="J1059" t="s">
        <v>77</v>
      </c>
      <c r="K1059" t="s">
        <v>78</v>
      </c>
      <c r="L1059" t="s">
        <v>75</v>
      </c>
      <c r="M1059" t="s">
        <v>76</v>
      </c>
      <c r="N1059" t="s">
        <v>537</v>
      </c>
      <c r="O1059" t="s">
        <v>82</v>
      </c>
      <c r="P1059" t="str">
        <f>"4170053638                    "</f>
        <v xml:space="preserve">4170053638                    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0</v>
      </c>
      <c r="AQ1059">
        <v>18.03</v>
      </c>
      <c r="AR1059">
        <v>0</v>
      </c>
      <c r="AS1059">
        <v>0</v>
      </c>
      <c r="AT1059">
        <v>0</v>
      </c>
      <c r="AU1059">
        <v>0</v>
      </c>
      <c r="AV1059">
        <v>0</v>
      </c>
      <c r="AW1059">
        <v>0</v>
      </c>
      <c r="AX1059">
        <v>0</v>
      </c>
      <c r="AY1059">
        <v>0</v>
      </c>
      <c r="AZ1059">
        <v>0</v>
      </c>
      <c r="BA1059">
        <v>0</v>
      </c>
      <c r="BB1059">
        <v>0</v>
      </c>
      <c r="BC1059">
        <v>0</v>
      </c>
      <c r="BD1059">
        <v>0</v>
      </c>
      <c r="BE1059">
        <v>0</v>
      </c>
      <c r="BF1059">
        <v>0</v>
      </c>
      <c r="BG1059">
        <v>0</v>
      </c>
      <c r="BH1059">
        <v>1</v>
      </c>
      <c r="BI1059">
        <v>1</v>
      </c>
      <c r="BJ1059">
        <v>0.2</v>
      </c>
      <c r="BK1059">
        <v>1</v>
      </c>
      <c r="BL1059">
        <v>55.99</v>
      </c>
      <c r="BM1059">
        <v>8.4</v>
      </c>
      <c r="BN1059">
        <v>64.39</v>
      </c>
      <c r="BO1059">
        <v>64.39</v>
      </c>
      <c r="BQ1059" t="s">
        <v>538</v>
      </c>
      <c r="BR1059" t="s">
        <v>84</v>
      </c>
      <c r="BS1059" s="3">
        <v>45877</v>
      </c>
      <c r="BT1059" s="4">
        <v>0.36249999999999999</v>
      </c>
      <c r="BU1059" t="s">
        <v>738</v>
      </c>
      <c r="BV1059" t="s">
        <v>86</v>
      </c>
      <c r="BY1059">
        <v>1200</v>
      </c>
      <c r="CA1059" t="s">
        <v>739</v>
      </c>
      <c r="CC1059" t="s">
        <v>76</v>
      </c>
      <c r="CD1059">
        <v>1619</v>
      </c>
      <c r="CE1059" t="s">
        <v>109</v>
      </c>
      <c r="CF1059" s="3">
        <v>45877</v>
      </c>
      <c r="CI1059">
        <v>1</v>
      </c>
      <c r="CJ1059">
        <v>1</v>
      </c>
      <c r="CK1059">
        <v>22</v>
      </c>
      <c r="CL1059" t="s">
        <v>90</v>
      </c>
    </row>
    <row r="1060" spans="1:90" x14ac:dyDescent="0.3">
      <c r="A1060" t="s">
        <v>72</v>
      </c>
      <c r="B1060" t="s">
        <v>73</v>
      </c>
      <c r="C1060" t="s">
        <v>74</v>
      </c>
      <c r="E1060" t="str">
        <f>"080067090972"</f>
        <v>080067090972</v>
      </c>
      <c r="F1060" s="3">
        <v>45876</v>
      </c>
      <c r="G1060">
        <v>202605</v>
      </c>
      <c r="H1060" t="s">
        <v>75</v>
      </c>
      <c r="I1060" t="s">
        <v>76</v>
      </c>
      <c r="J1060" t="s">
        <v>77</v>
      </c>
      <c r="K1060" t="s">
        <v>78</v>
      </c>
      <c r="L1060" t="s">
        <v>1829</v>
      </c>
      <c r="M1060" t="s">
        <v>1830</v>
      </c>
      <c r="N1060" t="s">
        <v>498</v>
      </c>
      <c r="O1060" t="s">
        <v>82</v>
      </c>
      <c r="P1060" t="str">
        <f>"4170053667                    "</f>
        <v xml:space="preserve">4170053667                    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>
        <v>121.12</v>
      </c>
      <c r="AR1060">
        <v>0</v>
      </c>
      <c r="AS1060">
        <v>0</v>
      </c>
      <c r="AT1060">
        <v>0</v>
      </c>
      <c r="AU1060">
        <v>0</v>
      </c>
      <c r="AV1060">
        <v>0</v>
      </c>
      <c r="AW1060">
        <v>0</v>
      </c>
      <c r="AX1060">
        <v>0</v>
      </c>
      <c r="AY1060">
        <v>0</v>
      </c>
      <c r="AZ1060">
        <v>0</v>
      </c>
      <c r="BA1060">
        <v>0</v>
      </c>
      <c r="BB1060">
        <v>0</v>
      </c>
      <c r="BC1060">
        <v>0</v>
      </c>
      <c r="BD1060">
        <v>0</v>
      </c>
      <c r="BE1060">
        <v>0</v>
      </c>
      <c r="BF1060">
        <v>0</v>
      </c>
      <c r="BG1060">
        <v>0</v>
      </c>
      <c r="BH1060">
        <v>1</v>
      </c>
      <c r="BI1060">
        <v>8</v>
      </c>
      <c r="BJ1060">
        <v>10.3</v>
      </c>
      <c r="BK1060">
        <v>10.5</v>
      </c>
      <c r="BL1060">
        <v>376.1</v>
      </c>
      <c r="BM1060">
        <v>56.42</v>
      </c>
      <c r="BN1060">
        <v>432.52</v>
      </c>
      <c r="BO1060">
        <v>432.52</v>
      </c>
      <c r="BQ1060" t="s">
        <v>499</v>
      </c>
      <c r="BR1060" t="s">
        <v>84</v>
      </c>
      <c r="BS1060" s="3">
        <v>45877</v>
      </c>
      <c r="BT1060" s="4">
        <v>0.4375</v>
      </c>
      <c r="BU1060" t="s">
        <v>1831</v>
      </c>
      <c r="BV1060" t="s">
        <v>86</v>
      </c>
      <c r="BY1060">
        <v>51480</v>
      </c>
      <c r="CA1060" t="s">
        <v>1286</v>
      </c>
      <c r="CC1060" t="s">
        <v>1830</v>
      </c>
      <c r="CD1060">
        <v>4126</v>
      </c>
      <c r="CE1060" t="s">
        <v>147</v>
      </c>
      <c r="CF1060" s="3">
        <v>45878</v>
      </c>
      <c r="CI1060">
        <v>1</v>
      </c>
      <c r="CJ1060">
        <v>1</v>
      </c>
      <c r="CK1060">
        <v>21</v>
      </c>
      <c r="CL1060" t="s">
        <v>90</v>
      </c>
    </row>
    <row r="1061" spans="1:90" x14ac:dyDescent="0.3">
      <c r="A1061" t="s">
        <v>72</v>
      </c>
      <c r="B1061" t="s">
        <v>73</v>
      </c>
      <c r="C1061" t="s">
        <v>74</v>
      </c>
      <c r="E1061" t="str">
        <f>"080067091065"</f>
        <v>080067091065</v>
      </c>
      <c r="F1061" s="3">
        <v>45876</v>
      </c>
      <c r="G1061">
        <v>202605</v>
      </c>
      <c r="H1061" t="s">
        <v>75</v>
      </c>
      <c r="I1061" t="s">
        <v>76</v>
      </c>
      <c r="J1061" t="s">
        <v>77</v>
      </c>
      <c r="K1061" t="s">
        <v>78</v>
      </c>
      <c r="L1061" t="s">
        <v>278</v>
      </c>
      <c r="M1061" t="s">
        <v>279</v>
      </c>
      <c r="N1061" t="s">
        <v>1524</v>
      </c>
      <c r="O1061" t="s">
        <v>82</v>
      </c>
      <c r="P1061" t="str">
        <f>"4170053635                    "</f>
        <v xml:space="preserve">4170053635                    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23.09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0</v>
      </c>
      <c r="BE1061">
        <v>0</v>
      </c>
      <c r="BF1061">
        <v>0</v>
      </c>
      <c r="BG1061">
        <v>0</v>
      </c>
      <c r="BH1061">
        <v>1</v>
      </c>
      <c r="BI1061">
        <v>1</v>
      </c>
      <c r="BJ1061">
        <v>0.2</v>
      </c>
      <c r="BK1061">
        <v>1</v>
      </c>
      <c r="BL1061">
        <v>71.69</v>
      </c>
      <c r="BM1061">
        <v>10.75</v>
      </c>
      <c r="BN1061">
        <v>82.44</v>
      </c>
      <c r="BO1061">
        <v>82.44</v>
      </c>
      <c r="BQ1061" t="s">
        <v>1525</v>
      </c>
      <c r="BR1061" t="s">
        <v>84</v>
      </c>
      <c r="BS1061" s="3">
        <v>45877</v>
      </c>
      <c r="BT1061" s="4">
        <v>0.33124999999999999</v>
      </c>
      <c r="BU1061" t="s">
        <v>1832</v>
      </c>
      <c r="BV1061" t="s">
        <v>86</v>
      </c>
      <c r="BY1061">
        <v>1200</v>
      </c>
      <c r="CC1061" t="s">
        <v>279</v>
      </c>
      <c r="CD1061" s="5" t="s">
        <v>289</v>
      </c>
      <c r="CE1061" t="s">
        <v>109</v>
      </c>
      <c r="CF1061" s="3">
        <v>45877</v>
      </c>
      <c r="CI1061">
        <v>1</v>
      </c>
      <c r="CJ1061">
        <v>1</v>
      </c>
      <c r="CK1061">
        <v>21</v>
      </c>
      <c r="CL1061" t="s">
        <v>90</v>
      </c>
    </row>
    <row r="1062" spans="1:90" x14ac:dyDescent="0.3">
      <c r="A1062" t="s">
        <v>72</v>
      </c>
      <c r="B1062" t="s">
        <v>73</v>
      </c>
      <c r="C1062" t="s">
        <v>74</v>
      </c>
      <c r="E1062" t="str">
        <f>"080067091101"</f>
        <v>080067091101</v>
      </c>
      <c r="F1062" s="3">
        <v>45876</v>
      </c>
      <c r="G1062">
        <v>202605</v>
      </c>
      <c r="H1062" t="s">
        <v>75</v>
      </c>
      <c r="I1062" t="s">
        <v>76</v>
      </c>
      <c r="J1062" t="s">
        <v>77</v>
      </c>
      <c r="K1062" t="s">
        <v>78</v>
      </c>
      <c r="L1062" t="s">
        <v>198</v>
      </c>
      <c r="M1062" t="s">
        <v>199</v>
      </c>
      <c r="N1062" t="s">
        <v>635</v>
      </c>
      <c r="O1062" t="s">
        <v>82</v>
      </c>
      <c r="P1062" t="str">
        <f>"4170053660                    "</f>
        <v xml:space="preserve">4170053660                    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0</v>
      </c>
      <c r="AQ1062">
        <v>23.09</v>
      </c>
      <c r="AR1062">
        <v>0</v>
      </c>
      <c r="AS1062">
        <v>0</v>
      </c>
      <c r="AT1062">
        <v>0</v>
      </c>
      <c r="AU1062">
        <v>0</v>
      </c>
      <c r="AV1062">
        <v>0</v>
      </c>
      <c r="AW1062">
        <v>0</v>
      </c>
      <c r="AX1062">
        <v>0</v>
      </c>
      <c r="AY1062">
        <v>0</v>
      </c>
      <c r="AZ1062">
        <v>0</v>
      </c>
      <c r="BA1062">
        <v>0</v>
      </c>
      <c r="BB1062">
        <v>0</v>
      </c>
      <c r="BC1062">
        <v>0</v>
      </c>
      <c r="BD1062">
        <v>0</v>
      </c>
      <c r="BE1062">
        <v>0</v>
      </c>
      <c r="BF1062">
        <v>0</v>
      </c>
      <c r="BG1062">
        <v>0</v>
      </c>
      <c r="BH1062">
        <v>1</v>
      </c>
      <c r="BI1062">
        <v>1</v>
      </c>
      <c r="BJ1062">
        <v>0.9</v>
      </c>
      <c r="BK1062">
        <v>1</v>
      </c>
      <c r="BL1062">
        <v>71.69</v>
      </c>
      <c r="BM1062">
        <v>10.75</v>
      </c>
      <c r="BN1062">
        <v>82.44</v>
      </c>
      <c r="BO1062">
        <v>82.44</v>
      </c>
      <c r="BQ1062" t="s">
        <v>636</v>
      </c>
      <c r="BR1062" t="s">
        <v>84</v>
      </c>
      <c r="BS1062" s="3">
        <v>45877</v>
      </c>
      <c r="BT1062" s="4">
        <v>0.42499999999999999</v>
      </c>
      <c r="BU1062" t="s">
        <v>1833</v>
      </c>
      <c r="BV1062" t="s">
        <v>86</v>
      </c>
      <c r="BY1062">
        <v>4256</v>
      </c>
      <c r="CA1062" t="s">
        <v>203</v>
      </c>
      <c r="CC1062" t="s">
        <v>199</v>
      </c>
      <c r="CD1062">
        <v>6001</v>
      </c>
      <c r="CE1062" t="s">
        <v>147</v>
      </c>
      <c r="CF1062" s="3">
        <v>45877</v>
      </c>
      <c r="CI1062">
        <v>1</v>
      </c>
      <c r="CJ1062">
        <v>1</v>
      </c>
      <c r="CK1062">
        <v>21</v>
      </c>
      <c r="CL1062" t="s">
        <v>90</v>
      </c>
    </row>
    <row r="1063" spans="1:90" x14ac:dyDescent="0.3">
      <c r="A1063" t="s">
        <v>72</v>
      </c>
      <c r="B1063" t="s">
        <v>73</v>
      </c>
      <c r="C1063" t="s">
        <v>74</v>
      </c>
      <c r="E1063" t="str">
        <f>"080067091151"</f>
        <v>080067091151</v>
      </c>
      <c r="F1063" s="3">
        <v>45876</v>
      </c>
      <c r="G1063">
        <v>202605</v>
      </c>
      <c r="H1063" t="s">
        <v>75</v>
      </c>
      <c r="I1063" t="s">
        <v>76</v>
      </c>
      <c r="J1063" t="s">
        <v>77</v>
      </c>
      <c r="K1063" t="s">
        <v>78</v>
      </c>
      <c r="L1063" t="s">
        <v>855</v>
      </c>
      <c r="M1063" t="s">
        <v>856</v>
      </c>
      <c r="N1063" t="s">
        <v>857</v>
      </c>
      <c r="O1063" t="s">
        <v>113</v>
      </c>
      <c r="P1063" t="str">
        <f>"4170053661                    "</f>
        <v xml:space="preserve">4170053661                    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30.18</v>
      </c>
      <c r="AR1063">
        <v>0</v>
      </c>
      <c r="AS1063">
        <v>0</v>
      </c>
      <c r="AT1063">
        <v>0</v>
      </c>
      <c r="AU1063">
        <v>0</v>
      </c>
      <c r="AV1063">
        <v>0</v>
      </c>
      <c r="AW1063">
        <v>0</v>
      </c>
      <c r="AX1063">
        <v>0</v>
      </c>
      <c r="AY1063">
        <v>0</v>
      </c>
      <c r="AZ1063">
        <v>0</v>
      </c>
      <c r="BA1063">
        <v>0</v>
      </c>
      <c r="BB1063">
        <v>0</v>
      </c>
      <c r="BC1063">
        <v>0</v>
      </c>
      <c r="BD1063">
        <v>0</v>
      </c>
      <c r="BE1063">
        <v>0</v>
      </c>
      <c r="BF1063">
        <v>0</v>
      </c>
      <c r="BG1063">
        <v>0</v>
      </c>
      <c r="BH1063">
        <v>2</v>
      </c>
      <c r="BI1063">
        <v>14</v>
      </c>
      <c r="BJ1063">
        <v>5.4</v>
      </c>
      <c r="BK1063">
        <v>14</v>
      </c>
      <c r="BL1063">
        <v>93.71</v>
      </c>
      <c r="BM1063">
        <v>14.06</v>
      </c>
      <c r="BN1063">
        <v>107.77</v>
      </c>
      <c r="BO1063">
        <v>107.77</v>
      </c>
      <c r="BQ1063" t="s">
        <v>858</v>
      </c>
      <c r="BR1063" t="s">
        <v>84</v>
      </c>
      <c r="BS1063" s="3">
        <v>45877</v>
      </c>
      <c r="BT1063" s="4">
        <v>0.43055555555555558</v>
      </c>
      <c r="BU1063" t="s">
        <v>1834</v>
      </c>
      <c r="BV1063" t="s">
        <v>86</v>
      </c>
      <c r="BY1063">
        <v>27144</v>
      </c>
      <c r="CA1063" t="s">
        <v>860</v>
      </c>
      <c r="CC1063" t="s">
        <v>856</v>
      </c>
      <c r="CD1063">
        <v>1682</v>
      </c>
      <c r="CE1063" t="s">
        <v>147</v>
      </c>
      <c r="CF1063" s="3">
        <v>45878</v>
      </c>
      <c r="CI1063">
        <v>1</v>
      </c>
      <c r="CJ1063">
        <v>1</v>
      </c>
      <c r="CK1063">
        <v>32</v>
      </c>
      <c r="CL1063" t="s">
        <v>90</v>
      </c>
    </row>
    <row r="1064" spans="1:90" x14ac:dyDescent="0.3">
      <c r="A1064" t="s">
        <v>72</v>
      </c>
      <c r="B1064" t="s">
        <v>73</v>
      </c>
      <c r="C1064" t="s">
        <v>74</v>
      </c>
      <c r="E1064" t="str">
        <f>"080067091158"</f>
        <v>080067091158</v>
      </c>
      <c r="F1064" s="3">
        <v>45876</v>
      </c>
      <c r="G1064">
        <v>202605</v>
      </c>
      <c r="H1064" t="s">
        <v>75</v>
      </c>
      <c r="I1064" t="s">
        <v>76</v>
      </c>
      <c r="J1064" t="s">
        <v>77</v>
      </c>
      <c r="K1064" t="s">
        <v>78</v>
      </c>
      <c r="L1064" t="s">
        <v>162</v>
      </c>
      <c r="M1064" t="s">
        <v>163</v>
      </c>
      <c r="N1064" t="s">
        <v>1835</v>
      </c>
      <c r="O1064" t="s">
        <v>82</v>
      </c>
      <c r="P1064" t="str">
        <f>"4170053583                    "</f>
        <v xml:space="preserve">4170053583                    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23.09</v>
      </c>
      <c r="AR1064">
        <v>0</v>
      </c>
      <c r="AS1064">
        <v>0</v>
      </c>
      <c r="AT1064">
        <v>0</v>
      </c>
      <c r="AU1064">
        <v>0</v>
      </c>
      <c r="AV1064">
        <v>0</v>
      </c>
      <c r="AW1064">
        <v>0</v>
      </c>
      <c r="AX1064">
        <v>0</v>
      </c>
      <c r="AY1064">
        <v>0</v>
      </c>
      <c r="AZ1064">
        <v>0</v>
      </c>
      <c r="BA1064">
        <v>0</v>
      </c>
      <c r="BB1064">
        <v>0</v>
      </c>
      <c r="BC1064">
        <v>0</v>
      </c>
      <c r="BD1064">
        <v>0</v>
      </c>
      <c r="BE1064">
        <v>0</v>
      </c>
      <c r="BF1064">
        <v>0</v>
      </c>
      <c r="BG1064">
        <v>0</v>
      </c>
      <c r="BH1064">
        <v>1</v>
      </c>
      <c r="BI1064">
        <v>2</v>
      </c>
      <c r="BJ1064">
        <v>1.5</v>
      </c>
      <c r="BK1064">
        <v>2</v>
      </c>
      <c r="BL1064">
        <v>71.69</v>
      </c>
      <c r="BM1064">
        <v>10.75</v>
      </c>
      <c r="BN1064">
        <v>82.44</v>
      </c>
      <c r="BO1064">
        <v>82.44</v>
      </c>
      <c r="BQ1064" t="s">
        <v>1836</v>
      </c>
      <c r="BR1064" t="s">
        <v>84</v>
      </c>
      <c r="BS1064" s="3">
        <v>45877</v>
      </c>
      <c r="BT1064" s="4">
        <v>0.41666666666666669</v>
      </c>
      <c r="BU1064" t="s">
        <v>1837</v>
      </c>
      <c r="BV1064" t="s">
        <v>86</v>
      </c>
      <c r="BY1064">
        <v>7540</v>
      </c>
      <c r="CA1064" t="s">
        <v>919</v>
      </c>
      <c r="CC1064" t="s">
        <v>163</v>
      </c>
      <c r="CD1064">
        <v>3201</v>
      </c>
      <c r="CE1064" t="s">
        <v>147</v>
      </c>
      <c r="CF1064" s="3">
        <v>45880</v>
      </c>
      <c r="CI1064">
        <v>1</v>
      </c>
      <c r="CJ1064">
        <v>1</v>
      </c>
      <c r="CK1064">
        <v>21</v>
      </c>
      <c r="CL1064" t="s">
        <v>90</v>
      </c>
    </row>
    <row r="1065" spans="1:90" x14ac:dyDescent="0.3">
      <c r="A1065" t="s">
        <v>72</v>
      </c>
      <c r="B1065" t="s">
        <v>73</v>
      </c>
      <c r="C1065" t="s">
        <v>74</v>
      </c>
      <c r="E1065" t="str">
        <f>"080067091173"</f>
        <v>080067091173</v>
      </c>
      <c r="F1065" s="3">
        <v>45876</v>
      </c>
      <c r="G1065">
        <v>202605</v>
      </c>
      <c r="H1065" t="s">
        <v>75</v>
      </c>
      <c r="I1065" t="s">
        <v>76</v>
      </c>
      <c r="J1065" t="s">
        <v>77</v>
      </c>
      <c r="K1065" t="s">
        <v>78</v>
      </c>
      <c r="L1065" t="s">
        <v>855</v>
      </c>
      <c r="M1065" t="s">
        <v>856</v>
      </c>
      <c r="N1065" t="s">
        <v>1838</v>
      </c>
      <c r="O1065" t="s">
        <v>82</v>
      </c>
      <c r="P1065" t="str">
        <f>"4170053570                    "</f>
        <v xml:space="preserve">4170053570                    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18.03</v>
      </c>
      <c r="AR1065">
        <v>0</v>
      </c>
      <c r="AS1065">
        <v>0</v>
      </c>
      <c r="AT1065">
        <v>0</v>
      </c>
      <c r="AU1065">
        <v>0</v>
      </c>
      <c r="AV1065">
        <v>0</v>
      </c>
      <c r="AW1065">
        <v>0</v>
      </c>
      <c r="AX1065">
        <v>0</v>
      </c>
      <c r="AY1065">
        <v>0</v>
      </c>
      <c r="AZ1065">
        <v>0</v>
      </c>
      <c r="BA1065">
        <v>0</v>
      </c>
      <c r="BB1065">
        <v>0</v>
      </c>
      <c r="BC1065">
        <v>0</v>
      </c>
      <c r="BD1065">
        <v>0</v>
      </c>
      <c r="BE1065">
        <v>0</v>
      </c>
      <c r="BF1065">
        <v>0</v>
      </c>
      <c r="BG1065">
        <v>0</v>
      </c>
      <c r="BH1065">
        <v>1</v>
      </c>
      <c r="BI1065">
        <v>1</v>
      </c>
      <c r="BJ1065">
        <v>0.2</v>
      </c>
      <c r="BK1065">
        <v>1</v>
      </c>
      <c r="BL1065">
        <v>55.99</v>
      </c>
      <c r="BM1065">
        <v>8.4</v>
      </c>
      <c r="BN1065">
        <v>64.39</v>
      </c>
      <c r="BO1065">
        <v>64.39</v>
      </c>
      <c r="BQ1065" t="s">
        <v>1839</v>
      </c>
      <c r="BR1065" t="s">
        <v>84</v>
      </c>
      <c r="BS1065" s="3">
        <v>45877</v>
      </c>
      <c r="BT1065" s="4">
        <v>0.3923611111111111</v>
      </c>
      <c r="BU1065" t="s">
        <v>1756</v>
      </c>
      <c r="BV1065" t="s">
        <v>86</v>
      </c>
      <c r="BY1065">
        <v>1200</v>
      </c>
      <c r="CA1065" t="s">
        <v>1840</v>
      </c>
      <c r="CC1065" t="s">
        <v>856</v>
      </c>
      <c r="CD1065">
        <v>1682</v>
      </c>
      <c r="CE1065" t="s">
        <v>109</v>
      </c>
      <c r="CF1065" s="3">
        <v>45878</v>
      </c>
      <c r="CI1065">
        <v>1</v>
      </c>
      <c r="CJ1065">
        <v>1</v>
      </c>
      <c r="CK1065">
        <v>22</v>
      </c>
      <c r="CL1065" t="s">
        <v>90</v>
      </c>
    </row>
    <row r="1066" spans="1:90" x14ac:dyDescent="0.3">
      <c r="A1066" t="s">
        <v>72</v>
      </c>
      <c r="B1066" t="s">
        <v>73</v>
      </c>
      <c r="C1066" t="s">
        <v>74</v>
      </c>
      <c r="E1066" t="str">
        <f>"080067091193"</f>
        <v>080067091193</v>
      </c>
      <c r="F1066" s="3">
        <v>45876</v>
      </c>
      <c r="G1066">
        <v>202605</v>
      </c>
      <c r="H1066" t="s">
        <v>75</v>
      </c>
      <c r="I1066" t="s">
        <v>76</v>
      </c>
      <c r="J1066" t="s">
        <v>77</v>
      </c>
      <c r="K1066" t="s">
        <v>78</v>
      </c>
      <c r="L1066" t="s">
        <v>123</v>
      </c>
      <c r="M1066" t="s">
        <v>124</v>
      </c>
      <c r="N1066" t="s">
        <v>1416</v>
      </c>
      <c r="O1066" t="s">
        <v>82</v>
      </c>
      <c r="P1066" t="str">
        <f>"4170053659                    "</f>
        <v xml:space="preserve">4170053659                    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51.92</v>
      </c>
      <c r="AR1066">
        <v>0</v>
      </c>
      <c r="AS1066">
        <v>0</v>
      </c>
      <c r="AT1066">
        <v>0</v>
      </c>
      <c r="AU1066">
        <v>0</v>
      </c>
      <c r="AV1066">
        <v>0</v>
      </c>
      <c r="AW1066">
        <v>0</v>
      </c>
      <c r="AX1066">
        <v>0</v>
      </c>
      <c r="AY1066">
        <v>0</v>
      </c>
      <c r="AZ1066">
        <v>0</v>
      </c>
      <c r="BA1066">
        <v>0</v>
      </c>
      <c r="BB1066">
        <v>0</v>
      </c>
      <c r="BC1066">
        <v>0</v>
      </c>
      <c r="BD1066">
        <v>0</v>
      </c>
      <c r="BE1066">
        <v>0</v>
      </c>
      <c r="BF1066">
        <v>0</v>
      </c>
      <c r="BG1066">
        <v>0</v>
      </c>
      <c r="BH1066">
        <v>1</v>
      </c>
      <c r="BI1066">
        <v>3</v>
      </c>
      <c r="BJ1066">
        <v>4.0999999999999996</v>
      </c>
      <c r="BK1066">
        <v>4.5</v>
      </c>
      <c r="BL1066">
        <v>161.22</v>
      </c>
      <c r="BM1066">
        <v>24.18</v>
      </c>
      <c r="BN1066">
        <v>185.4</v>
      </c>
      <c r="BO1066">
        <v>185.4</v>
      </c>
      <c r="BQ1066" t="s">
        <v>1417</v>
      </c>
      <c r="BR1066" t="s">
        <v>84</v>
      </c>
      <c r="BS1066" s="3">
        <v>45877</v>
      </c>
      <c r="BT1066" s="4">
        <v>0.41736111111111113</v>
      </c>
      <c r="BU1066" t="s">
        <v>886</v>
      </c>
      <c r="BV1066" t="s">
        <v>86</v>
      </c>
      <c r="BY1066">
        <v>20358</v>
      </c>
      <c r="CA1066" t="s">
        <v>1238</v>
      </c>
      <c r="CC1066" t="s">
        <v>124</v>
      </c>
      <c r="CD1066">
        <v>7480</v>
      </c>
      <c r="CE1066" t="s">
        <v>147</v>
      </c>
      <c r="CF1066" s="3">
        <v>45880</v>
      </c>
      <c r="CI1066">
        <v>1</v>
      </c>
      <c r="CJ1066">
        <v>1</v>
      </c>
      <c r="CK1066">
        <v>21</v>
      </c>
      <c r="CL1066" t="s">
        <v>90</v>
      </c>
    </row>
    <row r="1067" spans="1:90" x14ac:dyDescent="0.3">
      <c r="A1067" t="s">
        <v>72</v>
      </c>
      <c r="B1067" t="s">
        <v>73</v>
      </c>
      <c r="C1067" t="s">
        <v>74</v>
      </c>
      <c r="E1067" t="str">
        <f>"080067091297"</f>
        <v>080067091297</v>
      </c>
      <c r="F1067" s="3">
        <v>45876</v>
      </c>
      <c r="G1067">
        <v>202605</v>
      </c>
      <c r="H1067" t="s">
        <v>75</v>
      </c>
      <c r="I1067" t="s">
        <v>76</v>
      </c>
      <c r="J1067" t="s">
        <v>77</v>
      </c>
      <c r="K1067" t="s">
        <v>78</v>
      </c>
      <c r="L1067" t="s">
        <v>325</v>
      </c>
      <c r="M1067" t="s">
        <v>326</v>
      </c>
      <c r="N1067" t="s">
        <v>980</v>
      </c>
      <c r="O1067" t="s">
        <v>82</v>
      </c>
      <c r="P1067" t="str">
        <f>"4170053668                    "</f>
        <v xml:space="preserve">4170053668                    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18.03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0</v>
      </c>
      <c r="AX1067">
        <v>0</v>
      </c>
      <c r="AY1067">
        <v>0</v>
      </c>
      <c r="AZ1067">
        <v>0</v>
      </c>
      <c r="BA1067">
        <v>0</v>
      </c>
      <c r="BB1067">
        <v>0</v>
      </c>
      <c r="BC1067">
        <v>0</v>
      </c>
      <c r="BD1067">
        <v>0</v>
      </c>
      <c r="BE1067">
        <v>0</v>
      </c>
      <c r="BF1067">
        <v>0</v>
      </c>
      <c r="BG1067">
        <v>0</v>
      </c>
      <c r="BH1067">
        <v>1</v>
      </c>
      <c r="BI1067">
        <v>3</v>
      </c>
      <c r="BJ1067">
        <v>3.1</v>
      </c>
      <c r="BK1067">
        <v>4</v>
      </c>
      <c r="BL1067">
        <v>55.99</v>
      </c>
      <c r="BM1067">
        <v>8.4</v>
      </c>
      <c r="BN1067">
        <v>64.39</v>
      </c>
      <c r="BO1067">
        <v>64.39</v>
      </c>
      <c r="BQ1067" t="s">
        <v>981</v>
      </c>
      <c r="BR1067" t="s">
        <v>84</v>
      </c>
      <c r="BS1067" s="3">
        <v>45877</v>
      </c>
      <c r="BT1067" s="4">
        <v>0.37638888888888888</v>
      </c>
      <c r="BU1067" t="s">
        <v>982</v>
      </c>
      <c r="BV1067" t="s">
        <v>86</v>
      </c>
      <c r="BY1067">
        <v>15360</v>
      </c>
      <c r="CA1067" t="s">
        <v>461</v>
      </c>
      <c r="CC1067" t="s">
        <v>326</v>
      </c>
      <c r="CD1067">
        <v>2094</v>
      </c>
      <c r="CE1067" t="s">
        <v>147</v>
      </c>
      <c r="CF1067" s="3">
        <v>45878</v>
      </c>
      <c r="CI1067">
        <v>1</v>
      </c>
      <c r="CJ1067">
        <v>1</v>
      </c>
      <c r="CK1067">
        <v>22</v>
      </c>
      <c r="CL1067" t="s">
        <v>90</v>
      </c>
    </row>
    <row r="1068" spans="1:90" x14ac:dyDescent="0.3">
      <c r="A1068" t="s">
        <v>72</v>
      </c>
      <c r="B1068" t="s">
        <v>73</v>
      </c>
      <c r="C1068" t="s">
        <v>74</v>
      </c>
      <c r="E1068" t="str">
        <f>"080067091369"</f>
        <v>080067091369</v>
      </c>
      <c r="F1068" s="3">
        <v>45876</v>
      </c>
      <c r="G1068">
        <v>202605</v>
      </c>
      <c r="H1068" t="s">
        <v>75</v>
      </c>
      <c r="I1068" t="s">
        <v>76</v>
      </c>
      <c r="J1068" t="s">
        <v>77</v>
      </c>
      <c r="K1068" t="s">
        <v>78</v>
      </c>
      <c r="L1068" t="s">
        <v>217</v>
      </c>
      <c r="M1068" t="s">
        <v>218</v>
      </c>
      <c r="N1068" t="s">
        <v>1261</v>
      </c>
      <c r="O1068" t="s">
        <v>82</v>
      </c>
      <c r="P1068" t="str">
        <f>"4170053670                    "</f>
        <v xml:space="preserve">4170053670                    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23.09</v>
      </c>
      <c r="AR1068">
        <v>0</v>
      </c>
      <c r="AS1068">
        <v>0</v>
      </c>
      <c r="AT1068">
        <v>0</v>
      </c>
      <c r="AU1068">
        <v>0</v>
      </c>
      <c r="AV1068">
        <v>0</v>
      </c>
      <c r="AW1068">
        <v>0</v>
      </c>
      <c r="AX1068">
        <v>0</v>
      </c>
      <c r="AY1068">
        <v>0</v>
      </c>
      <c r="AZ1068">
        <v>0</v>
      </c>
      <c r="BA1068">
        <v>0</v>
      </c>
      <c r="BB1068">
        <v>0</v>
      </c>
      <c r="BC1068">
        <v>0</v>
      </c>
      <c r="BD1068">
        <v>0</v>
      </c>
      <c r="BE1068">
        <v>0</v>
      </c>
      <c r="BF1068">
        <v>0</v>
      </c>
      <c r="BG1068">
        <v>0</v>
      </c>
      <c r="BH1068">
        <v>1</v>
      </c>
      <c r="BI1068">
        <v>1</v>
      </c>
      <c r="BJ1068">
        <v>1.3</v>
      </c>
      <c r="BK1068">
        <v>1.5</v>
      </c>
      <c r="BL1068">
        <v>71.69</v>
      </c>
      <c r="BM1068">
        <v>10.75</v>
      </c>
      <c r="BN1068">
        <v>82.44</v>
      </c>
      <c r="BO1068">
        <v>82.44</v>
      </c>
      <c r="BQ1068" t="s">
        <v>1262</v>
      </c>
      <c r="BR1068" t="s">
        <v>84</v>
      </c>
      <c r="BS1068" s="3">
        <v>45877</v>
      </c>
      <c r="BT1068" s="4">
        <v>0.37569444444444444</v>
      </c>
      <c r="BU1068" t="s">
        <v>1263</v>
      </c>
      <c r="BV1068" t="s">
        <v>86</v>
      </c>
      <c r="BY1068">
        <v>6384</v>
      </c>
      <c r="BZ1068" t="s">
        <v>330</v>
      </c>
      <c r="CA1068" t="s">
        <v>864</v>
      </c>
      <c r="CC1068" t="s">
        <v>218</v>
      </c>
      <c r="CD1068">
        <v>4000</v>
      </c>
      <c r="CE1068" t="s">
        <v>147</v>
      </c>
      <c r="CF1068" s="3">
        <v>45878</v>
      </c>
      <c r="CI1068">
        <v>1</v>
      </c>
      <c r="CJ1068">
        <v>1</v>
      </c>
      <c r="CK1068">
        <v>21</v>
      </c>
      <c r="CL1068" t="s">
        <v>90</v>
      </c>
    </row>
    <row r="1069" spans="1:90" x14ac:dyDescent="0.3">
      <c r="A1069" t="s">
        <v>72</v>
      </c>
      <c r="B1069" t="s">
        <v>73</v>
      </c>
      <c r="C1069" t="s">
        <v>74</v>
      </c>
      <c r="E1069" t="str">
        <f>"080067091436"</f>
        <v>080067091436</v>
      </c>
      <c r="F1069" s="3">
        <v>45876</v>
      </c>
      <c r="G1069">
        <v>202605</v>
      </c>
      <c r="H1069" t="s">
        <v>75</v>
      </c>
      <c r="I1069" t="s">
        <v>76</v>
      </c>
      <c r="J1069" t="s">
        <v>77</v>
      </c>
      <c r="K1069" t="s">
        <v>78</v>
      </c>
      <c r="L1069" t="s">
        <v>123</v>
      </c>
      <c r="M1069" t="s">
        <v>124</v>
      </c>
      <c r="N1069" t="s">
        <v>1387</v>
      </c>
      <c r="O1069" t="s">
        <v>82</v>
      </c>
      <c r="P1069" t="str">
        <f>"4170053676                    "</f>
        <v xml:space="preserve">4170053676                    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23.09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</v>
      </c>
      <c r="AX1069">
        <v>0</v>
      </c>
      <c r="AY1069">
        <v>0</v>
      </c>
      <c r="AZ1069">
        <v>0</v>
      </c>
      <c r="BA1069">
        <v>0</v>
      </c>
      <c r="BB1069">
        <v>0</v>
      </c>
      <c r="BC1069">
        <v>0</v>
      </c>
      <c r="BD1069">
        <v>0</v>
      </c>
      <c r="BE1069">
        <v>0</v>
      </c>
      <c r="BF1069">
        <v>0</v>
      </c>
      <c r="BG1069">
        <v>0</v>
      </c>
      <c r="BH1069">
        <v>1</v>
      </c>
      <c r="BI1069">
        <v>1</v>
      </c>
      <c r="BJ1069">
        <v>0.2</v>
      </c>
      <c r="BK1069">
        <v>1</v>
      </c>
      <c r="BL1069">
        <v>71.69</v>
      </c>
      <c r="BM1069">
        <v>10.75</v>
      </c>
      <c r="BN1069">
        <v>82.44</v>
      </c>
      <c r="BO1069">
        <v>82.44</v>
      </c>
      <c r="BQ1069" t="s">
        <v>1388</v>
      </c>
      <c r="BR1069" t="s">
        <v>84</v>
      </c>
      <c r="BS1069" s="3">
        <v>45877</v>
      </c>
      <c r="BT1069" s="4">
        <v>0.41666666666666669</v>
      </c>
      <c r="BU1069" t="s">
        <v>1389</v>
      </c>
      <c r="BV1069" t="s">
        <v>86</v>
      </c>
      <c r="BY1069">
        <v>1200</v>
      </c>
      <c r="CC1069" t="s">
        <v>124</v>
      </c>
      <c r="CD1069">
        <v>7490</v>
      </c>
      <c r="CE1069" t="s">
        <v>109</v>
      </c>
      <c r="CF1069" s="3">
        <v>45880</v>
      </c>
      <c r="CI1069">
        <v>1</v>
      </c>
      <c r="CJ1069">
        <v>1</v>
      </c>
      <c r="CK1069">
        <v>21</v>
      </c>
      <c r="CL1069" t="s">
        <v>90</v>
      </c>
    </row>
    <row r="1070" spans="1:90" x14ac:dyDescent="0.3">
      <c r="A1070" t="s">
        <v>72</v>
      </c>
      <c r="B1070" t="s">
        <v>73</v>
      </c>
      <c r="C1070" t="s">
        <v>74</v>
      </c>
      <c r="E1070" t="str">
        <f>"080067091453"</f>
        <v>080067091453</v>
      </c>
      <c r="F1070" s="3">
        <v>45876</v>
      </c>
      <c r="G1070">
        <v>202605</v>
      </c>
      <c r="H1070" t="s">
        <v>75</v>
      </c>
      <c r="I1070" t="s">
        <v>76</v>
      </c>
      <c r="J1070" t="s">
        <v>77</v>
      </c>
      <c r="K1070" t="s">
        <v>78</v>
      </c>
      <c r="L1070" t="s">
        <v>123</v>
      </c>
      <c r="M1070" t="s">
        <v>124</v>
      </c>
      <c r="N1070" t="s">
        <v>1841</v>
      </c>
      <c r="O1070" t="s">
        <v>82</v>
      </c>
      <c r="P1070" t="str">
        <f>"4170053665                    "</f>
        <v xml:space="preserve">4170053665                    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23.09</v>
      </c>
      <c r="AR1070">
        <v>0</v>
      </c>
      <c r="AS1070">
        <v>0</v>
      </c>
      <c r="AT1070">
        <v>0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0</v>
      </c>
      <c r="BC1070">
        <v>0</v>
      </c>
      <c r="BD1070">
        <v>0</v>
      </c>
      <c r="BE1070">
        <v>0</v>
      </c>
      <c r="BF1070">
        <v>0</v>
      </c>
      <c r="BG1070">
        <v>0</v>
      </c>
      <c r="BH1070">
        <v>1</v>
      </c>
      <c r="BI1070">
        <v>1</v>
      </c>
      <c r="BJ1070">
        <v>1.1000000000000001</v>
      </c>
      <c r="BK1070">
        <v>1.5</v>
      </c>
      <c r="BL1070">
        <v>71.69</v>
      </c>
      <c r="BM1070">
        <v>10.75</v>
      </c>
      <c r="BN1070">
        <v>82.44</v>
      </c>
      <c r="BO1070">
        <v>82.44</v>
      </c>
      <c r="BQ1070" t="s">
        <v>1842</v>
      </c>
      <c r="BR1070" t="s">
        <v>84</v>
      </c>
      <c r="BS1070" s="3">
        <v>45877</v>
      </c>
      <c r="BT1070" s="4">
        <v>0.41666666666666669</v>
      </c>
      <c r="BU1070" t="s">
        <v>772</v>
      </c>
      <c r="BV1070" t="s">
        <v>86</v>
      </c>
      <c r="BY1070">
        <v>5320</v>
      </c>
      <c r="CC1070" t="s">
        <v>124</v>
      </c>
      <c r="CD1070">
        <v>7441</v>
      </c>
      <c r="CE1070" t="s">
        <v>147</v>
      </c>
      <c r="CF1070" s="3">
        <v>45880</v>
      </c>
      <c r="CI1070">
        <v>1</v>
      </c>
      <c r="CJ1070">
        <v>1</v>
      </c>
      <c r="CK1070">
        <v>21</v>
      </c>
      <c r="CL1070" t="s">
        <v>90</v>
      </c>
    </row>
    <row r="1071" spans="1:90" x14ac:dyDescent="0.3">
      <c r="A1071" t="s">
        <v>72</v>
      </c>
      <c r="B1071" t="s">
        <v>73</v>
      </c>
      <c r="C1071" t="s">
        <v>74</v>
      </c>
      <c r="E1071" t="str">
        <f>"080067091478"</f>
        <v>080067091478</v>
      </c>
      <c r="F1071" s="3">
        <v>45876</v>
      </c>
      <c r="G1071">
        <v>202605</v>
      </c>
      <c r="H1071" t="s">
        <v>75</v>
      </c>
      <c r="I1071" t="s">
        <v>76</v>
      </c>
      <c r="J1071" t="s">
        <v>77</v>
      </c>
      <c r="K1071" t="s">
        <v>78</v>
      </c>
      <c r="L1071" t="s">
        <v>325</v>
      </c>
      <c r="M1071" t="s">
        <v>326</v>
      </c>
      <c r="N1071" t="s">
        <v>980</v>
      </c>
      <c r="O1071" t="s">
        <v>82</v>
      </c>
      <c r="P1071" t="str">
        <f>"4170053669                    "</f>
        <v xml:space="preserve">4170053669                    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Q1071">
        <v>18.03</v>
      </c>
      <c r="AR1071">
        <v>0</v>
      </c>
      <c r="AS1071">
        <v>0</v>
      </c>
      <c r="AT1071">
        <v>0</v>
      </c>
      <c r="AU1071">
        <v>0</v>
      </c>
      <c r="AV1071">
        <v>0</v>
      </c>
      <c r="AW1071">
        <v>0</v>
      </c>
      <c r="AX1071">
        <v>0</v>
      </c>
      <c r="AY1071">
        <v>0</v>
      </c>
      <c r="AZ1071">
        <v>0</v>
      </c>
      <c r="BA1071">
        <v>0</v>
      </c>
      <c r="BB1071">
        <v>0</v>
      </c>
      <c r="BC1071">
        <v>0</v>
      </c>
      <c r="BD1071">
        <v>0</v>
      </c>
      <c r="BE1071">
        <v>0</v>
      </c>
      <c r="BF1071">
        <v>0</v>
      </c>
      <c r="BG1071">
        <v>0</v>
      </c>
      <c r="BH1071">
        <v>1</v>
      </c>
      <c r="BI1071">
        <v>6</v>
      </c>
      <c r="BJ1071">
        <v>4.0999999999999996</v>
      </c>
      <c r="BK1071">
        <v>6</v>
      </c>
      <c r="BL1071">
        <v>55.99</v>
      </c>
      <c r="BM1071">
        <v>8.4</v>
      </c>
      <c r="BN1071">
        <v>64.39</v>
      </c>
      <c r="BO1071">
        <v>64.39</v>
      </c>
      <c r="BQ1071" t="s">
        <v>981</v>
      </c>
      <c r="BR1071" t="s">
        <v>84</v>
      </c>
      <c r="BS1071" s="3">
        <v>45877</v>
      </c>
      <c r="BT1071" s="4">
        <v>0.37638888888888888</v>
      </c>
      <c r="BU1071" t="s">
        <v>982</v>
      </c>
      <c r="BV1071" t="s">
        <v>86</v>
      </c>
      <c r="BY1071">
        <v>20358</v>
      </c>
      <c r="CA1071" t="s">
        <v>461</v>
      </c>
      <c r="CC1071" t="s">
        <v>326</v>
      </c>
      <c r="CD1071">
        <v>2094</v>
      </c>
      <c r="CE1071" t="s">
        <v>147</v>
      </c>
      <c r="CF1071" s="3">
        <v>45878</v>
      </c>
      <c r="CI1071">
        <v>1</v>
      </c>
      <c r="CJ1071">
        <v>1</v>
      </c>
      <c r="CK1071">
        <v>22</v>
      </c>
      <c r="CL1071" t="s">
        <v>90</v>
      </c>
    </row>
    <row r="1072" spans="1:90" x14ac:dyDescent="0.3">
      <c r="A1072" t="s">
        <v>72</v>
      </c>
      <c r="B1072" t="s">
        <v>73</v>
      </c>
      <c r="C1072" t="s">
        <v>74</v>
      </c>
      <c r="E1072" t="str">
        <f>"080067091493"</f>
        <v>080067091493</v>
      </c>
      <c r="F1072" s="3">
        <v>45876</v>
      </c>
      <c r="G1072">
        <v>202605</v>
      </c>
      <c r="H1072" t="s">
        <v>75</v>
      </c>
      <c r="I1072" t="s">
        <v>76</v>
      </c>
      <c r="J1072" t="s">
        <v>77</v>
      </c>
      <c r="K1072" t="s">
        <v>78</v>
      </c>
      <c r="L1072" t="s">
        <v>303</v>
      </c>
      <c r="M1072" t="s">
        <v>304</v>
      </c>
      <c r="N1072" t="s">
        <v>840</v>
      </c>
      <c r="O1072" t="s">
        <v>82</v>
      </c>
      <c r="P1072" t="str">
        <f>"4170053678                    "</f>
        <v xml:space="preserve">4170053678                    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64.92</v>
      </c>
      <c r="AR1072">
        <v>0</v>
      </c>
      <c r="AS1072">
        <v>0</v>
      </c>
      <c r="AT1072">
        <v>0</v>
      </c>
      <c r="AU1072">
        <v>0</v>
      </c>
      <c r="AV1072">
        <v>0</v>
      </c>
      <c r="AW1072">
        <v>0</v>
      </c>
      <c r="AX1072">
        <v>0</v>
      </c>
      <c r="AY1072">
        <v>0</v>
      </c>
      <c r="AZ1072">
        <v>0</v>
      </c>
      <c r="BA1072">
        <v>0</v>
      </c>
      <c r="BB1072">
        <v>0</v>
      </c>
      <c r="BC1072">
        <v>0</v>
      </c>
      <c r="BD1072">
        <v>0</v>
      </c>
      <c r="BE1072">
        <v>0</v>
      </c>
      <c r="BF1072">
        <v>0</v>
      </c>
      <c r="BG1072">
        <v>0</v>
      </c>
      <c r="BH1072">
        <v>1</v>
      </c>
      <c r="BI1072">
        <v>3</v>
      </c>
      <c r="BJ1072">
        <v>2</v>
      </c>
      <c r="BK1072">
        <v>3</v>
      </c>
      <c r="BL1072">
        <v>201.6</v>
      </c>
      <c r="BM1072">
        <v>30.24</v>
      </c>
      <c r="BN1072">
        <v>231.84</v>
      </c>
      <c r="BO1072">
        <v>231.84</v>
      </c>
      <c r="BQ1072" t="s">
        <v>841</v>
      </c>
      <c r="BR1072" t="s">
        <v>84</v>
      </c>
      <c r="BS1072" s="3">
        <v>45877</v>
      </c>
      <c r="BT1072" s="4">
        <v>0.49583333333333335</v>
      </c>
      <c r="BU1072" t="s">
        <v>1491</v>
      </c>
      <c r="BV1072" t="s">
        <v>86</v>
      </c>
      <c r="BY1072">
        <v>9900</v>
      </c>
      <c r="CA1072" t="s">
        <v>308</v>
      </c>
      <c r="CC1072" t="s">
        <v>304</v>
      </c>
      <c r="CD1072">
        <v>7130</v>
      </c>
      <c r="CE1072" t="s">
        <v>147</v>
      </c>
      <c r="CF1072" s="3">
        <v>45880</v>
      </c>
      <c r="CI1072">
        <v>1</v>
      </c>
      <c r="CJ1072">
        <v>1</v>
      </c>
      <c r="CK1072">
        <v>23</v>
      </c>
      <c r="CL1072" t="s">
        <v>90</v>
      </c>
    </row>
    <row r="1073" spans="1:90" x14ac:dyDescent="0.3">
      <c r="A1073" t="s">
        <v>72</v>
      </c>
      <c r="B1073" t="s">
        <v>73</v>
      </c>
      <c r="C1073" t="s">
        <v>74</v>
      </c>
      <c r="E1073" t="str">
        <f>"080067091496"</f>
        <v>080067091496</v>
      </c>
      <c r="F1073" s="3">
        <v>45876</v>
      </c>
      <c r="G1073">
        <v>202605</v>
      </c>
      <c r="H1073" t="s">
        <v>75</v>
      </c>
      <c r="I1073" t="s">
        <v>76</v>
      </c>
      <c r="J1073" t="s">
        <v>77</v>
      </c>
      <c r="K1073" t="s">
        <v>78</v>
      </c>
      <c r="L1073" t="s">
        <v>198</v>
      </c>
      <c r="M1073" t="s">
        <v>199</v>
      </c>
      <c r="N1073" t="s">
        <v>342</v>
      </c>
      <c r="O1073" t="s">
        <v>82</v>
      </c>
      <c r="P1073" t="str">
        <f>"4170053637                    "</f>
        <v xml:space="preserve">4170053637                    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>
        <v>103.82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0</v>
      </c>
      <c r="AX1073">
        <v>0</v>
      </c>
      <c r="AY1073">
        <v>0</v>
      </c>
      <c r="AZ1073">
        <v>0</v>
      </c>
      <c r="BA1073">
        <v>0</v>
      </c>
      <c r="BB1073">
        <v>0</v>
      </c>
      <c r="BC1073">
        <v>0</v>
      </c>
      <c r="BD1073">
        <v>0</v>
      </c>
      <c r="BE1073">
        <v>0</v>
      </c>
      <c r="BF1073">
        <v>0</v>
      </c>
      <c r="BG1073">
        <v>0</v>
      </c>
      <c r="BH1073">
        <v>1</v>
      </c>
      <c r="BI1073">
        <v>5</v>
      </c>
      <c r="BJ1073">
        <v>8.9</v>
      </c>
      <c r="BK1073">
        <v>9</v>
      </c>
      <c r="BL1073">
        <v>322.38</v>
      </c>
      <c r="BM1073">
        <v>48.36</v>
      </c>
      <c r="BN1073">
        <v>370.74</v>
      </c>
      <c r="BO1073">
        <v>370.74</v>
      </c>
      <c r="BQ1073" t="s">
        <v>343</v>
      </c>
      <c r="BR1073" t="s">
        <v>84</v>
      </c>
      <c r="BS1073" s="3">
        <v>45877</v>
      </c>
      <c r="BT1073" s="4">
        <v>0.40138888888888891</v>
      </c>
      <c r="BU1073" t="s">
        <v>344</v>
      </c>
      <c r="BV1073" t="s">
        <v>86</v>
      </c>
      <c r="BY1073">
        <v>44640</v>
      </c>
      <c r="CA1073" t="s">
        <v>1570</v>
      </c>
      <c r="CC1073" t="s">
        <v>199</v>
      </c>
      <c r="CD1073">
        <v>6001</v>
      </c>
      <c r="CE1073" t="s">
        <v>147</v>
      </c>
      <c r="CF1073" s="3">
        <v>45877</v>
      </c>
      <c r="CI1073">
        <v>1</v>
      </c>
      <c r="CJ1073">
        <v>1</v>
      </c>
      <c r="CK1073">
        <v>21</v>
      </c>
      <c r="CL1073" t="s">
        <v>90</v>
      </c>
    </row>
    <row r="1074" spans="1:90" x14ac:dyDescent="0.3">
      <c r="A1074" t="s">
        <v>72</v>
      </c>
      <c r="B1074" t="s">
        <v>73</v>
      </c>
      <c r="C1074" t="s">
        <v>74</v>
      </c>
      <c r="E1074" t="str">
        <f>"080067091517"</f>
        <v>080067091517</v>
      </c>
      <c r="F1074" s="3">
        <v>45876</v>
      </c>
      <c r="G1074">
        <v>202605</v>
      </c>
      <c r="H1074" t="s">
        <v>75</v>
      </c>
      <c r="I1074" t="s">
        <v>76</v>
      </c>
      <c r="J1074" t="s">
        <v>77</v>
      </c>
      <c r="K1074" t="s">
        <v>78</v>
      </c>
      <c r="L1074" t="s">
        <v>303</v>
      </c>
      <c r="M1074" t="s">
        <v>304</v>
      </c>
      <c r="N1074" t="s">
        <v>840</v>
      </c>
      <c r="O1074" t="s">
        <v>82</v>
      </c>
      <c r="P1074" t="str">
        <f>"4170053666                    "</f>
        <v xml:space="preserve">4170053666                    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327.48</v>
      </c>
      <c r="AR1074">
        <v>0</v>
      </c>
      <c r="AS1074">
        <v>0</v>
      </c>
      <c r="AT1074">
        <v>0</v>
      </c>
      <c r="AU1074">
        <v>0</v>
      </c>
      <c r="AV1074">
        <v>0</v>
      </c>
      <c r="AW1074">
        <v>0</v>
      </c>
      <c r="AX1074">
        <v>0</v>
      </c>
      <c r="AY1074">
        <v>0</v>
      </c>
      <c r="AZ1074">
        <v>0</v>
      </c>
      <c r="BA1074">
        <v>0</v>
      </c>
      <c r="BB1074">
        <v>0</v>
      </c>
      <c r="BC1074">
        <v>0</v>
      </c>
      <c r="BD1074">
        <v>0</v>
      </c>
      <c r="BE1074">
        <v>0</v>
      </c>
      <c r="BF1074">
        <v>0</v>
      </c>
      <c r="BG1074">
        <v>0</v>
      </c>
      <c r="BH1074">
        <v>1</v>
      </c>
      <c r="BI1074">
        <v>16</v>
      </c>
      <c r="BJ1074">
        <v>4.3</v>
      </c>
      <c r="BK1074">
        <v>16</v>
      </c>
      <c r="BL1074">
        <v>1016.92</v>
      </c>
      <c r="BM1074">
        <v>152.54</v>
      </c>
      <c r="BN1074">
        <v>1169.46</v>
      </c>
      <c r="BO1074">
        <v>1169.46</v>
      </c>
      <c r="BQ1074" t="s">
        <v>841</v>
      </c>
      <c r="BR1074" t="s">
        <v>84</v>
      </c>
      <c r="BS1074" s="3">
        <v>45877</v>
      </c>
      <c r="BT1074" s="4">
        <v>0.49583333333333335</v>
      </c>
      <c r="BU1074" t="s">
        <v>1491</v>
      </c>
      <c r="BV1074" t="s">
        <v>86</v>
      </c>
      <c r="BY1074">
        <v>21489</v>
      </c>
      <c r="CA1074" t="s">
        <v>308</v>
      </c>
      <c r="CC1074" t="s">
        <v>304</v>
      </c>
      <c r="CD1074">
        <v>7130</v>
      </c>
      <c r="CE1074" t="s">
        <v>147</v>
      </c>
      <c r="CF1074" s="3">
        <v>45880</v>
      </c>
      <c r="CI1074">
        <v>1</v>
      </c>
      <c r="CJ1074">
        <v>1</v>
      </c>
      <c r="CK1074">
        <v>23</v>
      </c>
      <c r="CL1074" t="s">
        <v>90</v>
      </c>
    </row>
    <row r="1075" spans="1:90" x14ac:dyDescent="0.3">
      <c r="A1075" t="s">
        <v>72</v>
      </c>
      <c r="B1075" t="s">
        <v>73</v>
      </c>
      <c r="C1075" t="s">
        <v>74</v>
      </c>
      <c r="E1075" t="str">
        <f>"080067091518"</f>
        <v>080067091518</v>
      </c>
      <c r="F1075" s="3">
        <v>45876</v>
      </c>
      <c r="G1075">
        <v>202605</v>
      </c>
      <c r="H1075" t="s">
        <v>75</v>
      </c>
      <c r="I1075" t="s">
        <v>76</v>
      </c>
      <c r="J1075" t="s">
        <v>77</v>
      </c>
      <c r="K1075" t="s">
        <v>78</v>
      </c>
      <c r="L1075" t="s">
        <v>137</v>
      </c>
      <c r="M1075" t="s">
        <v>138</v>
      </c>
      <c r="N1075" t="s">
        <v>1760</v>
      </c>
      <c r="O1075" t="s">
        <v>82</v>
      </c>
      <c r="P1075" t="str">
        <f>"4170053651                    "</f>
        <v xml:space="preserve">4170053651                    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23.09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0</v>
      </c>
      <c r="AX1075">
        <v>0</v>
      </c>
      <c r="AY1075">
        <v>0</v>
      </c>
      <c r="AZ1075">
        <v>0</v>
      </c>
      <c r="BA1075">
        <v>0</v>
      </c>
      <c r="BB1075">
        <v>0</v>
      </c>
      <c r="BC1075">
        <v>0</v>
      </c>
      <c r="BD1075">
        <v>0</v>
      </c>
      <c r="BE1075">
        <v>0</v>
      </c>
      <c r="BF1075">
        <v>0</v>
      </c>
      <c r="BG1075">
        <v>0</v>
      </c>
      <c r="BH1075">
        <v>1</v>
      </c>
      <c r="BI1075">
        <v>1</v>
      </c>
      <c r="BJ1075">
        <v>0.2</v>
      </c>
      <c r="BK1075">
        <v>1</v>
      </c>
      <c r="BL1075">
        <v>71.69</v>
      </c>
      <c r="BM1075">
        <v>10.75</v>
      </c>
      <c r="BN1075">
        <v>82.44</v>
      </c>
      <c r="BO1075">
        <v>82.44</v>
      </c>
      <c r="BQ1075" t="s">
        <v>1761</v>
      </c>
      <c r="BR1075" t="s">
        <v>84</v>
      </c>
      <c r="BS1075" s="3">
        <v>45877</v>
      </c>
      <c r="BT1075" s="4">
        <v>0.41875000000000001</v>
      </c>
      <c r="BU1075" t="s">
        <v>1819</v>
      </c>
      <c r="BV1075" t="s">
        <v>86</v>
      </c>
      <c r="BY1075">
        <v>1200</v>
      </c>
      <c r="CA1075" t="s">
        <v>953</v>
      </c>
      <c r="CC1075" t="s">
        <v>138</v>
      </c>
      <c r="CD1075">
        <v>3610</v>
      </c>
      <c r="CE1075" t="s">
        <v>109</v>
      </c>
      <c r="CF1075" s="3">
        <v>45877</v>
      </c>
      <c r="CI1075">
        <v>1</v>
      </c>
      <c r="CJ1075">
        <v>1</v>
      </c>
      <c r="CK1075">
        <v>21</v>
      </c>
      <c r="CL1075" t="s">
        <v>90</v>
      </c>
    </row>
    <row r="1076" spans="1:90" x14ac:dyDescent="0.3">
      <c r="A1076" t="s">
        <v>72</v>
      </c>
      <c r="B1076" t="s">
        <v>73</v>
      </c>
      <c r="C1076" t="s">
        <v>74</v>
      </c>
      <c r="E1076" t="str">
        <f>"080067091857"</f>
        <v>080067091857</v>
      </c>
      <c r="F1076" s="3">
        <v>45876</v>
      </c>
      <c r="G1076">
        <v>202605</v>
      </c>
      <c r="H1076" t="s">
        <v>75</v>
      </c>
      <c r="I1076" t="s">
        <v>76</v>
      </c>
      <c r="J1076" t="s">
        <v>77</v>
      </c>
      <c r="K1076" t="s">
        <v>78</v>
      </c>
      <c r="L1076" t="s">
        <v>335</v>
      </c>
      <c r="M1076" t="s">
        <v>336</v>
      </c>
      <c r="N1076" t="s">
        <v>1843</v>
      </c>
      <c r="O1076" t="s">
        <v>82</v>
      </c>
      <c r="P1076" t="str">
        <f>"4170053657                    "</f>
        <v xml:space="preserve">4170053657                    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44.73</v>
      </c>
      <c r="AR1076">
        <v>0</v>
      </c>
      <c r="AS1076">
        <v>0</v>
      </c>
      <c r="AT1076">
        <v>0</v>
      </c>
      <c r="AU1076">
        <v>0</v>
      </c>
      <c r="AV1076">
        <v>0</v>
      </c>
      <c r="AW1076">
        <v>0</v>
      </c>
      <c r="AX1076">
        <v>0</v>
      </c>
      <c r="AY1076">
        <v>0</v>
      </c>
      <c r="AZ1076">
        <v>0</v>
      </c>
      <c r="BA1076">
        <v>0</v>
      </c>
      <c r="BB1076">
        <v>0</v>
      </c>
      <c r="BC1076">
        <v>0</v>
      </c>
      <c r="BD1076">
        <v>0</v>
      </c>
      <c r="BE1076">
        <v>0</v>
      </c>
      <c r="BF1076">
        <v>0</v>
      </c>
      <c r="BG1076">
        <v>0</v>
      </c>
      <c r="BH1076">
        <v>1</v>
      </c>
      <c r="BI1076">
        <v>1</v>
      </c>
      <c r="BJ1076">
        <v>1.3</v>
      </c>
      <c r="BK1076">
        <v>1.5</v>
      </c>
      <c r="BL1076">
        <v>138.88999999999999</v>
      </c>
      <c r="BM1076">
        <v>20.83</v>
      </c>
      <c r="BN1076">
        <v>159.72</v>
      </c>
      <c r="BO1076">
        <v>159.72</v>
      </c>
      <c r="BQ1076" t="s">
        <v>1844</v>
      </c>
      <c r="BR1076" t="s">
        <v>84</v>
      </c>
      <c r="BS1076" s="3">
        <v>45877</v>
      </c>
      <c r="BT1076" s="4">
        <v>0.42083333333333334</v>
      </c>
      <c r="BU1076" t="s">
        <v>1845</v>
      </c>
      <c r="BV1076" t="s">
        <v>86</v>
      </c>
      <c r="BY1076">
        <v>6384</v>
      </c>
      <c r="CA1076" t="s">
        <v>730</v>
      </c>
      <c r="CC1076" t="s">
        <v>336</v>
      </c>
      <c r="CD1076" s="5" t="s">
        <v>341</v>
      </c>
      <c r="CE1076" t="s">
        <v>147</v>
      </c>
      <c r="CF1076" s="3">
        <v>45880</v>
      </c>
      <c r="CI1076">
        <v>1</v>
      </c>
      <c r="CJ1076">
        <v>1</v>
      </c>
      <c r="CK1076">
        <v>23</v>
      </c>
      <c r="CL1076" t="s">
        <v>90</v>
      </c>
    </row>
    <row r="1077" spans="1:90" x14ac:dyDescent="0.3">
      <c r="A1077" t="s">
        <v>72</v>
      </c>
      <c r="B1077" t="s">
        <v>73</v>
      </c>
      <c r="C1077" t="s">
        <v>74</v>
      </c>
      <c r="E1077" t="str">
        <f>"080067091963"</f>
        <v>080067091963</v>
      </c>
      <c r="F1077" s="3">
        <v>45876</v>
      </c>
      <c r="G1077">
        <v>202605</v>
      </c>
      <c r="H1077" t="s">
        <v>75</v>
      </c>
      <c r="I1077" t="s">
        <v>76</v>
      </c>
      <c r="J1077" t="s">
        <v>77</v>
      </c>
      <c r="K1077" t="s">
        <v>78</v>
      </c>
      <c r="L1077" t="s">
        <v>162</v>
      </c>
      <c r="M1077" t="s">
        <v>163</v>
      </c>
      <c r="N1077" t="s">
        <v>246</v>
      </c>
      <c r="O1077" t="s">
        <v>82</v>
      </c>
      <c r="P1077" t="str">
        <f>"4170053663                    "</f>
        <v xml:space="preserve">4170053663                    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109.58</v>
      </c>
      <c r="AR1077">
        <v>0</v>
      </c>
      <c r="AS1077">
        <v>0</v>
      </c>
      <c r="AT1077">
        <v>0</v>
      </c>
      <c r="AU1077">
        <v>0</v>
      </c>
      <c r="AV1077">
        <v>0</v>
      </c>
      <c r="AW1077">
        <v>0</v>
      </c>
      <c r="AX1077">
        <v>0</v>
      </c>
      <c r="AY1077">
        <v>0</v>
      </c>
      <c r="AZ1077">
        <v>0</v>
      </c>
      <c r="BA1077">
        <v>0</v>
      </c>
      <c r="BB1077">
        <v>0</v>
      </c>
      <c r="BC1077">
        <v>0</v>
      </c>
      <c r="BD1077">
        <v>0</v>
      </c>
      <c r="BE1077">
        <v>0</v>
      </c>
      <c r="BF1077">
        <v>0</v>
      </c>
      <c r="BG1077">
        <v>0</v>
      </c>
      <c r="BH1077">
        <v>2</v>
      </c>
      <c r="BI1077">
        <v>9</v>
      </c>
      <c r="BJ1077">
        <v>9.1999999999999993</v>
      </c>
      <c r="BK1077">
        <v>9.5</v>
      </c>
      <c r="BL1077">
        <v>340.28</v>
      </c>
      <c r="BM1077">
        <v>51.04</v>
      </c>
      <c r="BN1077">
        <v>391.32</v>
      </c>
      <c r="BO1077">
        <v>391.32</v>
      </c>
      <c r="BQ1077" t="s">
        <v>247</v>
      </c>
      <c r="BR1077" t="s">
        <v>84</v>
      </c>
      <c r="BS1077" s="3">
        <v>45877</v>
      </c>
      <c r="BT1077" s="4">
        <v>0.41666666666666669</v>
      </c>
      <c r="BU1077" t="s">
        <v>1846</v>
      </c>
      <c r="BV1077" t="s">
        <v>86</v>
      </c>
      <c r="BY1077">
        <v>45835</v>
      </c>
      <c r="CC1077" t="s">
        <v>163</v>
      </c>
      <c r="CD1077">
        <v>3201</v>
      </c>
      <c r="CE1077" t="s">
        <v>147</v>
      </c>
      <c r="CF1077" s="3">
        <v>45880</v>
      </c>
      <c r="CI1077">
        <v>1</v>
      </c>
      <c r="CJ1077">
        <v>1</v>
      </c>
      <c r="CK1077">
        <v>21</v>
      </c>
      <c r="CL1077" t="s">
        <v>90</v>
      </c>
    </row>
    <row r="1078" spans="1:90" x14ac:dyDescent="0.3">
      <c r="A1078" t="s">
        <v>72</v>
      </c>
      <c r="B1078" t="s">
        <v>73</v>
      </c>
      <c r="C1078" t="s">
        <v>74</v>
      </c>
      <c r="E1078" t="str">
        <f>"080067092192"</f>
        <v>080067092192</v>
      </c>
      <c r="F1078" s="3">
        <v>45876</v>
      </c>
      <c r="G1078">
        <v>202605</v>
      </c>
      <c r="H1078" t="s">
        <v>75</v>
      </c>
      <c r="I1078" t="s">
        <v>76</v>
      </c>
      <c r="J1078" t="s">
        <v>77</v>
      </c>
      <c r="K1078" t="s">
        <v>78</v>
      </c>
      <c r="L1078" t="s">
        <v>325</v>
      </c>
      <c r="M1078" t="s">
        <v>326</v>
      </c>
      <c r="N1078" t="s">
        <v>997</v>
      </c>
      <c r="O1078" t="s">
        <v>95</v>
      </c>
      <c r="P1078" t="str">
        <f>"4170053633                    "</f>
        <v xml:space="preserve">4170053633                    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40.49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>
        <v>0</v>
      </c>
      <c r="AY1078">
        <v>0</v>
      </c>
      <c r="AZ1078">
        <v>0</v>
      </c>
      <c r="BA1078">
        <v>0</v>
      </c>
      <c r="BB1078">
        <v>0</v>
      </c>
      <c r="BC1078">
        <v>0</v>
      </c>
      <c r="BD1078">
        <v>0</v>
      </c>
      <c r="BE1078">
        <v>0</v>
      </c>
      <c r="BF1078">
        <v>0</v>
      </c>
      <c r="BG1078">
        <v>0</v>
      </c>
      <c r="BH1078">
        <v>1</v>
      </c>
      <c r="BI1078">
        <v>21</v>
      </c>
      <c r="BJ1078">
        <v>12.6</v>
      </c>
      <c r="BK1078">
        <v>21</v>
      </c>
      <c r="BL1078">
        <v>131.6</v>
      </c>
      <c r="BM1078">
        <v>19.739999999999998</v>
      </c>
      <c r="BN1078">
        <v>151.34</v>
      </c>
      <c r="BO1078">
        <v>151.34</v>
      </c>
      <c r="BQ1078" t="s">
        <v>998</v>
      </c>
      <c r="BR1078" t="s">
        <v>84</v>
      </c>
      <c r="BS1078" s="3">
        <v>45877</v>
      </c>
      <c r="BT1078" s="4">
        <v>0.41666666666666669</v>
      </c>
      <c r="BU1078" t="s">
        <v>1511</v>
      </c>
      <c r="BV1078" t="s">
        <v>86</v>
      </c>
      <c r="BY1078">
        <v>63180</v>
      </c>
      <c r="CC1078" t="s">
        <v>326</v>
      </c>
      <c r="CD1078">
        <v>2049</v>
      </c>
      <c r="CE1078" t="s">
        <v>1304</v>
      </c>
      <c r="CF1078" s="3">
        <v>45877</v>
      </c>
      <c r="CI1078">
        <v>1</v>
      </c>
      <c r="CJ1078">
        <v>1</v>
      </c>
      <c r="CK1078">
        <v>42</v>
      </c>
      <c r="CL1078" t="s">
        <v>90</v>
      </c>
    </row>
    <row r="1079" spans="1:90" x14ac:dyDescent="0.3">
      <c r="A1079" t="s">
        <v>72</v>
      </c>
      <c r="B1079" t="s">
        <v>73</v>
      </c>
      <c r="C1079" t="s">
        <v>74</v>
      </c>
      <c r="E1079" t="str">
        <f>"080067059196"</f>
        <v>080067059196</v>
      </c>
      <c r="F1079" s="3">
        <v>45875</v>
      </c>
      <c r="G1079">
        <v>202605</v>
      </c>
      <c r="H1079" t="s">
        <v>75</v>
      </c>
      <c r="I1079" t="s">
        <v>76</v>
      </c>
      <c r="J1079" t="s">
        <v>77</v>
      </c>
      <c r="K1079" t="s">
        <v>78</v>
      </c>
      <c r="L1079" t="s">
        <v>217</v>
      </c>
      <c r="M1079" t="s">
        <v>218</v>
      </c>
      <c r="N1079" t="s">
        <v>1847</v>
      </c>
      <c r="O1079" t="s">
        <v>82</v>
      </c>
      <c r="P1079" t="str">
        <f>"4170053126                    "</f>
        <v xml:space="preserve">4170053126                    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57.68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0</v>
      </c>
      <c r="AX1079">
        <v>0</v>
      </c>
      <c r="AY1079">
        <v>0</v>
      </c>
      <c r="AZ1079">
        <v>0</v>
      </c>
      <c r="BA1079">
        <v>0</v>
      </c>
      <c r="BB1079">
        <v>0</v>
      </c>
      <c r="BC1079">
        <v>0</v>
      </c>
      <c r="BD1079">
        <v>0</v>
      </c>
      <c r="BE1079">
        <v>0</v>
      </c>
      <c r="BF1079">
        <v>0</v>
      </c>
      <c r="BG1079">
        <v>0</v>
      </c>
      <c r="BH1079">
        <v>1</v>
      </c>
      <c r="BI1079">
        <v>2</v>
      </c>
      <c r="BJ1079">
        <v>4.8</v>
      </c>
      <c r="BK1079">
        <v>5</v>
      </c>
      <c r="BL1079">
        <v>179.12</v>
      </c>
      <c r="BM1079">
        <v>26.87</v>
      </c>
      <c r="BN1079">
        <v>205.99</v>
      </c>
      <c r="BO1079">
        <v>205.99</v>
      </c>
      <c r="BQ1079" t="s">
        <v>1848</v>
      </c>
      <c r="BR1079" t="s">
        <v>84</v>
      </c>
      <c r="BS1079" s="3">
        <v>45881</v>
      </c>
      <c r="BT1079" s="4">
        <v>0.41736111111111113</v>
      </c>
      <c r="BU1079" t="s">
        <v>1849</v>
      </c>
      <c r="BV1079" t="s">
        <v>90</v>
      </c>
      <c r="BW1079" t="s">
        <v>134</v>
      </c>
      <c r="BX1079" t="s">
        <v>641</v>
      </c>
      <c r="BY1079">
        <v>23751</v>
      </c>
      <c r="CA1079" t="s">
        <v>1850</v>
      </c>
      <c r="CC1079" t="s">
        <v>218</v>
      </c>
      <c r="CD1079">
        <v>4064</v>
      </c>
      <c r="CE1079" t="s">
        <v>178</v>
      </c>
      <c r="CF1079" s="3">
        <v>45881</v>
      </c>
      <c r="CI1079">
        <v>1</v>
      </c>
      <c r="CJ1079">
        <v>4</v>
      </c>
      <c r="CK1079">
        <v>21</v>
      </c>
      <c r="CL1079" t="s">
        <v>90</v>
      </c>
    </row>
    <row r="1080" spans="1:90" x14ac:dyDescent="0.3">
      <c r="A1080" t="s">
        <v>72</v>
      </c>
      <c r="B1080" t="s">
        <v>73</v>
      </c>
      <c r="C1080" t="s">
        <v>74</v>
      </c>
      <c r="E1080" t="str">
        <f>"080011589132"</f>
        <v>080011589132</v>
      </c>
      <c r="F1080" s="3">
        <v>45876</v>
      </c>
      <c r="G1080">
        <v>202605</v>
      </c>
      <c r="H1080" t="s">
        <v>198</v>
      </c>
      <c r="I1080" t="s">
        <v>199</v>
      </c>
      <c r="J1080" t="s">
        <v>1851</v>
      </c>
      <c r="K1080" t="s">
        <v>78</v>
      </c>
      <c r="L1080" t="s">
        <v>75</v>
      </c>
      <c r="M1080" t="s">
        <v>76</v>
      </c>
      <c r="N1080" t="s">
        <v>94</v>
      </c>
      <c r="O1080" t="s">
        <v>82</v>
      </c>
      <c r="P1080" t="str">
        <f>"ZA1001400695                  "</f>
        <v xml:space="preserve">ZA1001400695                  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23.09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0</v>
      </c>
      <c r="BD1080">
        <v>0</v>
      </c>
      <c r="BE1080">
        <v>0</v>
      </c>
      <c r="BF1080">
        <v>0</v>
      </c>
      <c r="BG1080">
        <v>0</v>
      </c>
      <c r="BH1080">
        <v>1</v>
      </c>
      <c r="BI1080">
        <v>1</v>
      </c>
      <c r="BJ1080">
        <v>0.1</v>
      </c>
      <c r="BK1080">
        <v>1</v>
      </c>
      <c r="BL1080">
        <v>71.69</v>
      </c>
      <c r="BM1080">
        <v>10.75</v>
      </c>
      <c r="BN1080">
        <v>82.44</v>
      </c>
      <c r="BO1080">
        <v>82.44</v>
      </c>
      <c r="BP1080" t="s">
        <v>96</v>
      </c>
      <c r="BQ1080" t="s">
        <v>97</v>
      </c>
      <c r="BR1080" t="s">
        <v>1852</v>
      </c>
      <c r="BS1080" s="3">
        <v>45880</v>
      </c>
      <c r="BT1080" s="4">
        <v>0.34097222222222223</v>
      </c>
      <c r="BU1080" t="s">
        <v>245</v>
      </c>
      <c r="BV1080" t="s">
        <v>90</v>
      </c>
      <c r="BW1080" t="s">
        <v>380</v>
      </c>
      <c r="BX1080" t="s">
        <v>1742</v>
      </c>
      <c r="BY1080">
        <v>600</v>
      </c>
      <c r="BZ1080" t="s">
        <v>330</v>
      </c>
      <c r="CA1080" t="s">
        <v>1743</v>
      </c>
      <c r="CC1080" t="s">
        <v>76</v>
      </c>
      <c r="CD1080">
        <v>1619</v>
      </c>
      <c r="CE1080" t="s">
        <v>102</v>
      </c>
      <c r="CF1080" s="3">
        <v>45880</v>
      </c>
      <c r="CI1080">
        <v>1</v>
      </c>
      <c r="CJ1080">
        <v>2</v>
      </c>
      <c r="CK1080">
        <v>21</v>
      </c>
      <c r="CL1080" t="s">
        <v>90</v>
      </c>
    </row>
    <row r="1081" spans="1:90" x14ac:dyDescent="0.3">
      <c r="A1081" t="s">
        <v>72</v>
      </c>
      <c r="B1081" t="s">
        <v>73</v>
      </c>
      <c r="C1081" t="s">
        <v>74</v>
      </c>
      <c r="E1081" t="str">
        <f>"080067091593"</f>
        <v>080067091593</v>
      </c>
      <c r="F1081" s="3">
        <v>45876</v>
      </c>
      <c r="G1081">
        <v>202605</v>
      </c>
      <c r="H1081" t="s">
        <v>75</v>
      </c>
      <c r="I1081" t="s">
        <v>76</v>
      </c>
      <c r="J1081" t="s">
        <v>77</v>
      </c>
      <c r="K1081" t="s">
        <v>78</v>
      </c>
      <c r="L1081" t="s">
        <v>198</v>
      </c>
      <c r="M1081" t="s">
        <v>199</v>
      </c>
      <c r="N1081" t="s">
        <v>598</v>
      </c>
      <c r="O1081" t="s">
        <v>82</v>
      </c>
      <c r="P1081" t="str">
        <f>"4170053673                    "</f>
        <v xml:space="preserve">4170053673                    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80.75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>
        <v>0</v>
      </c>
      <c r="AY1081">
        <v>0</v>
      </c>
      <c r="AZ1081">
        <v>0</v>
      </c>
      <c r="BA1081">
        <v>0</v>
      </c>
      <c r="BB1081">
        <v>0</v>
      </c>
      <c r="BC1081">
        <v>0</v>
      </c>
      <c r="BD1081">
        <v>0</v>
      </c>
      <c r="BE1081">
        <v>0</v>
      </c>
      <c r="BF1081">
        <v>0</v>
      </c>
      <c r="BG1081">
        <v>0</v>
      </c>
      <c r="BH1081">
        <v>1</v>
      </c>
      <c r="BI1081">
        <v>4</v>
      </c>
      <c r="BJ1081">
        <v>6.8</v>
      </c>
      <c r="BK1081">
        <v>7</v>
      </c>
      <c r="BL1081">
        <v>250.75</v>
      </c>
      <c r="BM1081">
        <v>37.61</v>
      </c>
      <c r="BN1081">
        <v>288.36</v>
      </c>
      <c r="BO1081">
        <v>288.36</v>
      </c>
      <c r="BQ1081" t="s">
        <v>599</v>
      </c>
      <c r="BR1081" t="s">
        <v>84</v>
      </c>
      <c r="BS1081" s="3">
        <v>45877</v>
      </c>
      <c r="BT1081" s="4">
        <v>0.4</v>
      </c>
      <c r="BU1081" t="s">
        <v>1757</v>
      </c>
      <c r="BV1081" t="s">
        <v>86</v>
      </c>
      <c r="BY1081">
        <v>33880</v>
      </c>
      <c r="CA1081" t="s">
        <v>601</v>
      </c>
      <c r="CC1081" t="s">
        <v>199</v>
      </c>
      <c r="CD1081">
        <v>6001</v>
      </c>
      <c r="CE1081" t="s">
        <v>178</v>
      </c>
      <c r="CF1081" s="3">
        <v>45880</v>
      </c>
      <c r="CI1081">
        <v>1</v>
      </c>
      <c r="CJ1081">
        <v>1</v>
      </c>
      <c r="CK1081">
        <v>21</v>
      </c>
      <c r="CL1081" t="s">
        <v>90</v>
      </c>
    </row>
    <row r="1082" spans="1:90" x14ac:dyDescent="0.3">
      <c r="A1082" t="s">
        <v>72</v>
      </c>
      <c r="B1082" t="s">
        <v>73</v>
      </c>
      <c r="C1082" t="s">
        <v>74</v>
      </c>
      <c r="E1082" t="str">
        <f>"080067091623"</f>
        <v>080067091623</v>
      </c>
      <c r="F1082" s="3">
        <v>45876</v>
      </c>
      <c r="G1082">
        <v>202605</v>
      </c>
      <c r="H1082" t="s">
        <v>75</v>
      </c>
      <c r="I1082" t="s">
        <v>76</v>
      </c>
      <c r="J1082" t="s">
        <v>77</v>
      </c>
      <c r="K1082" t="s">
        <v>78</v>
      </c>
      <c r="L1082" t="s">
        <v>1853</v>
      </c>
      <c r="M1082" t="s">
        <v>1854</v>
      </c>
      <c r="N1082" t="s">
        <v>1855</v>
      </c>
      <c r="O1082" t="s">
        <v>82</v>
      </c>
      <c r="P1082" t="str">
        <f>"4170053683                    "</f>
        <v xml:space="preserve">4170053683                    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44.73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0</v>
      </c>
      <c r="BB1082">
        <v>0</v>
      </c>
      <c r="BC1082">
        <v>0</v>
      </c>
      <c r="BD1082">
        <v>0</v>
      </c>
      <c r="BE1082">
        <v>0</v>
      </c>
      <c r="BF1082">
        <v>0</v>
      </c>
      <c r="BG1082">
        <v>0</v>
      </c>
      <c r="BH1082">
        <v>1</v>
      </c>
      <c r="BI1082">
        <v>1</v>
      </c>
      <c r="BJ1082">
        <v>0.2</v>
      </c>
      <c r="BK1082">
        <v>1</v>
      </c>
      <c r="BL1082">
        <v>138.88999999999999</v>
      </c>
      <c r="BM1082">
        <v>20.83</v>
      </c>
      <c r="BN1082">
        <v>159.72</v>
      </c>
      <c r="BO1082">
        <v>159.72</v>
      </c>
      <c r="BQ1082" t="s">
        <v>1856</v>
      </c>
      <c r="BR1082" t="s">
        <v>84</v>
      </c>
      <c r="BS1082" s="3">
        <v>45877</v>
      </c>
      <c r="BT1082" s="4">
        <v>0.42152777777777778</v>
      </c>
      <c r="BU1082" t="s">
        <v>1857</v>
      </c>
      <c r="BV1082" t="s">
        <v>86</v>
      </c>
      <c r="BY1082">
        <v>1200</v>
      </c>
      <c r="CA1082" t="s">
        <v>1349</v>
      </c>
      <c r="CC1082" t="s">
        <v>1854</v>
      </c>
      <c r="CD1082">
        <v>7110</v>
      </c>
      <c r="CE1082" t="s">
        <v>178</v>
      </c>
      <c r="CF1082" s="3">
        <v>45880</v>
      </c>
      <c r="CI1082">
        <v>1</v>
      </c>
      <c r="CJ1082">
        <v>1</v>
      </c>
      <c r="CK1082">
        <v>23</v>
      </c>
      <c r="CL1082" t="s">
        <v>90</v>
      </c>
    </row>
    <row r="1083" spans="1:90" x14ac:dyDescent="0.3">
      <c r="A1083" t="s">
        <v>72</v>
      </c>
      <c r="B1083" t="s">
        <v>73</v>
      </c>
      <c r="C1083" t="s">
        <v>74</v>
      </c>
      <c r="E1083" t="str">
        <f>"080067091691"</f>
        <v>080067091691</v>
      </c>
      <c r="F1083" s="3">
        <v>45876</v>
      </c>
      <c r="G1083">
        <v>202605</v>
      </c>
      <c r="H1083" t="s">
        <v>75</v>
      </c>
      <c r="I1083" t="s">
        <v>76</v>
      </c>
      <c r="J1083" t="s">
        <v>77</v>
      </c>
      <c r="K1083" t="s">
        <v>78</v>
      </c>
      <c r="L1083" t="s">
        <v>452</v>
      </c>
      <c r="M1083" t="s">
        <v>453</v>
      </c>
      <c r="N1083" t="s">
        <v>454</v>
      </c>
      <c r="O1083" t="s">
        <v>82</v>
      </c>
      <c r="P1083" t="str">
        <f>"4170052963                    "</f>
        <v xml:space="preserve">4170052963                    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44.73</v>
      </c>
      <c r="AR1083">
        <v>0</v>
      </c>
      <c r="AS1083">
        <v>0</v>
      </c>
      <c r="AT1083">
        <v>0</v>
      </c>
      <c r="AU1083">
        <v>0</v>
      </c>
      <c r="AV1083">
        <v>0</v>
      </c>
      <c r="AW1083">
        <v>0</v>
      </c>
      <c r="AX1083">
        <v>0</v>
      </c>
      <c r="AY1083">
        <v>0</v>
      </c>
      <c r="AZ1083">
        <v>0</v>
      </c>
      <c r="BA1083">
        <v>0</v>
      </c>
      <c r="BB1083">
        <v>0</v>
      </c>
      <c r="BC1083">
        <v>0</v>
      </c>
      <c r="BD1083">
        <v>0</v>
      </c>
      <c r="BE1083">
        <v>0</v>
      </c>
      <c r="BF1083">
        <v>0</v>
      </c>
      <c r="BG1083">
        <v>0</v>
      </c>
      <c r="BH1083">
        <v>1</v>
      </c>
      <c r="BI1083">
        <v>1</v>
      </c>
      <c r="BJ1083">
        <v>0.9</v>
      </c>
      <c r="BK1083">
        <v>1</v>
      </c>
      <c r="BL1083">
        <v>138.88999999999999</v>
      </c>
      <c r="BM1083">
        <v>20.83</v>
      </c>
      <c r="BN1083">
        <v>159.72</v>
      </c>
      <c r="BO1083">
        <v>159.72</v>
      </c>
      <c r="BQ1083" t="s">
        <v>455</v>
      </c>
      <c r="BR1083" t="s">
        <v>84</v>
      </c>
      <c r="BS1083" s="3">
        <v>45877</v>
      </c>
      <c r="BT1083" s="4">
        <v>0.33680555555555558</v>
      </c>
      <c r="BU1083" t="s">
        <v>483</v>
      </c>
      <c r="BV1083" t="s">
        <v>86</v>
      </c>
      <c r="BY1083">
        <v>4560</v>
      </c>
      <c r="CA1083" t="s">
        <v>1093</v>
      </c>
      <c r="CC1083" t="s">
        <v>453</v>
      </c>
      <c r="CD1083">
        <v>1947</v>
      </c>
      <c r="CE1083" t="s">
        <v>178</v>
      </c>
      <c r="CF1083" s="3">
        <v>45877</v>
      </c>
      <c r="CI1083">
        <v>1</v>
      </c>
      <c r="CJ1083">
        <v>1</v>
      </c>
      <c r="CK1083">
        <v>23</v>
      </c>
      <c r="CL1083" t="s">
        <v>90</v>
      </c>
    </row>
    <row r="1084" spans="1:90" x14ac:dyDescent="0.3">
      <c r="A1084" t="s">
        <v>72</v>
      </c>
      <c r="B1084" t="s">
        <v>73</v>
      </c>
      <c r="C1084" t="s">
        <v>74</v>
      </c>
      <c r="E1084" t="str">
        <f>"080067091897"</f>
        <v>080067091897</v>
      </c>
      <c r="F1084" s="3">
        <v>45876</v>
      </c>
      <c r="G1084">
        <v>202605</v>
      </c>
      <c r="H1084" t="s">
        <v>75</v>
      </c>
      <c r="I1084" t="s">
        <v>76</v>
      </c>
      <c r="J1084" t="s">
        <v>77</v>
      </c>
      <c r="K1084" t="s">
        <v>78</v>
      </c>
      <c r="L1084" t="s">
        <v>198</v>
      </c>
      <c r="M1084" t="s">
        <v>199</v>
      </c>
      <c r="N1084" t="s">
        <v>1858</v>
      </c>
      <c r="O1084" t="s">
        <v>95</v>
      </c>
      <c r="P1084" t="str">
        <f>"4170053682                    "</f>
        <v xml:space="preserve">4170053682                    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87.03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</v>
      </c>
      <c r="AX1084">
        <v>0</v>
      </c>
      <c r="AY1084">
        <v>0</v>
      </c>
      <c r="AZ1084">
        <v>0</v>
      </c>
      <c r="BA1084">
        <v>0</v>
      </c>
      <c r="BB1084">
        <v>0</v>
      </c>
      <c r="BC1084">
        <v>0</v>
      </c>
      <c r="BD1084">
        <v>0</v>
      </c>
      <c r="BE1084">
        <v>0</v>
      </c>
      <c r="BF1084">
        <v>0</v>
      </c>
      <c r="BG1084">
        <v>0</v>
      </c>
      <c r="BH1084">
        <v>2</v>
      </c>
      <c r="BI1084">
        <v>38</v>
      </c>
      <c r="BJ1084">
        <v>18.3</v>
      </c>
      <c r="BK1084">
        <v>38</v>
      </c>
      <c r="BL1084">
        <v>276.12</v>
      </c>
      <c r="BM1084">
        <v>41.42</v>
      </c>
      <c r="BN1084">
        <v>317.54000000000002</v>
      </c>
      <c r="BO1084">
        <v>317.54000000000002</v>
      </c>
      <c r="BQ1084" t="s">
        <v>1859</v>
      </c>
      <c r="BR1084" t="s">
        <v>84</v>
      </c>
      <c r="BS1084" s="3">
        <v>45880</v>
      </c>
      <c r="BT1084" s="4">
        <v>0.65416666666666667</v>
      </c>
      <c r="BU1084" t="s">
        <v>1860</v>
      </c>
      <c r="BV1084" t="s">
        <v>86</v>
      </c>
      <c r="BY1084">
        <v>91264</v>
      </c>
      <c r="CA1084" t="s">
        <v>1861</v>
      </c>
      <c r="CC1084" t="s">
        <v>199</v>
      </c>
      <c r="CD1084">
        <v>6055</v>
      </c>
      <c r="CE1084" t="s">
        <v>178</v>
      </c>
      <c r="CF1084" s="3">
        <v>45880</v>
      </c>
      <c r="CI1084">
        <v>3</v>
      </c>
      <c r="CJ1084">
        <v>2</v>
      </c>
      <c r="CK1084">
        <v>41</v>
      </c>
      <c r="CL1084" t="s">
        <v>90</v>
      </c>
    </row>
    <row r="1085" spans="1:90" x14ac:dyDescent="0.3">
      <c r="A1085" t="s">
        <v>72</v>
      </c>
      <c r="B1085" t="s">
        <v>73</v>
      </c>
      <c r="C1085" t="s">
        <v>74</v>
      </c>
      <c r="E1085" t="str">
        <f>"080067091900"</f>
        <v>080067091900</v>
      </c>
      <c r="F1085" s="3">
        <v>45876</v>
      </c>
      <c r="G1085">
        <v>202605</v>
      </c>
      <c r="H1085" t="s">
        <v>75</v>
      </c>
      <c r="I1085" t="s">
        <v>76</v>
      </c>
      <c r="J1085" t="s">
        <v>77</v>
      </c>
      <c r="K1085" t="s">
        <v>78</v>
      </c>
      <c r="L1085" t="s">
        <v>110</v>
      </c>
      <c r="M1085" t="s">
        <v>111</v>
      </c>
      <c r="N1085" t="s">
        <v>309</v>
      </c>
      <c r="O1085" t="s">
        <v>82</v>
      </c>
      <c r="P1085" t="str">
        <f>"4170053677                    "</f>
        <v xml:space="preserve">4170053677                    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>
        <v>18.03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>
        <v>0</v>
      </c>
      <c r="AY1085">
        <v>0</v>
      </c>
      <c r="AZ1085">
        <v>0</v>
      </c>
      <c r="BA1085">
        <v>0</v>
      </c>
      <c r="BB1085">
        <v>0</v>
      </c>
      <c r="BC1085">
        <v>0</v>
      </c>
      <c r="BD1085">
        <v>0</v>
      </c>
      <c r="BE1085">
        <v>0</v>
      </c>
      <c r="BF1085">
        <v>0</v>
      </c>
      <c r="BG1085">
        <v>0</v>
      </c>
      <c r="BH1085">
        <v>1</v>
      </c>
      <c r="BI1085">
        <v>1</v>
      </c>
      <c r="BJ1085">
        <v>0.2</v>
      </c>
      <c r="BK1085">
        <v>1</v>
      </c>
      <c r="BL1085">
        <v>55.99</v>
      </c>
      <c r="BM1085">
        <v>8.4</v>
      </c>
      <c r="BN1085">
        <v>64.39</v>
      </c>
      <c r="BO1085">
        <v>64.39</v>
      </c>
      <c r="BQ1085" t="s">
        <v>310</v>
      </c>
      <c r="BR1085" t="s">
        <v>84</v>
      </c>
      <c r="BS1085" s="3">
        <v>45877</v>
      </c>
      <c r="BT1085" s="4">
        <v>0.39791666666666664</v>
      </c>
      <c r="BU1085" t="s">
        <v>954</v>
      </c>
      <c r="BV1085" t="s">
        <v>86</v>
      </c>
      <c r="BY1085">
        <v>1200</v>
      </c>
      <c r="CA1085" t="s">
        <v>312</v>
      </c>
      <c r="CC1085" t="s">
        <v>111</v>
      </c>
      <c r="CD1085">
        <v>2163</v>
      </c>
      <c r="CE1085" t="s">
        <v>178</v>
      </c>
      <c r="CF1085" s="3">
        <v>45877</v>
      </c>
      <c r="CI1085">
        <v>1</v>
      </c>
      <c r="CJ1085">
        <v>1</v>
      </c>
      <c r="CK1085">
        <v>22</v>
      </c>
      <c r="CL1085" t="s">
        <v>90</v>
      </c>
    </row>
    <row r="1086" spans="1:90" x14ac:dyDescent="0.3">
      <c r="A1086" t="s">
        <v>72</v>
      </c>
      <c r="B1086" t="s">
        <v>73</v>
      </c>
      <c r="C1086" t="s">
        <v>74</v>
      </c>
      <c r="E1086" t="str">
        <f>"080067091935"</f>
        <v>080067091935</v>
      </c>
      <c r="F1086" s="3">
        <v>45876</v>
      </c>
      <c r="G1086">
        <v>202605</v>
      </c>
      <c r="H1086" t="s">
        <v>75</v>
      </c>
      <c r="I1086" t="s">
        <v>76</v>
      </c>
      <c r="J1086" t="s">
        <v>77</v>
      </c>
      <c r="K1086" t="s">
        <v>78</v>
      </c>
      <c r="L1086" t="s">
        <v>198</v>
      </c>
      <c r="M1086" t="s">
        <v>199</v>
      </c>
      <c r="N1086" t="s">
        <v>1862</v>
      </c>
      <c r="O1086" t="s">
        <v>82</v>
      </c>
      <c r="P1086" t="str">
        <f>"4170053679                    "</f>
        <v xml:space="preserve">4170053679                    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23.09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16.739999999999998</v>
      </c>
      <c r="AX1086">
        <v>0</v>
      </c>
      <c r="AY1086">
        <v>0</v>
      </c>
      <c r="AZ1086">
        <v>0</v>
      </c>
      <c r="BA1086">
        <v>0</v>
      </c>
      <c r="BB1086">
        <v>0</v>
      </c>
      <c r="BC1086">
        <v>0</v>
      </c>
      <c r="BD1086">
        <v>0</v>
      </c>
      <c r="BE1086">
        <v>0</v>
      </c>
      <c r="BF1086">
        <v>0</v>
      </c>
      <c r="BG1086">
        <v>0</v>
      </c>
      <c r="BH1086">
        <v>1</v>
      </c>
      <c r="BI1086">
        <v>1</v>
      </c>
      <c r="BJ1086">
        <v>0.2</v>
      </c>
      <c r="BK1086">
        <v>1</v>
      </c>
      <c r="BL1086">
        <v>88.43</v>
      </c>
      <c r="BM1086">
        <v>13.26</v>
      </c>
      <c r="BN1086">
        <v>101.69</v>
      </c>
      <c r="BO1086">
        <v>101.69</v>
      </c>
      <c r="BQ1086" t="s">
        <v>1863</v>
      </c>
      <c r="BR1086" t="s">
        <v>84</v>
      </c>
      <c r="BS1086" s="3">
        <v>45877</v>
      </c>
      <c r="BT1086" s="4">
        <v>0.37152777777777779</v>
      </c>
      <c r="BU1086" t="s">
        <v>1864</v>
      </c>
      <c r="BV1086" t="s">
        <v>86</v>
      </c>
      <c r="BY1086">
        <v>1200</v>
      </c>
      <c r="BZ1086" t="s">
        <v>30</v>
      </c>
      <c r="CA1086" t="s">
        <v>433</v>
      </c>
      <c r="CC1086" t="s">
        <v>199</v>
      </c>
      <c r="CD1086">
        <v>6000</v>
      </c>
      <c r="CE1086" t="s">
        <v>178</v>
      </c>
      <c r="CF1086" s="3">
        <v>45877</v>
      </c>
      <c r="CI1086">
        <v>1</v>
      </c>
      <c r="CJ1086">
        <v>1</v>
      </c>
      <c r="CK1086">
        <v>21</v>
      </c>
      <c r="CL1086" t="s">
        <v>90</v>
      </c>
    </row>
    <row r="1087" spans="1:90" x14ac:dyDescent="0.3">
      <c r="A1087" t="s">
        <v>72</v>
      </c>
      <c r="B1087" t="s">
        <v>73</v>
      </c>
      <c r="C1087" t="s">
        <v>74</v>
      </c>
      <c r="E1087" t="str">
        <f>"080067091317"</f>
        <v>080067091317</v>
      </c>
      <c r="F1087" s="3">
        <v>45876</v>
      </c>
      <c r="G1087">
        <v>202605</v>
      </c>
      <c r="H1087" t="s">
        <v>75</v>
      </c>
      <c r="I1087" t="s">
        <v>76</v>
      </c>
      <c r="J1087" t="s">
        <v>77</v>
      </c>
      <c r="K1087" t="s">
        <v>78</v>
      </c>
      <c r="L1087" t="s">
        <v>217</v>
      </c>
      <c r="M1087" t="s">
        <v>218</v>
      </c>
      <c r="N1087" t="s">
        <v>1261</v>
      </c>
      <c r="O1087" t="s">
        <v>82</v>
      </c>
      <c r="P1087" t="str">
        <f>"4170053670                    "</f>
        <v xml:space="preserve">4170053670                    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0</v>
      </c>
      <c r="AU1087">
        <v>0</v>
      </c>
      <c r="AV1087">
        <v>0</v>
      </c>
      <c r="AW1087">
        <v>0</v>
      </c>
      <c r="AX1087">
        <v>0</v>
      </c>
      <c r="AY1087">
        <v>0</v>
      </c>
      <c r="AZ1087">
        <v>0</v>
      </c>
      <c r="BA1087">
        <v>0</v>
      </c>
      <c r="BB1087">
        <v>0</v>
      </c>
      <c r="BC1087">
        <v>0</v>
      </c>
      <c r="BD1087">
        <v>0</v>
      </c>
      <c r="BE1087">
        <v>0</v>
      </c>
      <c r="BF1087">
        <v>0</v>
      </c>
      <c r="BG1087">
        <v>0</v>
      </c>
      <c r="BH1087">
        <v>1</v>
      </c>
      <c r="BI1087">
        <v>1</v>
      </c>
      <c r="BJ1087">
        <v>0</v>
      </c>
      <c r="BK1087">
        <v>1</v>
      </c>
      <c r="BL1087">
        <v>0</v>
      </c>
      <c r="BM1087">
        <v>0</v>
      </c>
      <c r="BN1087">
        <v>0</v>
      </c>
      <c r="BO1087">
        <v>0</v>
      </c>
      <c r="BQ1087" t="s">
        <v>1262</v>
      </c>
      <c r="BR1087" t="s">
        <v>84</v>
      </c>
      <c r="BS1087" s="3">
        <v>45876</v>
      </c>
      <c r="BT1087" s="4">
        <v>0.68541666666666667</v>
      </c>
      <c r="BU1087" t="s">
        <v>85</v>
      </c>
      <c r="BV1087" t="s">
        <v>86</v>
      </c>
      <c r="BY1087">
        <v>66528</v>
      </c>
      <c r="BZ1087" t="s">
        <v>330</v>
      </c>
      <c r="CA1087" t="s">
        <v>1865</v>
      </c>
      <c r="CC1087" t="s">
        <v>218</v>
      </c>
      <c r="CD1087">
        <v>4000</v>
      </c>
      <c r="CE1087" t="s">
        <v>89</v>
      </c>
      <c r="CF1087" s="3">
        <v>45877</v>
      </c>
      <c r="CI1087">
        <v>1</v>
      </c>
      <c r="CJ1087">
        <v>0</v>
      </c>
      <c r="CK1087">
        <v>-1</v>
      </c>
      <c r="CL1087" t="s">
        <v>90</v>
      </c>
    </row>
    <row r="1088" spans="1:90" x14ac:dyDescent="0.3">
      <c r="A1088" t="s">
        <v>72</v>
      </c>
      <c r="B1088" t="s">
        <v>73</v>
      </c>
      <c r="C1088" t="s">
        <v>74</v>
      </c>
      <c r="E1088" t="str">
        <f>"R080066871334"</f>
        <v>R080066871334</v>
      </c>
      <c r="F1088" s="3">
        <v>45877</v>
      </c>
      <c r="G1088">
        <v>202605</v>
      </c>
      <c r="H1088" t="s">
        <v>129</v>
      </c>
      <c r="I1088" t="s">
        <v>130</v>
      </c>
      <c r="J1088" t="s">
        <v>1866</v>
      </c>
      <c r="K1088" t="s">
        <v>78</v>
      </c>
      <c r="L1088" t="s">
        <v>129</v>
      </c>
      <c r="M1088" t="s">
        <v>130</v>
      </c>
      <c r="N1088" t="s">
        <v>1867</v>
      </c>
      <c r="O1088" t="s">
        <v>95</v>
      </c>
      <c r="P1088" t="str">
        <f>"4170051967                    "</f>
        <v xml:space="preserve">4170051967                    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Q1088">
        <v>34.450000000000003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</v>
      </c>
      <c r="AX1088">
        <v>0</v>
      </c>
      <c r="AY1088">
        <v>0</v>
      </c>
      <c r="AZ1088">
        <v>0</v>
      </c>
      <c r="BA1088">
        <v>0</v>
      </c>
      <c r="BB1088">
        <v>0</v>
      </c>
      <c r="BC1088">
        <v>0</v>
      </c>
      <c r="BD1088">
        <v>0</v>
      </c>
      <c r="BE1088">
        <v>0</v>
      </c>
      <c r="BF1088">
        <v>0</v>
      </c>
      <c r="BG1088">
        <v>0</v>
      </c>
      <c r="BH1088">
        <v>1</v>
      </c>
      <c r="BI1088">
        <v>1</v>
      </c>
      <c r="BJ1088">
        <v>0.2</v>
      </c>
      <c r="BK1088">
        <v>1</v>
      </c>
      <c r="BL1088">
        <v>112.84</v>
      </c>
      <c r="BM1088">
        <v>16.93</v>
      </c>
      <c r="BN1088">
        <v>129.77000000000001</v>
      </c>
      <c r="BO1088">
        <v>129.77000000000001</v>
      </c>
      <c r="BQ1088" t="s">
        <v>1868</v>
      </c>
      <c r="BR1088" t="s">
        <v>1869</v>
      </c>
      <c r="BS1088" s="3">
        <v>45877</v>
      </c>
      <c r="BT1088" s="4">
        <v>0.58958333333333335</v>
      </c>
      <c r="BU1088" t="s">
        <v>1870</v>
      </c>
      <c r="BV1088" t="s">
        <v>86</v>
      </c>
      <c r="BY1088">
        <v>1200</v>
      </c>
      <c r="BZ1088" t="s">
        <v>100</v>
      </c>
      <c r="CC1088" t="s">
        <v>130</v>
      </c>
      <c r="CD1088">
        <v>4113</v>
      </c>
      <c r="CE1088" t="s">
        <v>109</v>
      </c>
      <c r="CF1088" s="3">
        <v>45880</v>
      </c>
      <c r="CI1088">
        <v>1</v>
      </c>
      <c r="CJ1088">
        <v>0</v>
      </c>
      <c r="CK1088">
        <v>42</v>
      </c>
      <c r="CL1088" t="s">
        <v>90</v>
      </c>
    </row>
    <row r="1089" spans="1:90" x14ac:dyDescent="0.3">
      <c r="A1089" t="s">
        <v>72</v>
      </c>
      <c r="B1089" t="s">
        <v>73</v>
      </c>
      <c r="C1089" t="s">
        <v>74</v>
      </c>
      <c r="E1089" t="str">
        <f>"080067110868"</f>
        <v>080067110868</v>
      </c>
      <c r="F1089" s="3">
        <v>45877</v>
      </c>
      <c r="G1089">
        <v>202605</v>
      </c>
      <c r="H1089" t="s">
        <v>75</v>
      </c>
      <c r="I1089" t="s">
        <v>76</v>
      </c>
      <c r="J1089" t="s">
        <v>77</v>
      </c>
      <c r="K1089" t="s">
        <v>78</v>
      </c>
      <c r="L1089" t="s">
        <v>198</v>
      </c>
      <c r="M1089" t="s">
        <v>199</v>
      </c>
      <c r="N1089" t="s">
        <v>598</v>
      </c>
      <c r="O1089" t="s">
        <v>82</v>
      </c>
      <c r="P1089" t="str">
        <f>"4170053671                    "</f>
        <v xml:space="preserve">4170053671                    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Q1089">
        <v>80.75</v>
      </c>
      <c r="AR1089">
        <v>0</v>
      </c>
      <c r="AS1089">
        <v>0</v>
      </c>
      <c r="AT1089">
        <v>0</v>
      </c>
      <c r="AU1089">
        <v>0</v>
      </c>
      <c r="AV1089">
        <v>0</v>
      </c>
      <c r="AW1089">
        <v>0</v>
      </c>
      <c r="AX1089">
        <v>0</v>
      </c>
      <c r="AY1089">
        <v>0</v>
      </c>
      <c r="AZ1089">
        <v>0</v>
      </c>
      <c r="BA1089">
        <v>0</v>
      </c>
      <c r="BB1089">
        <v>0</v>
      </c>
      <c r="BC1089">
        <v>0</v>
      </c>
      <c r="BD1089">
        <v>0</v>
      </c>
      <c r="BE1089">
        <v>0</v>
      </c>
      <c r="BF1089">
        <v>0</v>
      </c>
      <c r="BG1089">
        <v>0</v>
      </c>
      <c r="BH1089">
        <v>1</v>
      </c>
      <c r="BI1089">
        <v>5</v>
      </c>
      <c r="BJ1089">
        <v>6.8</v>
      </c>
      <c r="BK1089">
        <v>7</v>
      </c>
      <c r="BL1089">
        <v>250.75</v>
      </c>
      <c r="BM1089">
        <v>37.61</v>
      </c>
      <c r="BN1089">
        <v>288.36</v>
      </c>
      <c r="BO1089">
        <v>288.36</v>
      </c>
      <c r="BQ1089" t="s">
        <v>599</v>
      </c>
      <c r="BR1089" t="s">
        <v>84</v>
      </c>
      <c r="BS1089" s="3">
        <v>45880</v>
      </c>
      <c r="BT1089" s="4">
        <v>0.39166666666666666</v>
      </c>
      <c r="BU1089" t="s">
        <v>1871</v>
      </c>
      <c r="BV1089" t="s">
        <v>86</v>
      </c>
      <c r="BY1089">
        <v>33880</v>
      </c>
      <c r="CA1089" t="s">
        <v>601</v>
      </c>
      <c r="CC1089" t="s">
        <v>199</v>
      </c>
      <c r="CD1089">
        <v>6001</v>
      </c>
      <c r="CE1089" t="s">
        <v>147</v>
      </c>
      <c r="CF1089" s="3">
        <v>45880</v>
      </c>
      <c r="CI1089">
        <v>1</v>
      </c>
      <c r="CJ1089">
        <v>1</v>
      </c>
      <c r="CK1089">
        <v>21</v>
      </c>
      <c r="CL1089" t="s">
        <v>90</v>
      </c>
    </row>
    <row r="1090" spans="1:90" x14ac:dyDescent="0.3">
      <c r="A1090" t="s">
        <v>72</v>
      </c>
      <c r="B1090" t="s">
        <v>73</v>
      </c>
      <c r="C1090" t="s">
        <v>74</v>
      </c>
      <c r="E1090" t="str">
        <f>"080067111011"</f>
        <v>080067111011</v>
      </c>
      <c r="F1090" s="3">
        <v>45877</v>
      </c>
      <c r="G1090">
        <v>202605</v>
      </c>
      <c r="H1090" t="s">
        <v>75</v>
      </c>
      <c r="I1090" t="s">
        <v>76</v>
      </c>
      <c r="J1090" t="s">
        <v>77</v>
      </c>
      <c r="K1090" t="s">
        <v>78</v>
      </c>
      <c r="L1090" t="s">
        <v>198</v>
      </c>
      <c r="M1090" t="s">
        <v>199</v>
      </c>
      <c r="N1090" t="s">
        <v>598</v>
      </c>
      <c r="O1090" t="s">
        <v>82</v>
      </c>
      <c r="P1090" t="str">
        <f>"4170053664                    "</f>
        <v xml:space="preserve">4170053664                    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161.47999999999999</v>
      </c>
      <c r="AR1090">
        <v>0</v>
      </c>
      <c r="AS1090">
        <v>0</v>
      </c>
      <c r="AT1090">
        <v>0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>
        <v>0</v>
      </c>
      <c r="BD1090">
        <v>0</v>
      </c>
      <c r="BE1090">
        <v>0</v>
      </c>
      <c r="BF1090">
        <v>0</v>
      </c>
      <c r="BG1090">
        <v>0</v>
      </c>
      <c r="BH1090">
        <v>1</v>
      </c>
      <c r="BI1090">
        <v>14</v>
      </c>
      <c r="BJ1090">
        <v>7.8</v>
      </c>
      <c r="BK1090">
        <v>14</v>
      </c>
      <c r="BL1090">
        <v>501.44</v>
      </c>
      <c r="BM1090">
        <v>75.22</v>
      </c>
      <c r="BN1090">
        <v>576.66</v>
      </c>
      <c r="BO1090">
        <v>576.66</v>
      </c>
      <c r="BQ1090" t="s">
        <v>599</v>
      </c>
      <c r="BR1090" t="s">
        <v>84</v>
      </c>
      <c r="BS1090" s="3">
        <v>45880</v>
      </c>
      <c r="BT1090" s="4">
        <v>0.3923611111111111</v>
      </c>
      <c r="BU1090" t="s">
        <v>1871</v>
      </c>
      <c r="BV1090" t="s">
        <v>86</v>
      </c>
      <c r="BY1090">
        <v>39192</v>
      </c>
      <c r="CA1090" t="s">
        <v>601</v>
      </c>
      <c r="CC1090" t="s">
        <v>199</v>
      </c>
      <c r="CD1090">
        <v>6001</v>
      </c>
      <c r="CE1090" t="s">
        <v>147</v>
      </c>
      <c r="CF1090" s="3">
        <v>45880</v>
      </c>
      <c r="CI1090">
        <v>1</v>
      </c>
      <c r="CJ1090">
        <v>1</v>
      </c>
      <c r="CK1090">
        <v>21</v>
      </c>
      <c r="CL1090" t="s">
        <v>90</v>
      </c>
    </row>
    <row r="1091" spans="1:90" x14ac:dyDescent="0.3">
      <c r="A1091" t="s">
        <v>72</v>
      </c>
      <c r="B1091" t="s">
        <v>73</v>
      </c>
      <c r="C1091" t="s">
        <v>74</v>
      </c>
      <c r="E1091" t="str">
        <f>"080067111312"</f>
        <v>080067111312</v>
      </c>
      <c r="F1091" s="3">
        <v>45877</v>
      </c>
      <c r="G1091">
        <v>202605</v>
      </c>
      <c r="H1091" t="s">
        <v>75</v>
      </c>
      <c r="I1091" t="s">
        <v>76</v>
      </c>
      <c r="J1091" t="s">
        <v>77</v>
      </c>
      <c r="K1091" t="s">
        <v>78</v>
      </c>
      <c r="L1091" t="s">
        <v>198</v>
      </c>
      <c r="M1091" t="s">
        <v>199</v>
      </c>
      <c r="N1091" t="s">
        <v>598</v>
      </c>
      <c r="O1091" t="s">
        <v>82</v>
      </c>
      <c r="P1091" t="str">
        <f>"4170053672                    "</f>
        <v xml:space="preserve">4170053672                    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Q1091">
        <v>80.75</v>
      </c>
      <c r="AR1091">
        <v>0</v>
      </c>
      <c r="AS1091">
        <v>0</v>
      </c>
      <c r="AT1091">
        <v>0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0</v>
      </c>
      <c r="BE1091">
        <v>0</v>
      </c>
      <c r="BF1091">
        <v>0</v>
      </c>
      <c r="BG1091">
        <v>0</v>
      </c>
      <c r="BH1091">
        <v>1</v>
      </c>
      <c r="BI1091">
        <v>5</v>
      </c>
      <c r="BJ1091">
        <v>6.8</v>
      </c>
      <c r="BK1091">
        <v>7</v>
      </c>
      <c r="BL1091">
        <v>250.75</v>
      </c>
      <c r="BM1091">
        <v>37.61</v>
      </c>
      <c r="BN1091">
        <v>288.36</v>
      </c>
      <c r="BO1091">
        <v>288.36</v>
      </c>
      <c r="BQ1091" t="s">
        <v>599</v>
      </c>
      <c r="BR1091" t="s">
        <v>84</v>
      </c>
      <c r="BS1091" s="3">
        <v>45880</v>
      </c>
      <c r="BT1091" s="4">
        <v>0.3923611111111111</v>
      </c>
      <c r="BU1091" t="s">
        <v>1757</v>
      </c>
      <c r="BV1091" t="s">
        <v>86</v>
      </c>
      <c r="BY1091">
        <v>33880</v>
      </c>
      <c r="CA1091" t="s">
        <v>601</v>
      </c>
      <c r="CC1091" t="s">
        <v>199</v>
      </c>
      <c r="CD1091">
        <v>6001</v>
      </c>
      <c r="CE1091" t="s">
        <v>147</v>
      </c>
      <c r="CF1091" s="3">
        <v>45880</v>
      </c>
      <c r="CI1091">
        <v>1</v>
      </c>
      <c r="CJ1091">
        <v>1</v>
      </c>
      <c r="CK1091">
        <v>21</v>
      </c>
      <c r="CL1091" t="s">
        <v>90</v>
      </c>
    </row>
    <row r="1092" spans="1:90" x14ac:dyDescent="0.3">
      <c r="A1092" t="s">
        <v>72</v>
      </c>
      <c r="B1092" t="s">
        <v>73</v>
      </c>
      <c r="C1092" t="s">
        <v>74</v>
      </c>
      <c r="E1092" t="str">
        <f>"080067111410"</f>
        <v>080067111410</v>
      </c>
      <c r="F1092" s="3">
        <v>45877</v>
      </c>
      <c r="G1092">
        <v>202605</v>
      </c>
      <c r="H1092" t="s">
        <v>75</v>
      </c>
      <c r="I1092" t="s">
        <v>76</v>
      </c>
      <c r="J1092" t="s">
        <v>77</v>
      </c>
      <c r="K1092" t="s">
        <v>78</v>
      </c>
      <c r="L1092" t="s">
        <v>217</v>
      </c>
      <c r="M1092" t="s">
        <v>218</v>
      </c>
      <c r="N1092" t="s">
        <v>422</v>
      </c>
      <c r="O1092" t="s">
        <v>95</v>
      </c>
      <c r="P1092" t="str">
        <f>"4170053562                    "</f>
        <v xml:space="preserve">4170053562                    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105.46</v>
      </c>
      <c r="AR1092">
        <v>0</v>
      </c>
      <c r="AS1092">
        <v>0</v>
      </c>
      <c r="AT1092">
        <v>0</v>
      </c>
      <c r="AU1092">
        <v>0</v>
      </c>
      <c r="AV1092">
        <v>0</v>
      </c>
      <c r="AW1092">
        <v>0</v>
      </c>
      <c r="AX1092">
        <v>0</v>
      </c>
      <c r="AY1092">
        <v>0</v>
      </c>
      <c r="AZ1092">
        <v>0</v>
      </c>
      <c r="BA1092">
        <v>0</v>
      </c>
      <c r="BB1092">
        <v>0</v>
      </c>
      <c r="BC1092">
        <v>0</v>
      </c>
      <c r="BD1092">
        <v>0</v>
      </c>
      <c r="BE1092">
        <v>0</v>
      </c>
      <c r="BF1092">
        <v>0</v>
      </c>
      <c r="BG1092">
        <v>0</v>
      </c>
      <c r="BH1092">
        <v>1</v>
      </c>
      <c r="BI1092">
        <v>48</v>
      </c>
      <c r="BJ1092">
        <v>27.6</v>
      </c>
      <c r="BK1092">
        <v>48</v>
      </c>
      <c r="BL1092">
        <v>333.35</v>
      </c>
      <c r="BM1092">
        <v>50</v>
      </c>
      <c r="BN1092">
        <v>383.35</v>
      </c>
      <c r="BO1092">
        <v>383.35</v>
      </c>
      <c r="BQ1092" t="s">
        <v>423</v>
      </c>
      <c r="BR1092" t="s">
        <v>84</v>
      </c>
      <c r="BS1092" s="3">
        <v>45880</v>
      </c>
      <c r="BT1092" s="4">
        <v>0.66666666666666663</v>
      </c>
      <c r="BU1092" t="s">
        <v>1872</v>
      </c>
      <c r="BV1092" t="s">
        <v>86</v>
      </c>
      <c r="BY1092">
        <v>138176</v>
      </c>
      <c r="CC1092" t="s">
        <v>218</v>
      </c>
      <c r="CD1092">
        <v>4001</v>
      </c>
      <c r="CE1092" t="s">
        <v>1304</v>
      </c>
      <c r="CF1092" s="3">
        <v>45881</v>
      </c>
      <c r="CI1092">
        <v>1</v>
      </c>
      <c r="CJ1092">
        <v>1</v>
      </c>
      <c r="CK1092">
        <v>41</v>
      </c>
      <c r="CL1092" t="s">
        <v>90</v>
      </c>
    </row>
    <row r="1093" spans="1:90" x14ac:dyDescent="0.3">
      <c r="A1093" t="s">
        <v>72</v>
      </c>
      <c r="B1093" t="s">
        <v>73</v>
      </c>
      <c r="C1093" t="s">
        <v>74</v>
      </c>
      <c r="E1093" t="str">
        <f>"080067111481"</f>
        <v>080067111481</v>
      </c>
      <c r="F1093" s="3">
        <v>45877</v>
      </c>
      <c r="G1093">
        <v>202605</v>
      </c>
      <c r="H1093" t="s">
        <v>75</v>
      </c>
      <c r="I1093" t="s">
        <v>76</v>
      </c>
      <c r="J1093" t="s">
        <v>77</v>
      </c>
      <c r="K1093" t="s">
        <v>78</v>
      </c>
      <c r="L1093" t="s">
        <v>446</v>
      </c>
      <c r="M1093" t="s">
        <v>447</v>
      </c>
      <c r="N1093" t="s">
        <v>448</v>
      </c>
      <c r="O1093" t="s">
        <v>95</v>
      </c>
      <c r="P1093" t="str">
        <f>"4170053689                    "</f>
        <v xml:space="preserve">4170053689                    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187.04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</v>
      </c>
      <c r="AX1093">
        <v>0</v>
      </c>
      <c r="AY1093">
        <v>0</v>
      </c>
      <c r="AZ1093">
        <v>0</v>
      </c>
      <c r="BA1093">
        <v>0</v>
      </c>
      <c r="BB1093">
        <v>0</v>
      </c>
      <c r="BC1093">
        <v>0</v>
      </c>
      <c r="BD1093">
        <v>0</v>
      </c>
      <c r="BE1093">
        <v>0</v>
      </c>
      <c r="BF1093">
        <v>0</v>
      </c>
      <c r="BG1093">
        <v>0</v>
      </c>
      <c r="BH1093">
        <v>1</v>
      </c>
      <c r="BI1093">
        <v>48</v>
      </c>
      <c r="BJ1093">
        <v>121.5</v>
      </c>
      <c r="BK1093">
        <v>122</v>
      </c>
      <c r="BL1093">
        <v>586.66999999999996</v>
      </c>
      <c r="BM1093">
        <v>88</v>
      </c>
      <c r="BN1093">
        <v>674.67</v>
      </c>
      <c r="BO1093">
        <v>674.67</v>
      </c>
      <c r="BQ1093" t="s">
        <v>449</v>
      </c>
      <c r="BR1093" t="s">
        <v>84</v>
      </c>
      <c r="BS1093" s="3">
        <v>45880</v>
      </c>
      <c r="BT1093" s="4">
        <v>0.40416666666666667</v>
      </c>
      <c r="BU1093" t="s">
        <v>1873</v>
      </c>
      <c r="BV1093" t="s">
        <v>86</v>
      </c>
      <c r="BY1093">
        <v>607743</v>
      </c>
      <c r="CA1093" t="s">
        <v>451</v>
      </c>
      <c r="CC1093" t="s">
        <v>447</v>
      </c>
      <c r="CD1093">
        <v>2210</v>
      </c>
      <c r="CE1093" t="s">
        <v>708</v>
      </c>
      <c r="CF1093" s="3">
        <v>45881</v>
      </c>
      <c r="CI1093">
        <v>1</v>
      </c>
      <c r="CJ1093">
        <v>1</v>
      </c>
      <c r="CK1093">
        <v>44</v>
      </c>
      <c r="CL1093" t="s">
        <v>90</v>
      </c>
    </row>
    <row r="1094" spans="1:90" x14ac:dyDescent="0.3">
      <c r="A1094" t="s">
        <v>72</v>
      </c>
      <c r="B1094" t="s">
        <v>73</v>
      </c>
      <c r="C1094" t="s">
        <v>74</v>
      </c>
      <c r="E1094" t="str">
        <f>"080067111601"</f>
        <v>080067111601</v>
      </c>
      <c r="F1094" s="3">
        <v>45877</v>
      </c>
      <c r="G1094">
        <v>202605</v>
      </c>
      <c r="H1094" t="s">
        <v>75</v>
      </c>
      <c r="I1094" t="s">
        <v>76</v>
      </c>
      <c r="J1094" t="s">
        <v>77</v>
      </c>
      <c r="K1094" t="s">
        <v>78</v>
      </c>
      <c r="L1094" t="s">
        <v>198</v>
      </c>
      <c r="M1094" t="s">
        <v>199</v>
      </c>
      <c r="N1094" t="s">
        <v>955</v>
      </c>
      <c r="O1094" t="s">
        <v>82</v>
      </c>
      <c r="P1094" t="str">
        <f>"4170053654                    "</f>
        <v xml:space="preserve">4170053654                    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Q1094">
        <v>149.94999999999999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</v>
      </c>
      <c r="AX1094">
        <v>0</v>
      </c>
      <c r="AY1094">
        <v>0</v>
      </c>
      <c r="AZ1094">
        <v>0</v>
      </c>
      <c r="BA1094">
        <v>0</v>
      </c>
      <c r="BB1094">
        <v>0</v>
      </c>
      <c r="BC1094">
        <v>0</v>
      </c>
      <c r="BD1094">
        <v>0</v>
      </c>
      <c r="BE1094">
        <v>0</v>
      </c>
      <c r="BF1094">
        <v>0</v>
      </c>
      <c r="BG1094">
        <v>0</v>
      </c>
      <c r="BH1094">
        <v>1</v>
      </c>
      <c r="BI1094">
        <v>13</v>
      </c>
      <c r="BJ1094">
        <v>11.5</v>
      </c>
      <c r="BK1094">
        <v>13</v>
      </c>
      <c r="BL1094">
        <v>465.63</v>
      </c>
      <c r="BM1094">
        <v>69.84</v>
      </c>
      <c r="BN1094">
        <v>535.47</v>
      </c>
      <c r="BO1094">
        <v>535.47</v>
      </c>
      <c r="BQ1094" t="s">
        <v>956</v>
      </c>
      <c r="BR1094" t="s">
        <v>84</v>
      </c>
      <c r="BS1094" s="3">
        <v>45880</v>
      </c>
      <c r="BT1094" s="4">
        <v>0.43333333333333335</v>
      </c>
      <c r="BU1094" t="s">
        <v>1874</v>
      </c>
      <c r="BV1094" t="s">
        <v>86</v>
      </c>
      <c r="BY1094">
        <v>57380</v>
      </c>
      <c r="CA1094" t="s">
        <v>433</v>
      </c>
      <c r="CC1094" t="s">
        <v>199</v>
      </c>
      <c r="CD1094">
        <v>6012</v>
      </c>
      <c r="CE1094" t="s">
        <v>1304</v>
      </c>
      <c r="CF1094" s="3">
        <v>45880</v>
      </c>
      <c r="CI1094">
        <v>1</v>
      </c>
      <c r="CJ1094">
        <v>1</v>
      </c>
      <c r="CK1094">
        <v>21</v>
      </c>
      <c r="CL1094" t="s">
        <v>90</v>
      </c>
    </row>
    <row r="1095" spans="1:90" x14ac:dyDescent="0.3">
      <c r="A1095" t="s">
        <v>72</v>
      </c>
      <c r="B1095" t="s">
        <v>73</v>
      </c>
      <c r="C1095" t="s">
        <v>74</v>
      </c>
      <c r="E1095" t="str">
        <f>"080067111643"</f>
        <v>080067111643</v>
      </c>
      <c r="F1095" s="3">
        <v>45877</v>
      </c>
      <c r="G1095">
        <v>202605</v>
      </c>
      <c r="H1095" t="s">
        <v>75</v>
      </c>
      <c r="I1095" t="s">
        <v>76</v>
      </c>
      <c r="J1095" t="s">
        <v>77</v>
      </c>
      <c r="K1095" t="s">
        <v>78</v>
      </c>
      <c r="L1095" t="s">
        <v>79</v>
      </c>
      <c r="M1095" t="s">
        <v>80</v>
      </c>
      <c r="N1095" t="s">
        <v>635</v>
      </c>
      <c r="O1095" t="s">
        <v>82</v>
      </c>
      <c r="P1095" t="str">
        <f>"4170053872                    "</f>
        <v xml:space="preserve">4170053872                    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0</v>
      </c>
      <c r="AQ1095">
        <v>18.03</v>
      </c>
      <c r="AR1095">
        <v>0</v>
      </c>
      <c r="AS1095">
        <v>0</v>
      </c>
      <c r="AT1095">
        <v>0</v>
      </c>
      <c r="AU1095">
        <v>0</v>
      </c>
      <c r="AV1095">
        <v>0</v>
      </c>
      <c r="AW1095">
        <v>0</v>
      </c>
      <c r="AX1095">
        <v>0</v>
      </c>
      <c r="AY1095">
        <v>0</v>
      </c>
      <c r="AZ1095">
        <v>0</v>
      </c>
      <c r="BA1095">
        <v>0</v>
      </c>
      <c r="BB1095">
        <v>0</v>
      </c>
      <c r="BC1095">
        <v>0</v>
      </c>
      <c r="BD1095">
        <v>0</v>
      </c>
      <c r="BE1095">
        <v>0</v>
      </c>
      <c r="BF1095">
        <v>0</v>
      </c>
      <c r="BG1095">
        <v>0</v>
      </c>
      <c r="BH1095">
        <v>1</v>
      </c>
      <c r="BI1095">
        <v>1</v>
      </c>
      <c r="BJ1095">
        <v>0.2</v>
      </c>
      <c r="BK1095">
        <v>1</v>
      </c>
      <c r="BL1095">
        <v>55.99</v>
      </c>
      <c r="BM1095">
        <v>8.4</v>
      </c>
      <c r="BN1095">
        <v>64.39</v>
      </c>
      <c r="BO1095">
        <v>64.39</v>
      </c>
      <c r="BQ1095" t="s">
        <v>636</v>
      </c>
      <c r="BR1095" t="s">
        <v>84</v>
      </c>
      <c r="BS1095" s="3">
        <v>45880</v>
      </c>
      <c r="BT1095" s="4">
        <v>0.375</v>
      </c>
      <c r="BU1095" t="s">
        <v>1875</v>
      </c>
      <c r="BV1095" t="s">
        <v>86</v>
      </c>
      <c r="BY1095">
        <v>1200</v>
      </c>
      <c r="CA1095" t="s">
        <v>1069</v>
      </c>
      <c r="CC1095" t="s">
        <v>80</v>
      </c>
      <c r="CD1095">
        <v>1428</v>
      </c>
      <c r="CE1095" t="s">
        <v>109</v>
      </c>
      <c r="CF1095" s="3">
        <v>45880</v>
      </c>
      <c r="CI1095">
        <v>1</v>
      </c>
      <c r="CJ1095">
        <v>1</v>
      </c>
      <c r="CK1095">
        <v>22</v>
      </c>
      <c r="CL1095" t="s">
        <v>90</v>
      </c>
    </row>
    <row r="1096" spans="1:90" x14ac:dyDescent="0.3">
      <c r="A1096" t="s">
        <v>72</v>
      </c>
      <c r="B1096" t="s">
        <v>73</v>
      </c>
      <c r="C1096" t="s">
        <v>74</v>
      </c>
      <c r="E1096" t="str">
        <f>"080067111664"</f>
        <v>080067111664</v>
      </c>
      <c r="F1096" s="3">
        <v>45877</v>
      </c>
      <c r="G1096">
        <v>202605</v>
      </c>
      <c r="H1096" t="s">
        <v>75</v>
      </c>
      <c r="I1096" t="s">
        <v>76</v>
      </c>
      <c r="J1096" t="s">
        <v>77</v>
      </c>
      <c r="K1096" t="s">
        <v>78</v>
      </c>
      <c r="L1096" t="s">
        <v>217</v>
      </c>
      <c r="M1096" t="s">
        <v>218</v>
      </c>
      <c r="N1096" t="s">
        <v>942</v>
      </c>
      <c r="O1096" t="s">
        <v>82</v>
      </c>
      <c r="P1096" t="str">
        <f>"4170053779                    "</f>
        <v xml:space="preserve">4170053779                    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Q1096">
        <v>23.09</v>
      </c>
      <c r="AR1096">
        <v>0</v>
      </c>
      <c r="AS1096">
        <v>0</v>
      </c>
      <c r="AT1096">
        <v>0</v>
      </c>
      <c r="AU1096">
        <v>0</v>
      </c>
      <c r="AV1096">
        <v>0</v>
      </c>
      <c r="AW1096">
        <v>0</v>
      </c>
      <c r="AX1096">
        <v>0</v>
      </c>
      <c r="AY1096">
        <v>0</v>
      </c>
      <c r="AZ1096">
        <v>0</v>
      </c>
      <c r="BA1096">
        <v>0</v>
      </c>
      <c r="BB1096">
        <v>0</v>
      </c>
      <c r="BC1096">
        <v>0</v>
      </c>
      <c r="BD1096">
        <v>0</v>
      </c>
      <c r="BE1096">
        <v>0</v>
      </c>
      <c r="BF1096">
        <v>0</v>
      </c>
      <c r="BG1096">
        <v>0</v>
      </c>
      <c r="BH1096">
        <v>1</v>
      </c>
      <c r="BI1096">
        <v>1</v>
      </c>
      <c r="BJ1096">
        <v>0.2</v>
      </c>
      <c r="BK1096">
        <v>1</v>
      </c>
      <c r="BL1096">
        <v>71.69</v>
      </c>
      <c r="BM1096">
        <v>10.75</v>
      </c>
      <c r="BN1096">
        <v>82.44</v>
      </c>
      <c r="BO1096">
        <v>82.44</v>
      </c>
      <c r="BQ1096" t="s">
        <v>943</v>
      </c>
      <c r="BR1096" t="s">
        <v>84</v>
      </c>
      <c r="BS1096" s="3">
        <v>45883</v>
      </c>
      <c r="BT1096" s="4">
        <v>0.59375</v>
      </c>
      <c r="BU1096" t="s">
        <v>1876</v>
      </c>
      <c r="BV1096" t="s">
        <v>90</v>
      </c>
      <c r="BW1096" t="s">
        <v>134</v>
      </c>
      <c r="BX1096" t="s">
        <v>1234</v>
      </c>
      <c r="BY1096">
        <v>1200</v>
      </c>
      <c r="CA1096" t="s">
        <v>945</v>
      </c>
      <c r="CC1096" t="s">
        <v>218</v>
      </c>
      <c r="CD1096">
        <v>4080</v>
      </c>
      <c r="CE1096" t="s">
        <v>109</v>
      </c>
      <c r="CF1096" s="3">
        <v>45884</v>
      </c>
      <c r="CI1096">
        <v>1</v>
      </c>
      <c r="CJ1096">
        <v>4</v>
      </c>
      <c r="CK1096">
        <v>21</v>
      </c>
      <c r="CL1096" t="s">
        <v>90</v>
      </c>
    </row>
    <row r="1097" spans="1:90" x14ac:dyDescent="0.3">
      <c r="A1097" t="s">
        <v>72</v>
      </c>
      <c r="B1097" t="s">
        <v>73</v>
      </c>
      <c r="C1097" t="s">
        <v>74</v>
      </c>
      <c r="E1097" t="str">
        <f>"080067111831"</f>
        <v>080067111831</v>
      </c>
      <c r="F1097" s="3">
        <v>45877</v>
      </c>
      <c r="G1097">
        <v>202605</v>
      </c>
      <c r="H1097" t="s">
        <v>75</v>
      </c>
      <c r="I1097" t="s">
        <v>76</v>
      </c>
      <c r="J1097" t="s">
        <v>77</v>
      </c>
      <c r="K1097" t="s">
        <v>78</v>
      </c>
      <c r="L1097" t="s">
        <v>217</v>
      </c>
      <c r="M1097" t="s">
        <v>218</v>
      </c>
      <c r="N1097" t="s">
        <v>1877</v>
      </c>
      <c r="O1097" t="s">
        <v>82</v>
      </c>
      <c r="P1097" t="str">
        <f>"4170053675                    "</f>
        <v xml:space="preserve">4170053675                    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92.28</v>
      </c>
      <c r="AR1097">
        <v>0</v>
      </c>
      <c r="AS1097">
        <v>0</v>
      </c>
      <c r="AT1097">
        <v>0</v>
      </c>
      <c r="AU1097">
        <v>0</v>
      </c>
      <c r="AV1097">
        <v>0</v>
      </c>
      <c r="AW1097">
        <v>0</v>
      </c>
      <c r="AX1097">
        <v>0</v>
      </c>
      <c r="AY1097">
        <v>0</v>
      </c>
      <c r="AZ1097">
        <v>0</v>
      </c>
      <c r="BA1097">
        <v>0</v>
      </c>
      <c r="BB1097">
        <v>0</v>
      </c>
      <c r="BC1097">
        <v>0</v>
      </c>
      <c r="BD1097">
        <v>0</v>
      </c>
      <c r="BE1097">
        <v>0</v>
      </c>
      <c r="BF1097">
        <v>0</v>
      </c>
      <c r="BG1097">
        <v>0</v>
      </c>
      <c r="BH1097">
        <v>1</v>
      </c>
      <c r="BI1097">
        <v>8</v>
      </c>
      <c r="BJ1097">
        <v>7.5</v>
      </c>
      <c r="BK1097">
        <v>8</v>
      </c>
      <c r="BL1097">
        <v>286.56</v>
      </c>
      <c r="BM1097">
        <v>42.98</v>
      </c>
      <c r="BN1097">
        <v>329.54</v>
      </c>
      <c r="BO1097">
        <v>329.54</v>
      </c>
      <c r="BQ1097" t="s">
        <v>1878</v>
      </c>
      <c r="BR1097" t="s">
        <v>84</v>
      </c>
      <c r="BS1097" s="3">
        <v>45880</v>
      </c>
      <c r="BT1097" s="4">
        <v>0.53402777777777777</v>
      </c>
      <c r="BU1097" t="s">
        <v>1879</v>
      </c>
      <c r="BV1097" t="s">
        <v>86</v>
      </c>
      <c r="BY1097">
        <v>37488</v>
      </c>
      <c r="CA1097" t="s">
        <v>953</v>
      </c>
      <c r="CC1097" t="s">
        <v>218</v>
      </c>
      <c r="CD1097">
        <v>4001</v>
      </c>
      <c r="CE1097" t="s">
        <v>147</v>
      </c>
      <c r="CF1097" s="3">
        <v>45881</v>
      </c>
      <c r="CI1097">
        <v>1</v>
      </c>
      <c r="CJ1097">
        <v>1</v>
      </c>
      <c r="CK1097">
        <v>21</v>
      </c>
      <c r="CL1097" t="s">
        <v>90</v>
      </c>
    </row>
    <row r="1098" spans="1:90" x14ac:dyDescent="0.3">
      <c r="A1098" t="s">
        <v>72</v>
      </c>
      <c r="B1098" t="s">
        <v>73</v>
      </c>
      <c r="C1098" t="s">
        <v>74</v>
      </c>
      <c r="E1098" t="str">
        <f>"080067111922"</f>
        <v>080067111922</v>
      </c>
      <c r="F1098" s="3">
        <v>45877</v>
      </c>
      <c r="G1098">
        <v>202605</v>
      </c>
      <c r="H1098" t="s">
        <v>75</v>
      </c>
      <c r="I1098" t="s">
        <v>76</v>
      </c>
      <c r="J1098" t="s">
        <v>77</v>
      </c>
      <c r="K1098" t="s">
        <v>78</v>
      </c>
      <c r="L1098" t="s">
        <v>1880</v>
      </c>
      <c r="M1098" t="s">
        <v>1881</v>
      </c>
      <c r="N1098" t="s">
        <v>1882</v>
      </c>
      <c r="O1098" t="s">
        <v>82</v>
      </c>
      <c r="P1098" t="str">
        <f>"4170053680                    "</f>
        <v xml:space="preserve">4170053680                    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>
        <v>32.47</v>
      </c>
      <c r="AR1098">
        <v>0</v>
      </c>
      <c r="AS1098">
        <v>0</v>
      </c>
      <c r="AT1098">
        <v>0</v>
      </c>
      <c r="AU1098">
        <v>0</v>
      </c>
      <c r="AV1098">
        <v>0</v>
      </c>
      <c r="AW1098">
        <v>0</v>
      </c>
      <c r="AX1098">
        <v>0</v>
      </c>
      <c r="AY1098">
        <v>0</v>
      </c>
      <c r="AZ1098">
        <v>0</v>
      </c>
      <c r="BA1098">
        <v>0</v>
      </c>
      <c r="BB1098">
        <v>0</v>
      </c>
      <c r="BC1098">
        <v>0</v>
      </c>
      <c r="BD1098">
        <v>0</v>
      </c>
      <c r="BE1098">
        <v>0</v>
      </c>
      <c r="BF1098">
        <v>0</v>
      </c>
      <c r="BG1098">
        <v>0</v>
      </c>
      <c r="BH1098">
        <v>1</v>
      </c>
      <c r="BI1098">
        <v>1</v>
      </c>
      <c r="BJ1098">
        <v>0.2</v>
      </c>
      <c r="BK1098">
        <v>1</v>
      </c>
      <c r="BL1098">
        <v>100.82</v>
      </c>
      <c r="BM1098">
        <v>15.12</v>
      </c>
      <c r="BN1098">
        <v>115.94</v>
      </c>
      <c r="BO1098">
        <v>115.94</v>
      </c>
      <c r="BQ1098" t="s">
        <v>1883</v>
      </c>
      <c r="BR1098" t="s">
        <v>84</v>
      </c>
      <c r="BS1098" s="3">
        <v>45880</v>
      </c>
      <c r="BT1098" s="4">
        <v>0.38055555555555554</v>
      </c>
      <c r="BU1098" t="s">
        <v>1884</v>
      </c>
      <c r="BV1098" t="s">
        <v>86</v>
      </c>
      <c r="BY1098">
        <v>1200</v>
      </c>
      <c r="CA1098" t="s">
        <v>1125</v>
      </c>
      <c r="CC1098" t="s">
        <v>1881</v>
      </c>
      <c r="CD1098">
        <v>1438</v>
      </c>
      <c r="CE1098" t="s">
        <v>109</v>
      </c>
      <c r="CF1098" s="3">
        <v>45880</v>
      </c>
      <c r="CI1098">
        <v>1</v>
      </c>
      <c r="CJ1098">
        <v>1</v>
      </c>
      <c r="CK1098">
        <v>24</v>
      </c>
      <c r="CL1098" t="s">
        <v>90</v>
      </c>
    </row>
    <row r="1099" spans="1:90" x14ac:dyDescent="0.3">
      <c r="A1099" t="s">
        <v>72</v>
      </c>
      <c r="B1099" t="s">
        <v>73</v>
      </c>
      <c r="C1099" t="s">
        <v>74</v>
      </c>
      <c r="E1099" t="str">
        <f>"080067111925"</f>
        <v>080067111925</v>
      </c>
      <c r="F1099" s="3">
        <v>45877</v>
      </c>
      <c r="G1099">
        <v>202605</v>
      </c>
      <c r="H1099" t="s">
        <v>75</v>
      </c>
      <c r="I1099" t="s">
        <v>76</v>
      </c>
      <c r="J1099" t="s">
        <v>77</v>
      </c>
      <c r="K1099" t="s">
        <v>78</v>
      </c>
      <c r="L1099" t="s">
        <v>520</v>
      </c>
      <c r="M1099" t="s">
        <v>521</v>
      </c>
      <c r="N1099" t="s">
        <v>1678</v>
      </c>
      <c r="O1099" t="s">
        <v>113</v>
      </c>
      <c r="P1099" t="str">
        <f>"4170053655                    "</f>
        <v xml:space="preserve">4170053655                    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Q1099">
        <v>173.68</v>
      </c>
      <c r="AR1099">
        <v>0</v>
      </c>
      <c r="AS1099">
        <v>0</v>
      </c>
      <c r="AT1099">
        <v>0</v>
      </c>
      <c r="AU1099">
        <v>0</v>
      </c>
      <c r="AV1099">
        <v>0</v>
      </c>
      <c r="AW1099">
        <v>0</v>
      </c>
      <c r="AX1099">
        <v>0</v>
      </c>
      <c r="AY1099">
        <v>0</v>
      </c>
      <c r="AZ1099">
        <v>0</v>
      </c>
      <c r="BA1099">
        <v>0</v>
      </c>
      <c r="BB1099">
        <v>0</v>
      </c>
      <c r="BC1099">
        <v>0</v>
      </c>
      <c r="BD1099">
        <v>0</v>
      </c>
      <c r="BE1099">
        <v>0</v>
      </c>
      <c r="BF1099">
        <v>0</v>
      </c>
      <c r="BG1099">
        <v>0</v>
      </c>
      <c r="BH1099">
        <v>1</v>
      </c>
      <c r="BI1099">
        <v>4</v>
      </c>
      <c r="BJ1099">
        <v>7.5</v>
      </c>
      <c r="BK1099">
        <v>7.5</v>
      </c>
      <c r="BL1099">
        <v>539.32000000000005</v>
      </c>
      <c r="BM1099">
        <v>80.900000000000006</v>
      </c>
      <c r="BN1099">
        <v>620.22</v>
      </c>
      <c r="BO1099">
        <v>620.22</v>
      </c>
      <c r="BQ1099" t="s">
        <v>1679</v>
      </c>
      <c r="BR1099" t="s">
        <v>84</v>
      </c>
      <c r="BS1099" s="3">
        <v>45880</v>
      </c>
      <c r="BT1099" s="4">
        <v>0.40694444444444444</v>
      </c>
      <c r="BU1099" t="s">
        <v>1680</v>
      </c>
      <c r="BV1099" t="s">
        <v>86</v>
      </c>
      <c r="BY1099">
        <v>37488</v>
      </c>
      <c r="CA1099" t="s">
        <v>525</v>
      </c>
      <c r="CC1099" t="s">
        <v>521</v>
      </c>
      <c r="CD1099">
        <v>1873</v>
      </c>
      <c r="CE1099" t="s">
        <v>178</v>
      </c>
      <c r="CF1099" s="3">
        <v>45881</v>
      </c>
      <c r="CI1099">
        <v>1</v>
      </c>
      <c r="CJ1099">
        <v>1</v>
      </c>
      <c r="CK1099">
        <v>33</v>
      </c>
      <c r="CL1099" t="s">
        <v>90</v>
      </c>
    </row>
    <row r="1100" spans="1:90" x14ac:dyDescent="0.3">
      <c r="A1100" t="s">
        <v>72</v>
      </c>
      <c r="B1100" t="s">
        <v>73</v>
      </c>
      <c r="C1100" t="s">
        <v>74</v>
      </c>
      <c r="E1100" t="str">
        <f>"080067111964"</f>
        <v>080067111964</v>
      </c>
      <c r="F1100" s="3">
        <v>45877</v>
      </c>
      <c r="G1100">
        <v>202605</v>
      </c>
      <c r="H1100" t="s">
        <v>75</v>
      </c>
      <c r="I1100" t="s">
        <v>76</v>
      </c>
      <c r="J1100" t="s">
        <v>77</v>
      </c>
      <c r="K1100" t="s">
        <v>78</v>
      </c>
      <c r="L1100" t="s">
        <v>555</v>
      </c>
      <c r="M1100" t="s">
        <v>556</v>
      </c>
      <c r="N1100" t="s">
        <v>557</v>
      </c>
      <c r="O1100" t="s">
        <v>82</v>
      </c>
      <c r="P1100" t="str">
        <f>"4170053802                    "</f>
        <v xml:space="preserve">4170053802                    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44.73</v>
      </c>
      <c r="AR1100">
        <v>0</v>
      </c>
      <c r="AS1100">
        <v>0</v>
      </c>
      <c r="AT1100">
        <v>0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0</v>
      </c>
      <c r="BC1100">
        <v>0</v>
      </c>
      <c r="BD1100">
        <v>0</v>
      </c>
      <c r="BE1100">
        <v>0</v>
      </c>
      <c r="BF1100">
        <v>0</v>
      </c>
      <c r="BG1100">
        <v>0</v>
      </c>
      <c r="BH1100">
        <v>1</v>
      </c>
      <c r="BI1100">
        <v>1</v>
      </c>
      <c r="BJ1100">
        <v>0.2</v>
      </c>
      <c r="BK1100">
        <v>1</v>
      </c>
      <c r="BL1100">
        <v>138.88999999999999</v>
      </c>
      <c r="BM1100">
        <v>20.83</v>
      </c>
      <c r="BN1100">
        <v>159.72</v>
      </c>
      <c r="BO1100">
        <v>159.72</v>
      </c>
      <c r="BQ1100" t="s">
        <v>558</v>
      </c>
      <c r="BR1100" t="s">
        <v>84</v>
      </c>
      <c r="BS1100" s="3">
        <v>45880</v>
      </c>
      <c r="BT1100" s="4">
        <v>0.52708333333333335</v>
      </c>
      <c r="BU1100" t="s">
        <v>1885</v>
      </c>
      <c r="BV1100" t="s">
        <v>86</v>
      </c>
      <c r="BY1100">
        <v>1200</v>
      </c>
      <c r="CA1100" t="s">
        <v>396</v>
      </c>
      <c r="CC1100" t="s">
        <v>556</v>
      </c>
      <c r="CD1100">
        <v>6850</v>
      </c>
      <c r="CE1100" t="s">
        <v>178</v>
      </c>
      <c r="CF1100" s="3">
        <v>45881</v>
      </c>
      <c r="CI1100">
        <v>2</v>
      </c>
      <c r="CJ1100">
        <v>1</v>
      </c>
      <c r="CK1100">
        <v>23</v>
      </c>
      <c r="CL1100" t="s">
        <v>90</v>
      </c>
    </row>
    <row r="1101" spans="1:90" x14ac:dyDescent="0.3">
      <c r="A1101" t="s">
        <v>72</v>
      </c>
      <c r="B1101" t="s">
        <v>73</v>
      </c>
      <c r="C1101" t="s">
        <v>74</v>
      </c>
      <c r="E1101" t="str">
        <f>"080067111980"</f>
        <v>080067111980</v>
      </c>
      <c r="F1101" s="3">
        <v>45877</v>
      </c>
      <c r="G1101">
        <v>202605</v>
      </c>
      <c r="H1101" t="s">
        <v>75</v>
      </c>
      <c r="I1101" t="s">
        <v>76</v>
      </c>
      <c r="J1101" t="s">
        <v>77</v>
      </c>
      <c r="K1101" t="s">
        <v>78</v>
      </c>
      <c r="L1101" t="s">
        <v>234</v>
      </c>
      <c r="M1101" t="s">
        <v>235</v>
      </c>
      <c r="N1101" t="s">
        <v>236</v>
      </c>
      <c r="O1101" t="s">
        <v>82</v>
      </c>
      <c r="P1101" t="str">
        <f>"4170053773                    "</f>
        <v xml:space="preserve">4170053773                    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23.09</v>
      </c>
      <c r="AR1101">
        <v>0</v>
      </c>
      <c r="AS1101">
        <v>0</v>
      </c>
      <c r="AT1101">
        <v>0</v>
      </c>
      <c r="AU1101">
        <v>0</v>
      </c>
      <c r="AV1101">
        <v>0</v>
      </c>
      <c r="AW1101">
        <v>0</v>
      </c>
      <c r="AX1101">
        <v>0</v>
      </c>
      <c r="AY1101">
        <v>0</v>
      </c>
      <c r="AZ1101">
        <v>0</v>
      </c>
      <c r="BA1101">
        <v>0</v>
      </c>
      <c r="BB1101">
        <v>0</v>
      </c>
      <c r="BC1101">
        <v>0</v>
      </c>
      <c r="BD1101">
        <v>0</v>
      </c>
      <c r="BE1101">
        <v>0</v>
      </c>
      <c r="BF1101">
        <v>0</v>
      </c>
      <c r="BG1101">
        <v>0</v>
      </c>
      <c r="BH1101">
        <v>1</v>
      </c>
      <c r="BI1101">
        <v>1</v>
      </c>
      <c r="BJ1101">
        <v>0.2</v>
      </c>
      <c r="BK1101">
        <v>1</v>
      </c>
      <c r="BL1101">
        <v>71.69</v>
      </c>
      <c r="BM1101">
        <v>10.75</v>
      </c>
      <c r="BN1101">
        <v>82.44</v>
      </c>
      <c r="BO1101">
        <v>82.44</v>
      </c>
      <c r="BQ1101" t="s">
        <v>237</v>
      </c>
      <c r="BR1101" t="s">
        <v>84</v>
      </c>
      <c r="BS1101" s="3">
        <v>45880</v>
      </c>
      <c r="BT1101" s="4">
        <v>0.37847222222222221</v>
      </c>
      <c r="BU1101" t="s">
        <v>650</v>
      </c>
      <c r="BV1101" t="s">
        <v>86</v>
      </c>
      <c r="BY1101">
        <v>1200</v>
      </c>
      <c r="CA1101" t="s">
        <v>239</v>
      </c>
      <c r="CC1101" t="s">
        <v>235</v>
      </c>
      <c r="CD1101" s="5" t="s">
        <v>240</v>
      </c>
      <c r="CE1101" t="s">
        <v>178</v>
      </c>
      <c r="CF1101" s="3">
        <v>45880</v>
      </c>
      <c r="CI1101">
        <v>1</v>
      </c>
      <c r="CJ1101">
        <v>1</v>
      </c>
      <c r="CK1101">
        <v>21</v>
      </c>
      <c r="CL1101" t="s">
        <v>90</v>
      </c>
    </row>
    <row r="1102" spans="1:90" x14ac:dyDescent="0.3">
      <c r="A1102" t="s">
        <v>72</v>
      </c>
      <c r="B1102" t="s">
        <v>73</v>
      </c>
      <c r="C1102" t="s">
        <v>74</v>
      </c>
      <c r="E1102" t="str">
        <f>"080067112012"</f>
        <v>080067112012</v>
      </c>
      <c r="F1102" s="3">
        <v>45877</v>
      </c>
      <c r="G1102">
        <v>202605</v>
      </c>
      <c r="H1102" t="s">
        <v>75</v>
      </c>
      <c r="I1102" t="s">
        <v>76</v>
      </c>
      <c r="J1102" t="s">
        <v>77</v>
      </c>
      <c r="K1102" t="s">
        <v>78</v>
      </c>
      <c r="L1102" t="s">
        <v>75</v>
      </c>
      <c r="M1102" t="s">
        <v>76</v>
      </c>
      <c r="N1102" t="s">
        <v>1886</v>
      </c>
      <c r="O1102" t="s">
        <v>82</v>
      </c>
      <c r="P1102" t="str">
        <f>"4170053767                    "</f>
        <v xml:space="preserve">4170053767                    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18.03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</v>
      </c>
      <c r="AX1102">
        <v>0</v>
      </c>
      <c r="AY1102">
        <v>0</v>
      </c>
      <c r="AZ1102">
        <v>0</v>
      </c>
      <c r="BA1102">
        <v>0</v>
      </c>
      <c r="BB1102">
        <v>0</v>
      </c>
      <c r="BC1102">
        <v>0</v>
      </c>
      <c r="BD1102">
        <v>0</v>
      </c>
      <c r="BE1102">
        <v>0</v>
      </c>
      <c r="BF1102">
        <v>0</v>
      </c>
      <c r="BG1102">
        <v>0</v>
      </c>
      <c r="BH1102">
        <v>1</v>
      </c>
      <c r="BI1102">
        <v>1</v>
      </c>
      <c r="BJ1102">
        <v>0.2</v>
      </c>
      <c r="BK1102">
        <v>1</v>
      </c>
      <c r="BL1102">
        <v>55.99</v>
      </c>
      <c r="BM1102">
        <v>8.4</v>
      </c>
      <c r="BN1102">
        <v>64.39</v>
      </c>
      <c r="BO1102">
        <v>64.39</v>
      </c>
      <c r="BQ1102" t="s">
        <v>1887</v>
      </c>
      <c r="BR1102" t="s">
        <v>84</v>
      </c>
      <c r="BS1102" s="3">
        <v>45880</v>
      </c>
      <c r="BT1102" s="4">
        <v>0.40277777777777779</v>
      </c>
      <c r="BU1102" t="s">
        <v>1888</v>
      </c>
      <c r="BV1102" t="s">
        <v>86</v>
      </c>
      <c r="BY1102">
        <v>1200</v>
      </c>
      <c r="CA1102" t="s">
        <v>155</v>
      </c>
      <c r="CC1102" t="s">
        <v>76</v>
      </c>
      <c r="CD1102">
        <v>1624</v>
      </c>
      <c r="CE1102" t="s">
        <v>178</v>
      </c>
      <c r="CF1102" s="3">
        <v>45880</v>
      </c>
      <c r="CI1102">
        <v>1</v>
      </c>
      <c r="CJ1102">
        <v>1</v>
      </c>
      <c r="CK1102">
        <v>22</v>
      </c>
      <c r="CL1102" t="s">
        <v>90</v>
      </c>
    </row>
    <row r="1103" spans="1:90" x14ac:dyDescent="0.3">
      <c r="A1103" t="s">
        <v>72</v>
      </c>
      <c r="B1103" t="s">
        <v>73</v>
      </c>
      <c r="C1103" t="s">
        <v>74</v>
      </c>
      <c r="E1103" t="str">
        <f>"080067112028"</f>
        <v>080067112028</v>
      </c>
      <c r="F1103" s="3">
        <v>45877</v>
      </c>
      <c r="G1103">
        <v>202605</v>
      </c>
      <c r="H1103" t="s">
        <v>75</v>
      </c>
      <c r="I1103" t="s">
        <v>76</v>
      </c>
      <c r="J1103" t="s">
        <v>77</v>
      </c>
      <c r="K1103" t="s">
        <v>78</v>
      </c>
      <c r="L1103" t="s">
        <v>217</v>
      </c>
      <c r="M1103" t="s">
        <v>218</v>
      </c>
      <c r="N1103" t="s">
        <v>219</v>
      </c>
      <c r="O1103" t="s">
        <v>82</v>
      </c>
      <c r="P1103" t="str">
        <f>"4170053808                    "</f>
        <v xml:space="preserve">4170053808                    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23.09</v>
      </c>
      <c r="AR1103">
        <v>0</v>
      </c>
      <c r="AS1103">
        <v>0</v>
      </c>
      <c r="AT1103">
        <v>0</v>
      </c>
      <c r="AU1103">
        <v>0</v>
      </c>
      <c r="AV1103">
        <v>0</v>
      </c>
      <c r="AW1103">
        <v>0</v>
      </c>
      <c r="AX1103">
        <v>0</v>
      </c>
      <c r="AY1103">
        <v>0</v>
      </c>
      <c r="AZ1103">
        <v>0</v>
      </c>
      <c r="BA1103">
        <v>0</v>
      </c>
      <c r="BB1103">
        <v>0</v>
      </c>
      <c r="BC1103">
        <v>0</v>
      </c>
      <c r="BD1103">
        <v>0</v>
      </c>
      <c r="BE1103">
        <v>0</v>
      </c>
      <c r="BF1103">
        <v>0</v>
      </c>
      <c r="BG1103">
        <v>0</v>
      </c>
      <c r="BH1103">
        <v>1</v>
      </c>
      <c r="BI1103">
        <v>1</v>
      </c>
      <c r="BJ1103">
        <v>0.2</v>
      </c>
      <c r="BK1103">
        <v>1</v>
      </c>
      <c r="BL1103">
        <v>71.69</v>
      </c>
      <c r="BM1103">
        <v>10.75</v>
      </c>
      <c r="BN1103">
        <v>82.44</v>
      </c>
      <c r="BO1103">
        <v>82.44</v>
      </c>
      <c r="BQ1103" t="s">
        <v>220</v>
      </c>
      <c r="BR1103" t="s">
        <v>84</v>
      </c>
      <c r="BS1103" s="3">
        <v>45880</v>
      </c>
      <c r="BT1103" s="4">
        <v>0.33750000000000002</v>
      </c>
      <c r="BU1103" t="s">
        <v>221</v>
      </c>
      <c r="BV1103" t="s">
        <v>86</v>
      </c>
      <c r="BY1103">
        <v>1200</v>
      </c>
      <c r="CA1103" t="s">
        <v>566</v>
      </c>
      <c r="CC1103" t="s">
        <v>218</v>
      </c>
      <c r="CD1103">
        <v>4000</v>
      </c>
      <c r="CE1103" t="s">
        <v>109</v>
      </c>
      <c r="CF1103" s="3">
        <v>45881</v>
      </c>
      <c r="CI1103">
        <v>1</v>
      </c>
      <c r="CJ1103">
        <v>1</v>
      </c>
      <c r="CK1103">
        <v>21</v>
      </c>
      <c r="CL1103" t="s">
        <v>90</v>
      </c>
    </row>
    <row r="1104" spans="1:90" x14ac:dyDescent="0.3">
      <c r="A1104" t="s">
        <v>72</v>
      </c>
      <c r="B1104" t="s">
        <v>73</v>
      </c>
      <c r="C1104" t="s">
        <v>74</v>
      </c>
      <c r="E1104" t="str">
        <f>"080067112057"</f>
        <v>080067112057</v>
      </c>
      <c r="F1104" s="3">
        <v>45877</v>
      </c>
      <c r="G1104">
        <v>202605</v>
      </c>
      <c r="H1104" t="s">
        <v>75</v>
      </c>
      <c r="I1104" t="s">
        <v>76</v>
      </c>
      <c r="J1104" t="s">
        <v>77</v>
      </c>
      <c r="K1104" t="s">
        <v>78</v>
      </c>
      <c r="L1104" t="s">
        <v>234</v>
      </c>
      <c r="M1104" t="s">
        <v>235</v>
      </c>
      <c r="N1104" t="s">
        <v>236</v>
      </c>
      <c r="O1104" t="s">
        <v>82</v>
      </c>
      <c r="P1104" t="str">
        <f>"4170053774                    "</f>
        <v xml:space="preserve">4170053774                    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23.09</v>
      </c>
      <c r="AR1104">
        <v>0</v>
      </c>
      <c r="AS1104">
        <v>0</v>
      </c>
      <c r="AT1104">
        <v>0</v>
      </c>
      <c r="AU1104">
        <v>0</v>
      </c>
      <c r="AV1104">
        <v>0</v>
      </c>
      <c r="AW1104">
        <v>0</v>
      </c>
      <c r="AX1104">
        <v>0</v>
      </c>
      <c r="AY1104">
        <v>0</v>
      </c>
      <c r="AZ1104">
        <v>0</v>
      </c>
      <c r="BA1104">
        <v>0</v>
      </c>
      <c r="BB1104">
        <v>0</v>
      </c>
      <c r="BC1104">
        <v>0</v>
      </c>
      <c r="BD1104">
        <v>0</v>
      </c>
      <c r="BE1104">
        <v>0</v>
      </c>
      <c r="BF1104">
        <v>0</v>
      </c>
      <c r="BG1104">
        <v>0</v>
      </c>
      <c r="BH1104">
        <v>1</v>
      </c>
      <c r="BI1104">
        <v>1</v>
      </c>
      <c r="BJ1104">
        <v>0.2</v>
      </c>
      <c r="BK1104">
        <v>1</v>
      </c>
      <c r="BL1104">
        <v>71.69</v>
      </c>
      <c r="BM1104">
        <v>10.75</v>
      </c>
      <c r="BN1104">
        <v>82.44</v>
      </c>
      <c r="BO1104">
        <v>82.44</v>
      </c>
      <c r="BQ1104" t="s">
        <v>237</v>
      </c>
      <c r="BR1104" t="s">
        <v>84</v>
      </c>
      <c r="BS1104" s="3">
        <v>45880</v>
      </c>
      <c r="BT1104" s="4">
        <v>0.37916666666666665</v>
      </c>
      <c r="BU1104" t="s">
        <v>650</v>
      </c>
      <c r="BV1104" t="s">
        <v>86</v>
      </c>
      <c r="BY1104">
        <v>1200</v>
      </c>
      <c r="CA1104" t="s">
        <v>239</v>
      </c>
      <c r="CC1104" t="s">
        <v>235</v>
      </c>
      <c r="CD1104" s="5" t="s">
        <v>240</v>
      </c>
      <c r="CE1104" t="s">
        <v>109</v>
      </c>
      <c r="CF1104" s="3">
        <v>45880</v>
      </c>
      <c r="CI1104">
        <v>1</v>
      </c>
      <c r="CJ1104">
        <v>1</v>
      </c>
      <c r="CK1104">
        <v>21</v>
      </c>
      <c r="CL1104" t="s">
        <v>90</v>
      </c>
    </row>
    <row r="1105" spans="1:90" x14ac:dyDescent="0.3">
      <c r="A1105" t="s">
        <v>72</v>
      </c>
      <c r="B1105" t="s">
        <v>73</v>
      </c>
      <c r="C1105" t="s">
        <v>74</v>
      </c>
      <c r="E1105" t="str">
        <f>"080067112088"</f>
        <v>080067112088</v>
      </c>
      <c r="F1105" s="3">
        <v>45877</v>
      </c>
      <c r="G1105">
        <v>202605</v>
      </c>
      <c r="H1105" t="s">
        <v>75</v>
      </c>
      <c r="I1105" t="s">
        <v>76</v>
      </c>
      <c r="J1105" t="s">
        <v>77</v>
      </c>
      <c r="K1105" t="s">
        <v>78</v>
      </c>
      <c r="L1105" t="s">
        <v>1157</v>
      </c>
      <c r="M1105" t="s">
        <v>1158</v>
      </c>
      <c r="N1105" t="s">
        <v>1159</v>
      </c>
      <c r="O1105" t="s">
        <v>82</v>
      </c>
      <c r="P1105" t="str">
        <f>"4170053787                    "</f>
        <v xml:space="preserve">4170053787                    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44.73</v>
      </c>
      <c r="AR1105">
        <v>0</v>
      </c>
      <c r="AS1105">
        <v>0</v>
      </c>
      <c r="AT1105">
        <v>0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</v>
      </c>
      <c r="BD1105">
        <v>0</v>
      </c>
      <c r="BE1105">
        <v>0</v>
      </c>
      <c r="BF1105">
        <v>0</v>
      </c>
      <c r="BG1105">
        <v>0</v>
      </c>
      <c r="BH1105">
        <v>1</v>
      </c>
      <c r="BI1105">
        <v>1</v>
      </c>
      <c r="BJ1105">
        <v>0.2</v>
      </c>
      <c r="BK1105">
        <v>1</v>
      </c>
      <c r="BL1105">
        <v>138.88999999999999</v>
      </c>
      <c r="BM1105">
        <v>20.83</v>
      </c>
      <c r="BN1105">
        <v>159.72</v>
      </c>
      <c r="BO1105">
        <v>159.72</v>
      </c>
      <c r="BQ1105" t="s">
        <v>1160</v>
      </c>
      <c r="BR1105" t="s">
        <v>84</v>
      </c>
      <c r="BS1105" s="3">
        <v>45880</v>
      </c>
      <c r="BT1105" s="4">
        <v>0.43402777777777779</v>
      </c>
      <c r="BU1105" t="s">
        <v>1889</v>
      </c>
      <c r="BV1105" t="s">
        <v>86</v>
      </c>
      <c r="BY1105">
        <v>1200</v>
      </c>
      <c r="CA1105" t="s">
        <v>1654</v>
      </c>
      <c r="CC1105" t="s">
        <v>1158</v>
      </c>
      <c r="CD1105">
        <v>2302</v>
      </c>
      <c r="CE1105" t="s">
        <v>109</v>
      </c>
      <c r="CF1105" s="3">
        <v>45881</v>
      </c>
      <c r="CI1105">
        <v>1</v>
      </c>
      <c r="CJ1105">
        <v>1</v>
      </c>
      <c r="CK1105">
        <v>23</v>
      </c>
      <c r="CL1105" t="s">
        <v>90</v>
      </c>
    </row>
    <row r="1106" spans="1:90" x14ac:dyDescent="0.3">
      <c r="A1106" t="s">
        <v>72</v>
      </c>
      <c r="B1106" t="s">
        <v>73</v>
      </c>
      <c r="C1106" t="s">
        <v>74</v>
      </c>
      <c r="E1106" t="str">
        <f>"080067112090"</f>
        <v>080067112090</v>
      </c>
      <c r="F1106" s="3">
        <v>45877</v>
      </c>
      <c r="G1106">
        <v>202605</v>
      </c>
      <c r="H1106" t="s">
        <v>75</v>
      </c>
      <c r="I1106" t="s">
        <v>76</v>
      </c>
      <c r="J1106" t="s">
        <v>77</v>
      </c>
      <c r="K1106" t="s">
        <v>78</v>
      </c>
      <c r="L1106" t="s">
        <v>103</v>
      </c>
      <c r="M1106" t="s">
        <v>104</v>
      </c>
      <c r="N1106" t="s">
        <v>105</v>
      </c>
      <c r="O1106" t="s">
        <v>82</v>
      </c>
      <c r="P1106" t="str">
        <f>"4170053739                    "</f>
        <v xml:space="preserve">4170053739                    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44.73</v>
      </c>
      <c r="AR1106">
        <v>0</v>
      </c>
      <c r="AS1106">
        <v>0</v>
      </c>
      <c r="AT1106">
        <v>0</v>
      </c>
      <c r="AU1106">
        <v>0</v>
      </c>
      <c r="AV1106">
        <v>0</v>
      </c>
      <c r="AW1106">
        <v>0</v>
      </c>
      <c r="AX1106">
        <v>0</v>
      </c>
      <c r="AY1106">
        <v>0</v>
      </c>
      <c r="AZ1106">
        <v>0</v>
      </c>
      <c r="BA1106">
        <v>0</v>
      </c>
      <c r="BB1106">
        <v>0</v>
      </c>
      <c r="BC1106">
        <v>0</v>
      </c>
      <c r="BD1106">
        <v>0</v>
      </c>
      <c r="BE1106">
        <v>0</v>
      </c>
      <c r="BF1106">
        <v>0</v>
      </c>
      <c r="BG1106">
        <v>0</v>
      </c>
      <c r="BH1106">
        <v>1</v>
      </c>
      <c r="BI1106">
        <v>1</v>
      </c>
      <c r="BJ1106">
        <v>0.2</v>
      </c>
      <c r="BK1106">
        <v>1</v>
      </c>
      <c r="BL1106">
        <v>138.88999999999999</v>
      </c>
      <c r="BM1106">
        <v>20.83</v>
      </c>
      <c r="BN1106">
        <v>159.72</v>
      </c>
      <c r="BO1106">
        <v>159.72</v>
      </c>
      <c r="BQ1106" t="s">
        <v>106</v>
      </c>
      <c r="BR1106" t="s">
        <v>84</v>
      </c>
      <c r="BS1106" s="3">
        <v>45880</v>
      </c>
      <c r="BT1106" s="4">
        <v>0.61250000000000004</v>
      </c>
      <c r="BU1106" t="s">
        <v>1890</v>
      </c>
      <c r="BV1106" t="s">
        <v>86</v>
      </c>
      <c r="BY1106">
        <v>1200</v>
      </c>
      <c r="CA1106" t="s">
        <v>108</v>
      </c>
      <c r="CC1106" t="s">
        <v>104</v>
      </c>
      <c r="CD1106">
        <v>2380</v>
      </c>
      <c r="CE1106" t="s">
        <v>109</v>
      </c>
      <c r="CF1106" s="3">
        <v>45881</v>
      </c>
      <c r="CI1106">
        <v>1</v>
      </c>
      <c r="CJ1106">
        <v>1</v>
      </c>
      <c r="CK1106">
        <v>23</v>
      </c>
      <c r="CL1106" t="s">
        <v>90</v>
      </c>
    </row>
    <row r="1107" spans="1:90" x14ac:dyDescent="0.3">
      <c r="A1107" t="s">
        <v>72</v>
      </c>
      <c r="B1107" t="s">
        <v>73</v>
      </c>
      <c r="C1107" t="s">
        <v>74</v>
      </c>
      <c r="E1107" t="str">
        <f>"080067112115"</f>
        <v>080067112115</v>
      </c>
      <c r="F1107" s="3">
        <v>45877</v>
      </c>
      <c r="G1107">
        <v>202605</v>
      </c>
      <c r="H1107" t="s">
        <v>75</v>
      </c>
      <c r="I1107" t="s">
        <v>76</v>
      </c>
      <c r="J1107" t="s">
        <v>77</v>
      </c>
      <c r="K1107" t="s">
        <v>78</v>
      </c>
      <c r="L1107" t="s">
        <v>234</v>
      </c>
      <c r="M1107" t="s">
        <v>235</v>
      </c>
      <c r="N1107" t="s">
        <v>236</v>
      </c>
      <c r="O1107" t="s">
        <v>82</v>
      </c>
      <c r="P1107" t="str">
        <f>"4170053771                    "</f>
        <v xml:space="preserve">4170053771                    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23.09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0</v>
      </c>
      <c r="BA1107">
        <v>0</v>
      </c>
      <c r="BB1107">
        <v>0</v>
      </c>
      <c r="BC1107">
        <v>0</v>
      </c>
      <c r="BD1107">
        <v>0</v>
      </c>
      <c r="BE1107">
        <v>0</v>
      </c>
      <c r="BF1107">
        <v>0</v>
      </c>
      <c r="BG1107">
        <v>0</v>
      </c>
      <c r="BH1107">
        <v>1</v>
      </c>
      <c r="BI1107">
        <v>1</v>
      </c>
      <c r="BJ1107">
        <v>0.2</v>
      </c>
      <c r="BK1107">
        <v>1</v>
      </c>
      <c r="BL1107">
        <v>71.69</v>
      </c>
      <c r="BM1107">
        <v>10.75</v>
      </c>
      <c r="BN1107">
        <v>82.44</v>
      </c>
      <c r="BO1107">
        <v>82.44</v>
      </c>
      <c r="BQ1107" t="s">
        <v>237</v>
      </c>
      <c r="BR1107" t="s">
        <v>84</v>
      </c>
      <c r="BS1107" s="3">
        <v>45880</v>
      </c>
      <c r="BT1107" s="4">
        <v>0.37777777777777777</v>
      </c>
      <c r="BU1107" t="s">
        <v>650</v>
      </c>
      <c r="BV1107" t="s">
        <v>86</v>
      </c>
      <c r="BY1107">
        <v>1200</v>
      </c>
      <c r="CA1107" t="s">
        <v>239</v>
      </c>
      <c r="CC1107" t="s">
        <v>235</v>
      </c>
      <c r="CD1107" s="5" t="s">
        <v>240</v>
      </c>
      <c r="CE1107" t="s">
        <v>109</v>
      </c>
      <c r="CF1107" s="3">
        <v>45880</v>
      </c>
      <c r="CI1107">
        <v>1</v>
      </c>
      <c r="CJ1107">
        <v>1</v>
      </c>
      <c r="CK1107">
        <v>21</v>
      </c>
      <c r="CL1107" t="s">
        <v>90</v>
      </c>
    </row>
    <row r="1108" spans="1:90" x14ac:dyDescent="0.3">
      <c r="A1108" t="s">
        <v>72</v>
      </c>
      <c r="B1108" t="s">
        <v>73</v>
      </c>
      <c r="C1108" t="s">
        <v>74</v>
      </c>
      <c r="E1108" t="str">
        <f>"080067112118"</f>
        <v>080067112118</v>
      </c>
      <c r="F1108" s="3">
        <v>45877</v>
      </c>
      <c r="G1108">
        <v>202605</v>
      </c>
      <c r="H1108" t="s">
        <v>75</v>
      </c>
      <c r="I1108" t="s">
        <v>76</v>
      </c>
      <c r="J1108" t="s">
        <v>77</v>
      </c>
      <c r="K1108" t="s">
        <v>78</v>
      </c>
      <c r="L1108" t="s">
        <v>198</v>
      </c>
      <c r="M1108" t="s">
        <v>199</v>
      </c>
      <c r="N1108" t="s">
        <v>200</v>
      </c>
      <c r="O1108" t="s">
        <v>82</v>
      </c>
      <c r="P1108" t="str">
        <f>"4170053778                    "</f>
        <v xml:space="preserve">4170053778                    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23.09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0</v>
      </c>
      <c r="BA1108">
        <v>0</v>
      </c>
      <c r="BB1108">
        <v>0</v>
      </c>
      <c r="BC1108">
        <v>0</v>
      </c>
      <c r="BD1108">
        <v>0</v>
      </c>
      <c r="BE1108">
        <v>0</v>
      </c>
      <c r="BF1108">
        <v>0</v>
      </c>
      <c r="BG1108">
        <v>0</v>
      </c>
      <c r="BH1108">
        <v>1</v>
      </c>
      <c r="BI1108">
        <v>1</v>
      </c>
      <c r="BJ1108">
        <v>0.2</v>
      </c>
      <c r="BK1108">
        <v>1</v>
      </c>
      <c r="BL1108">
        <v>71.69</v>
      </c>
      <c r="BM1108">
        <v>10.75</v>
      </c>
      <c r="BN1108">
        <v>82.44</v>
      </c>
      <c r="BO1108">
        <v>82.44</v>
      </c>
      <c r="BQ1108" t="s">
        <v>201</v>
      </c>
      <c r="BR1108" t="s">
        <v>84</v>
      </c>
      <c r="BS1108" s="3">
        <v>45880</v>
      </c>
      <c r="BT1108" s="4">
        <v>0.38958333333333334</v>
      </c>
      <c r="BU1108" t="s">
        <v>791</v>
      </c>
      <c r="BV1108" t="s">
        <v>86</v>
      </c>
      <c r="BY1108">
        <v>1200</v>
      </c>
      <c r="CA1108" t="s">
        <v>203</v>
      </c>
      <c r="CC1108" t="s">
        <v>199</v>
      </c>
      <c r="CD1108">
        <v>6001</v>
      </c>
      <c r="CE1108" t="s">
        <v>109</v>
      </c>
      <c r="CF1108" s="3">
        <v>45881</v>
      </c>
      <c r="CI1108">
        <v>1</v>
      </c>
      <c r="CJ1108">
        <v>1</v>
      </c>
      <c r="CK1108">
        <v>21</v>
      </c>
      <c r="CL1108" t="s">
        <v>90</v>
      </c>
    </row>
    <row r="1109" spans="1:90" x14ac:dyDescent="0.3">
      <c r="A1109" t="s">
        <v>72</v>
      </c>
      <c r="B1109" t="s">
        <v>73</v>
      </c>
      <c r="C1109" t="s">
        <v>74</v>
      </c>
      <c r="E1109" t="str">
        <f>"080067112139"</f>
        <v>080067112139</v>
      </c>
      <c r="F1109" s="3">
        <v>45877</v>
      </c>
      <c r="G1109">
        <v>202605</v>
      </c>
      <c r="H1109" t="s">
        <v>75</v>
      </c>
      <c r="I1109" t="s">
        <v>76</v>
      </c>
      <c r="J1109" t="s">
        <v>77</v>
      </c>
      <c r="K1109" t="s">
        <v>78</v>
      </c>
      <c r="L1109" t="s">
        <v>234</v>
      </c>
      <c r="M1109" t="s">
        <v>235</v>
      </c>
      <c r="N1109" t="s">
        <v>236</v>
      </c>
      <c r="O1109" t="s">
        <v>82</v>
      </c>
      <c r="P1109" t="str">
        <f>"4170053770                    "</f>
        <v xml:space="preserve">4170053770                    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23.09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</v>
      </c>
      <c r="AX1109">
        <v>0</v>
      </c>
      <c r="AY1109">
        <v>0</v>
      </c>
      <c r="AZ1109">
        <v>0</v>
      </c>
      <c r="BA1109">
        <v>0</v>
      </c>
      <c r="BB1109">
        <v>0</v>
      </c>
      <c r="BC1109">
        <v>0</v>
      </c>
      <c r="BD1109">
        <v>0</v>
      </c>
      <c r="BE1109">
        <v>0</v>
      </c>
      <c r="BF1109">
        <v>0</v>
      </c>
      <c r="BG1109">
        <v>0</v>
      </c>
      <c r="BH1109">
        <v>1</v>
      </c>
      <c r="BI1109">
        <v>1</v>
      </c>
      <c r="BJ1109">
        <v>0.2</v>
      </c>
      <c r="BK1109">
        <v>1</v>
      </c>
      <c r="BL1109">
        <v>71.69</v>
      </c>
      <c r="BM1109">
        <v>10.75</v>
      </c>
      <c r="BN1109">
        <v>82.44</v>
      </c>
      <c r="BO1109">
        <v>82.44</v>
      </c>
      <c r="BQ1109" t="s">
        <v>237</v>
      </c>
      <c r="BR1109" t="s">
        <v>84</v>
      </c>
      <c r="BS1109" s="3">
        <v>45880</v>
      </c>
      <c r="BT1109" s="4">
        <v>0.37916666666666665</v>
      </c>
      <c r="BU1109" t="s">
        <v>650</v>
      </c>
      <c r="BV1109" t="s">
        <v>86</v>
      </c>
      <c r="BY1109">
        <v>1200</v>
      </c>
      <c r="CA1109" t="s">
        <v>239</v>
      </c>
      <c r="CC1109" t="s">
        <v>235</v>
      </c>
      <c r="CD1109" s="5" t="s">
        <v>240</v>
      </c>
      <c r="CE1109" t="s">
        <v>109</v>
      </c>
      <c r="CF1109" s="3">
        <v>45880</v>
      </c>
      <c r="CI1109">
        <v>1</v>
      </c>
      <c r="CJ1109">
        <v>1</v>
      </c>
      <c r="CK1109">
        <v>21</v>
      </c>
      <c r="CL1109" t="s">
        <v>90</v>
      </c>
    </row>
    <row r="1110" spans="1:90" x14ac:dyDescent="0.3">
      <c r="A1110" t="s">
        <v>72</v>
      </c>
      <c r="B1110" t="s">
        <v>73</v>
      </c>
      <c r="C1110" t="s">
        <v>74</v>
      </c>
      <c r="E1110" t="str">
        <f>"080067112175"</f>
        <v>080067112175</v>
      </c>
      <c r="F1110" s="3">
        <v>45877</v>
      </c>
      <c r="G1110">
        <v>202605</v>
      </c>
      <c r="H1110" t="s">
        <v>75</v>
      </c>
      <c r="I1110" t="s">
        <v>76</v>
      </c>
      <c r="J1110" t="s">
        <v>77</v>
      </c>
      <c r="K1110" t="s">
        <v>78</v>
      </c>
      <c r="L1110" t="s">
        <v>385</v>
      </c>
      <c r="M1110" t="s">
        <v>386</v>
      </c>
      <c r="N1110" t="s">
        <v>635</v>
      </c>
      <c r="O1110" t="s">
        <v>82</v>
      </c>
      <c r="P1110" t="str">
        <f>"4170053777                    "</f>
        <v xml:space="preserve">4170053777                    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18.03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  <c r="AX1110">
        <v>0</v>
      </c>
      <c r="AY1110">
        <v>0</v>
      </c>
      <c r="AZ1110">
        <v>0</v>
      </c>
      <c r="BA1110">
        <v>0</v>
      </c>
      <c r="BB1110">
        <v>0</v>
      </c>
      <c r="BC1110">
        <v>0</v>
      </c>
      <c r="BD1110">
        <v>0</v>
      </c>
      <c r="BE1110">
        <v>0</v>
      </c>
      <c r="BF1110">
        <v>0</v>
      </c>
      <c r="BG1110">
        <v>0</v>
      </c>
      <c r="BH1110">
        <v>1</v>
      </c>
      <c r="BI1110">
        <v>1</v>
      </c>
      <c r="BJ1110">
        <v>0.2</v>
      </c>
      <c r="BK1110">
        <v>1</v>
      </c>
      <c r="BL1110">
        <v>55.99</v>
      </c>
      <c r="BM1110">
        <v>8.4</v>
      </c>
      <c r="BN1110">
        <v>64.39</v>
      </c>
      <c r="BO1110">
        <v>64.39</v>
      </c>
      <c r="BQ1110" t="s">
        <v>636</v>
      </c>
      <c r="BR1110" t="s">
        <v>84</v>
      </c>
      <c r="BS1110" s="3">
        <v>45880</v>
      </c>
      <c r="BT1110" s="4">
        <v>0.42777777777777776</v>
      </c>
      <c r="BU1110" t="s">
        <v>1891</v>
      </c>
      <c r="BV1110" t="s">
        <v>86</v>
      </c>
      <c r="BY1110">
        <v>1200</v>
      </c>
      <c r="CA1110" t="s">
        <v>851</v>
      </c>
      <c r="CC1110" t="s">
        <v>386</v>
      </c>
      <c r="CD1110">
        <v>1559</v>
      </c>
      <c r="CE1110" t="s">
        <v>109</v>
      </c>
      <c r="CF1110" s="3">
        <v>45880</v>
      </c>
      <c r="CI1110">
        <v>1</v>
      </c>
      <c r="CJ1110">
        <v>1</v>
      </c>
      <c r="CK1110">
        <v>22</v>
      </c>
      <c r="CL1110" t="s">
        <v>90</v>
      </c>
    </row>
    <row r="1111" spans="1:90" x14ac:dyDescent="0.3">
      <c r="A1111" t="s">
        <v>72</v>
      </c>
      <c r="B1111" t="s">
        <v>73</v>
      </c>
      <c r="C1111" t="s">
        <v>74</v>
      </c>
      <c r="E1111" t="str">
        <f>"080067112190"</f>
        <v>080067112190</v>
      </c>
      <c r="F1111" s="3">
        <v>45877</v>
      </c>
      <c r="G1111">
        <v>202605</v>
      </c>
      <c r="H1111" t="s">
        <v>75</v>
      </c>
      <c r="I1111" t="s">
        <v>76</v>
      </c>
      <c r="J1111" t="s">
        <v>77</v>
      </c>
      <c r="K1111" t="s">
        <v>78</v>
      </c>
      <c r="L1111" t="s">
        <v>513</v>
      </c>
      <c r="M1111" t="s">
        <v>514</v>
      </c>
      <c r="N1111" t="s">
        <v>709</v>
      </c>
      <c r="O1111" t="s">
        <v>82</v>
      </c>
      <c r="P1111" t="str">
        <f>"4170053803                    "</f>
        <v xml:space="preserve">4170053803                    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44.73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>
        <v>0</v>
      </c>
      <c r="BD1111">
        <v>0</v>
      </c>
      <c r="BE1111">
        <v>0</v>
      </c>
      <c r="BF1111">
        <v>0</v>
      </c>
      <c r="BG1111">
        <v>0</v>
      </c>
      <c r="BH1111">
        <v>1</v>
      </c>
      <c r="BI1111">
        <v>1</v>
      </c>
      <c r="BJ1111">
        <v>0.2</v>
      </c>
      <c r="BK1111">
        <v>1</v>
      </c>
      <c r="BL1111">
        <v>138.88999999999999</v>
      </c>
      <c r="BM1111">
        <v>20.83</v>
      </c>
      <c r="BN1111">
        <v>159.72</v>
      </c>
      <c r="BO1111">
        <v>159.72</v>
      </c>
      <c r="BQ1111" t="s">
        <v>710</v>
      </c>
      <c r="BR1111" t="s">
        <v>84</v>
      </c>
      <c r="BS1111" s="3">
        <v>45880</v>
      </c>
      <c r="BT1111" s="4">
        <v>0.41736111111111113</v>
      </c>
      <c r="BU1111" t="s">
        <v>1657</v>
      </c>
      <c r="BV1111" t="s">
        <v>86</v>
      </c>
      <c r="BY1111">
        <v>1200</v>
      </c>
      <c r="CC1111" t="s">
        <v>514</v>
      </c>
      <c r="CD1111" s="5" t="s">
        <v>519</v>
      </c>
      <c r="CE1111" t="s">
        <v>109</v>
      </c>
      <c r="CF1111" s="3">
        <v>45881</v>
      </c>
      <c r="CI1111">
        <v>1</v>
      </c>
      <c r="CJ1111">
        <v>1</v>
      </c>
      <c r="CK1111">
        <v>23</v>
      </c>
      <c r="CL1111" t="s">
        <v>90</v>
      </c>
    </row>
    <row r="1112" spans="1:90" x14ac:dyDescent="0.3">
      <c r="A1112" t="s">
        <v>72</v>
      </c>
      <c r="B1112" t="s">
        <v>73</v>
      </c>
      <c r="C1112" t="s">
        <v>74</v>
      </c>
      <c r="E1112" t="str">
        <f>"080067112213"</f>
        <v>080067112213</v>
      </c>
      <c r="F1112" s="3">
        <v>45877</v>
      </c>
      <c r="G1112">
        <v>202605</v>
      </c>
      <c r="H1112" t="s">
        <v>75</v>
      </c>
      <c r="I1112" t="s">
        <v>76</v>
      </c>
      <c r="J1112" t="s">
        <v>77</v>
      </c>
      <c r="K1112" t="s">
        <v>78</v>
      </c>
      <c r="L1112" t="s">
        <v>75</v>
      </c>
      <c r="M1112" t="s">
        <v>76</v>
      </c>
      <c r="N1112" t="s">
        <v>1100</v>
      </c>
      <c r="O1112" t="s">
        <v>82</v>
      </c>
      <c r="P1112" t="str">
        <f>"4170053701                    "</f>
        <v xml:space="preserve">4170053701                    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18.03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0</v>
      </c>
      <c r="AY1112">
        <v>0</v>
      </c>
      <c r="AZ1112">
        <v>0</v>
      </c>
      <c r="BA1112">
        <v>0</v>
      </c>
      <c r="BB1112">
        <v>0</v>
      </c>
      <c r="BC1112">
        <v>0</v>
      </c>
      <c r="BD1112">
        <v>0</v>
      </c>
      <c r="BE1112">
        <v>0</v>
      </c>
      <c r="BF1112">
        <v>0</v>
      </c>
      <c r="BG1112">
        <v>0</v>
      </c>
      <c r="BH1112">
        <v>1</v>
      </c>
      <c r="BI1112">
        <v>1</v>
      </c>
      <c r="BJ1112">
        <v>0.2</v>
      </c>
      <c r="BK1112">
        <v>1</v>
      </c>
      <c r="BL1112">
        <v>55.99</v>
      </c>
      <c r="BM1112">
        <v>8.4</v>
      </c>
      <c r="BN1112">
        <v>64.39</v>
      </c>
      <c r="BO1112">
        <v>64.39</v>
      </c>
      <c r="BQ1112" t="s">
        <v>1101</v>
      </c>
      <c r="BR1112" t="s">
        <v>84</v>
      </c>
      <c r="BS1112" s="3">
        <v>45880</v>
      </c>
      <c r="BT1112" s="4">
        <v>0.40972222222222221</v>
      </c>
      <c r="BU1112" t="s">
        <v>1892</v>
      </c>
      <c r="BV1112" t="s">
        <v>86</v>
      </c>
      <c r="BY1112">
        <v>1200</v>
      </c>
      <c r="CA1112" t="s">
        <v>1743</v>
      </c>
      <c r="CC1112" t="s">
        <v>76</v>
      </c>
      <c r="CD1112">
        <v>1600</v>
      </c>
      <c r="CE1112" t="s">
        <v>109</v>
      </c>
      <c r="CF1112" s="3">
        <v>45880</v>
      </c>
      <c r="CI1112">
        <v>1</v>
      </c>
      <c r="CJ1112">
        <v>1</v>
      </c>
      <c r="CK1112">
        <v>22</v>
      </c>
      <c r="CL1112" t="s">
        <v>90</v>
      </c>
    </row>
    <row r="1113" spans="1:90" x14ac:dyDescent="0.3">
      <c r="A1113" t="s">
        <v>72</v>
      </c>
      <c r="B1113" t="s">
        <v>73</v>
      </c>
      <c r="C1113" t="s">
        <v>74</v>
      </c>
      <c r="E1113" t="str">
        <f>"080067112242"</f>
        <v>080067112242</v>
      </c>
      <c r="F1113" s="3">
        <v>45877</v>
      </c>
      <c r="G1113">
        <v>202605</v>
      </c>
      <c r="H1113" t="s">
        <v>75</v>
      </c>
      <c r="I1113" t="s">
        <v>76</v>
      </c>
      <c r="J1113" t="s">
        <v>77</v>
      </c>
      <c r="K1113" t="s">
        <v>78</v>
      </c>
      <c r="L1113" t="s">
        <v>198</v>
      </c>
      <c r="M1113" t="s">
        <v>199</v>
      </c>
      <c r="N1113" t="s">
        <v>410</v>
      </c>
      <c r="O1113" t="s">
        <v>95</v>
      </c>
      <c r="P1113" t="str">
        <f>"4170053640                    "</f>
        <v xml:space="preserve">4170053640                    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168.12</v>
      </c>
      <c r="AR1113">
        <v>0</v>
      </c>
      <c r="AS1113">
        <v>0</v>
      </c>
      <c r="AT1113">
        <v>0</v>
      </c>
      <c r="AU1113">
        <v>0</v>
      </c>
      <c r="AV1113">
        <v>0</v>
      </c>
      <c r="AW1113">
        <v>0</v>
      </c>
      <c r="AX1113">
        <v>0</v>
      </c>
      <c r="AY1113">
        <v>0</v>
      </c>
      <c r="AZ1113">
        <v>0</v>
      </c>
      <c r="BA1113">
        <v>0</v>
      </c>
      <c r="BB1113">
        <v>0</v>
      </c>
      <c r="BC1113">
        <v>0</v>
      </c>
      <c r="BD1113">
        <v>0</v>
      </c>
      <c r="BE1113">
        <v>0</v>
      </c>
      <c r="BF1113">
        <v>0</v>
      </c>
      <c r="BG1113">
        <v>0</v>
      </c>
      <c r="BH1113">
        <v>1</v>
      </c>
      <c r="BI1113">
        <v>82</v>
      </c>
      <c r="BJ1113">
        <v>56.6</v>
      </c>
      <c r="BK1113">
        <v>82</v>
      </c>
      <c r="BL1113">
        <v>527.92999999999995</v>
      </c>
      <c r="BM1113">
        <v>79.19</v>
      </c>
      <c r="BN1113">
        <v>607.12</v>
      </c>
      <c r="BO1113">
        <v>607.12</v>
      </c>
      <c r="BQ1113" t="s">
        <v>411</v>
      </c>
      <c r="BR1113" t="s">
        <v>84</v>
      </c>
      <c r="BS1113" s="3">
        <v>45880</v>
      </c>
      <c r="BT1113" s="4">
        <v>0.45277777777777778</v>
      </c>
      <c r="BU1113" t="s">
        <v>1411</v>
      </c>
      <c r="BV1113" t="s">
        <v>86</v>
      </c>
      <c r="BY1113">
        <v>283200</v>
      </c>
      <c r="CC1113" t="s">
        <v>199</v>
      </c>
      <c r="CD1113">
        <v>6001</v>
      </c>
      <c r="CE1113" t="s">
        <v>708</v>
      </c>
      <c r="CF1113" s="3">
        <v>45880</v>
      </c>
      <c r="CI1113">
        <v>3</v>
      </c>
      <c r="CJ1113">
        <v>1</v>
      </c>
      <c r="CK1113">
        <v>41</v>
      </c>
      <c r="CL1113" t="s">
        <v>90</v>
      </c>
    </row>
    <row r="1114" spans="1:90" x14ac:dyDescent="0.3">
      <c r="A1114" t="s">
        <v>72</v>
      </c>
      <c r="B1114" t="s">
        <v>73</v>
      </c>
      <c r="C1114" t="s">
        <v>74</v>
      </c>
      <c r="E1114" t="str">
        <f>"080067112288"</f>
        <v>080067112288</v>
      </c>
      <c r="F1114" s="3">
        <v>45877</v>
      </c>
      <c r="G1114">
        <v>202605</v>
      </c>
      <c r="H1114" t="s">
        <v>75</v>
      </c>
      <c r="I1114" t="s">
        <v>76</v>
      </c>
      <c r="J1114" t="s">
        <v>77</v>
      </c>
      <c r="K1114" t="s">
        <v>78</v>
      </c>
      <c r="L1114" t="s">
        <v>179</v>
      </c>
      <c r="M1114" t="s">
        <v>180</v>
      </c>
      <c r="N1114" t="s">
        <v>181</v>
      </c>
      <c r="O1114" t="s">
        <v>82</v>
      </c>
      <c r="P1114" t="str">
        <f>"4170053662                    "</f>
        <v xml:space="preserve">4170053662                    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32.47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</v>
      </c>
      <c r="AX1114">
        <v>0</v>
      </c>
      <c r="AY1114">
        <v>0</v>
      </c>
      <c r="AZ1114">
        <v>0</v>
      </c>
      <c r="BA1114">
        <v>0</v>
      </c>
      <c r="BB1114">
        <v>0</v>
      </c>
      <c r="BC1114">
        <v>0</v>
      </c>
      <c r="BD1114">
        <v>0</v>
      </c>
      <c r="BE1114">
        <v>0</v>
      </c>
      <c r="BF1114">
        <v>0</v>
      </c>
      <c r="BG1114">
        <v>0</v>
      </c>
      <c r="BH1114">
        <v>1</v>
      </c>
      <c r="BI1114">
        <v>1</v>
      </c>
      <c r="BJ1114">
        <v>1.3</v>
      </c>
      <c r="BK1114">
        <v>1.5</v>
      </c>
      <c r="BL1114">
        <v>100.82</v>
      </c>
      <c r="BM1114">
        <v>15.12</v>
      </c>
      <c r="BN1114">
        <v>115.94</v>
      </c>
      <c r="BO1114">
        <v>115.94</v>
      </c>
      <c r="BQ1114" t="s">
        <v>182</v>
      </c>
      <c r="BR1114" t="s">
        <v>84</v>
      </c>
      <c r="BS1114" s="3">
        <v>45880</v>
      </c>
      <c r="BT1114" s="4">
        <v>0.42291666666666666</v>
      </c>
      <c r="BU1114" t="s">
        <v>183</v>
      </c>
      <c r="BV1114" t="s">
        <v>86</v>
      </c>
      <c r="BY1114">
        <v>6384</v>
      </c>
      <c r="CA1114" t="s">
        <v>184</v>
      </c>
      <c r="CC1114" t="s">
        <v>180</v>
      </c>
      <c r="CD1114">
        <v>1748</v>
      </c>
      <c r="CE1114" t="s">
        <v>147</v>
      </c>
      <c r="CF1114" s="3">
        <v>45881</v>
      </c>
      <c r="CI1114">
        <v>1</v>
      </c>
      <c r="CJ1114">
        <v>1</v>
      </c>
      <c r="CK1114">
        <v>24</v>
      </c>
      <c r="CL1114" t="s">
        <v>90</v>
      </c>
    </row>
    <row r="1115" spans="1:90" x14ac:dyDescent="0.3">
      <c r="A1115" t="s">
        <v>72</v>
      </c>
      <c r="B1115" t="s">
        <v>73</v>
      </c>
      <c r="C1115" t="s">
        <v>74</v>
      </c>
      <c r="E1115" t="str">
        <f>"080067112397"</f>
        <v>080067112397</v>
      </c>
      <c r="F1115" s="3">
        <v>45877</v>
      </c>
      <c r="G1115">
        <v>202605</v>
      </c>
      <c r="H1115" t="s">
        <v>75</v>
      </c>
      <c r="I1115" t="s">
        <v>76</v>
      </c>
      <c r="J1115" t="s">
        <v>77</v>
      </c>
      <c r="K1115" t="s">
        <v>78</v>
      </c>
      <c r="L1115" t="s">
        <v>325</v>
      </c>
      <c r="M1115" t="s">
        <v>326</v>
      </c>
      <c r="N1115" t="s">
        <v>1893</v>
      </c>
      <c r="O1115" t="s">
        <v>82</v>
      </c>
      <c r="P1115" t="str">
        <f>"4170053763                    "</f>
        <v xml:space="preserve">4170053763                    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18.03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>
        <v>0</v>
      </c>
      <c r="AY1115">
        <v>0</v>
      </c>
      <c r="AZ1115">
        <v>0</v>
      </c>
      <c r="BA1115">
        <v>0</v>
      </c>
      <c r="BB1115">
        <v>0</v>
      </c>
      <c r="BC1115">
        <v>0</v>
      </c>
      <c r="BD1115">
        <v>0</v>
      </c>
      <c r="BE1115">
        <v>0</v>
      </c>
      <c r="BF1115">
        <v>0</v>
      </c>
      <c r="BG1115">
        <v>0</v>
      </c>
      <c r="BH1115">
        <v>1</v>
      </c>
      <c r="BI1115">
        <v>2</v>
      </c>
      <c r="BJ1115">
        <v>1.8</v>
      </c>
      <c r="BK1115">
        <v>2</v>
      </c>
      <c r="BL1115">
        <v>55.99</v>
      </c>
      <c r="BM1115">
        <v>8.4</v>
      </c>
      <c r="BN1115">
        <v>64.39</v>
      </c>
      <c r="BO1115">
        <v>64.39</v>
      </c>
      <c r="BQ1115" t="s">
        <v>1894</v>
      </c>
      <c r="BR1115" t="s">
        <v>84</v>
      </c>
      <c r="BS1115" s="3">
        <v>45880</v>
      </c>
      <c r="BT1115" s="4">
        <v>0.3888888888888889</v>
      </c>
      <c r="BU1115" t="s">
        <v>1895</v>
      </c>
      <c r="BV1115" t="s">
        <v>86</v>
      </c>
      <c r="BY1115">
        <v>8775</v>
      </c>
      <c r="CA1115" t="s">
        <v>1896</v>
      </c>
      <c r="CC1115" t="s">
        <v>326</v>
      </c>
      <c r="CD1115">
        <v>2040</v>
      </c>
      <c r="CE1115" t="s">
        <v>117</v>
      </c>
      <c r="CF1115" s="3">
        <v>45880</v>
      </c>
      <c r="CI1115">
        <v>1</v>
      </c>
      <c r="CJ1115">
        <v>1</v>
      </c>
      <c r="CK1115">
        <v>22</v>
      </c>
      <c r="CL1115" t="s">
        <v>90</v>
      </c>
    </row>
    <row r="1116" spans="1:90" x14ac:dyDescent="0.3">
      <c r="A1116" t="s">
        <v>72</v>
      </c>
      <c r="B1116" t="s">
        <v>73</v>
      </c>
      <c r="C1116" t="s">
        <v>74</v>
      </c>
      <c r="E1116" t="str">
        <f>"080067112426"</f>
        <v>080067112426</v>
      </c>
      <c r="F1116" s="3">
        <v>45877</v>
      </c>
      <c r="G1116">
        <v>202605</v>
      </c>
      <c r="H1116" t="s">
        <v>75</v>
      </c>
      <c r="I1116" t="s">
        <v>76</v>
      </c>
      <c r="J1116" t="s">
        <v>77</v>
      </c>
      <c r="K1116" t="s">
        <v>78</v>
      </c>
      <c r="L1116" t="s">
        <v>198</v>
      </c>
      <c r="M1116" t="s">
        <v>199</v>
      </c>
      <c r="N1116" t="s">
        <v>469</v>
      </c>
      <c r="O1116" t="s">
        <v>82</v>
      </c>
      <c r="P1116" t="str">
        <f>"4170053753                    "</f>
        <v xml:space="preserve">4170053753                    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23.09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>
        <v>0</v>
      </c>
      <c r="AY1116">
        <v>0</v>
      </c>
      <c r="AZ1116">
        <v>0</v>
      </c>
      <c r="BA1116">
        <v>0</v>
      </c>
      <c r="BB1116">
        <v>0</v>
      </c>
      <c r="BC1116">
        <v>0</v>
      </c>
      <c r="BD1116">
        <v>0</v>
      </c>
      <c r="BE1116">
        <v>0</v>
      </c>
      <c r="BF1116">
        <v>0</v>
      </c>
      <c r="BG1116">
        <v>0</v>
      </c>
      <c r="BH1116">
        <v>1</v>
      </c>
      <c r="BI1116">
        <v>1</v>
      </c>
      <c r="BJ1116">
        <v>2</v>
      </c>
      <c r="BK1116">
        <v>2</v>
      </c>
      <c r="BL1116">
        <v>71.69</v>
      </c>
      <c r="BM1116">
        <v>10.75</v>
      </c>
      <c r="BN1116">
        <v>82.44</v>
      </c>
      <c r="BO1116">
        <v>82.44</v>
      </c>
      <c r="BQ1116" t="s">
        <v>470</v>
      </c>
      <c r="BR1116" t="s">
        <v>84</v>
      </c>
      <c r="BS1116" s="3">
        <v>45880</v>
      </c>
      <c r="BT1116" s="4">
        <v>0.37777777777777777</v>
      </c>
      <c r="BU1116" t="s">
        <v>780</v>
      </c>
      <c r="BV1116" t="s">
        <v>86</v>
      </c>
      <c r="BY1116">
        <v>9918</v>
      </c>
      <c r="CA1116" t="s">
        <v>1570</v>
      </c>
      <c r="CC1116" t="s">
        <v>199</v>
      </c>
      <c r="CD1116">
        <v>6001</v>
      </c>
      <c r="CE1116" t="s">
        <v>147</v>
      </c>
      <c r="CF1116" s="3">
        <v>45880</v>
      </c>
      <c r="CI1116">
        <v>1</v>
      </c>
      <c r="CJ1116">
        <v>1</v>
      </c>
      <c r="CK1116">
        <v>21</v>
      </c>
      <c r="CL1116" t="s">
        <v>90</v>
      </c>
    </row>
    <row r="1117" spans="1:90" x14ac:dyDescent="0.3">
      <c r="A1117" t="s">
        <v>72</v>
      </c>
      <c r="B1117" t="s">
        <v>73</v>
      </c>
      <c r="C1117" t="s">
        <v>74</v>
      </c>
      <c r="E1117" t="str">
        <f>"080067112447"</f>
        <v>080067112447</v>
      </c>
      <c r="F1117" s="3">
        <v>45877</v>
      </c>
      <c r="G1117">
        <v>202605</v>
      </c>
      <c r="H1117" t="s">
        <v>75</v>
      </c>
      <c r="I1117" t="s">
        <v>76</v>
      </c>
      <c r="J1117" t="s">
        <v>77</v>
      </c>
      <c r="K1117" t="s">
        <v>78</v>
      </c>
      <c r="L1117" t="s">
        <v>137</v>
      </c>
      <c r="M1117" t="s">
        <v>138</v>
      </c>
      <c r="N1117" t="s">
        <v>1760</v>
      </c>
      <c r="O1117" t="s">
        <v>82</v>
      </c>
      <c r="P1117" t="str">
        <f>"4170053949                    "</f>
        <v xml:space="preserve">4170053949                    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109.58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>
        <v>0</v>
      </c>
      <c r="AY1117">
        <v>0</v>
      </c>
      <c r="AZ1117">
        <v>0</v>
      </c>
      <c r="BA1117">
        <v>0</v>
      </c>
      <c r="BB1117">
        <v>0</v>
      </c>
      <c r="BC1117">
        <v>0</v>
      </c>
      <c r="BD1117">
        <v>0</v>
      </c>
      <c r="BE1117">
        <v>0</v>
      </c>
      <c r="BF1117">
        <v>0</v>
      </c>
      <c r="BG1117">
        <v>0</v>
      </c>
      <c r="BH1117">
        <v>1</v>
      </c>
      <c r="BI1117">
        <v>8</v>
      </c>
      <c r="BJ1117">
        <v>9.1</v>
      </c>
      <c r="BK1117">
        <v>9.5</v>
      </c>
      <c r="BL1117">
        <v>340.28</v>
      </c>
      <c r="BM1117">
        <v>51.04</v>
      </c>
      <c r="BN1117">
        <v>391.32</v>
      </c>
      <c r="BO1117">
        <v>391.32</v>
      </c>
      <c r="BQ1117" t="s">
        <v>1761</v>
      </c>
      <c r="BR1117" t="s">
        <v>84</v>
      </c>
      <c r="BS1117" s="3">
        <v>45880</v>
      </c>
      <c r="BT1117" s="4">
        <v>0.46180555555555558</v>
      </c>
      <c r="BU1117" t="s">
        <v>1897</v>
      </c>
      <c r="BV1117" t="s">
        <v>86</v>
      </c>
      <c r="BY1117">
        <v>45632</v>
      </c>
      <c r="CA1117" t="s">
        <v>953</v>
      </c>
      <c r="CC1117" t="s">
        <v>138</v>
      </c>
      <c r="CD1117">
        <v>3610</v>
      </c>
      <c r="CE1117" t="s">
        <v>147</v>
      </c>
      <c r="CF1117" s="3">
        <v>45881</v>
      </c>
      <c r="CI1117">
        <v>1</v>
      </c>
      <c r="CJ1117">
        <v>1</v>
      </c>
      <c r="CK1117">
        <v>21</v>
      </c>
      <c r="CL1117" t="s">
        <v>90</v>
      </c>
    </row>
    <row r="1118" spans="1:90" x14ac:dyDescent="0.3">
      <c r="A1118" t="s">
        <v>72</v>
      </c>
      <c r="B1118" t="s">
        <v>73</v>
      </c>
      <c r="C1118" t="s">
        <v>74</v>
      </c>
      <c r="E1118" t="str">
        <f>"080067112500"</f>
        <v>080067112500</v>
      </c>
      <c r="F1118" s="3">
        <v>45877</v>
      </c>
      <c r="G1118">
        <v>202605</v>
      </c>
      <c r="H1118" t="s">
        <v>75</v>
      </c>
      <c r="I1118" t="s">
        <v>76</v>
      </c>
      <c r="J1118" t="s">
        <v>77</v>
      </c>
      <c r="K1118" t="s">
        <v>78</v>
      </c>
      <c r="L1118" t="s">
        <v>385</v>
      </c>
      <c r="M1118" t="s">
        <v>386</v>
      </c>
      <c r="N1118" t="s">
        <v>635</v>
      </c>
      <c r="O1118" t="s">
        <v>82</v>
      </c>
      <c r="P1118" t="str">
        <f>"4170053776                    "</f>
        <v xml:space="preserve">4170053776                    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18.03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  <c r="AX1118">
        <v>0</v>
      </c>
      <c r="AY1118">
        <v>0</v>
      </c>
      <c r="AZ1118">
        <v>0</v>
      </c>
      <c r="BA1118">
        <v>0</v>
      </c>
      <c r="BB1118">
        <v>0</v>
      </c>
      <c r="BC1118">
        <v>0</v>
      </c>
      <c r="BD1118">
        <v>0</v>
      </c>
      <c r="BE1118">
        <v>0</v>
      </c>
      <c r="BF1118">
        <v>0</v>
      </c>
      <c r="BG1118">
        <v>0</v>
      </c>
      <c r="BH1118">
        <v>1</v>
      </c>
      <c r="BI1118">
        <v>1</v>
      </c>
      <c r="BJ1118">
        <v>0.2</v>
      </c>
      <c r="BK1118">
        <v>1</v>
      </c>
      <c r="BL1118">
        <v>55.99</v>
      </c>
      <c r="BM1118">
        <v>8.4</v>
      </c>
      <c r="BN1118">
        <v>64.39</v>
      </c>
      <c r="BO1118">
        <v>64.39</v>
      </c>
      <c r="BQ1118" t="s">
        <v>636</v>
      </c>
      <c r="BR1118" t="s">
        <v>84</v>
      </c>
      <c r="BS1118" s="3">
        <v>45880</v>
      </c>
      <c r="BT1118" s="4">
        <v>0.42430555555555555</v>
      </c>
      <c r="BU1118" t="s">
        <v>1891</v>
      </c>
      <c r="BV1118" t="s">
        <v>86</v>
      </c>
      <c r="BY1118">
        <v>1200</v>
      </c>
      <c r="CA1118" t="s">
        <v>851</v>
      </c>
      <c r="CC1118" t="s">
        <v>386</v>
      </c>
      <c r="CD1118">
        <v>1559</v>
      </c>
      <c r="CE1118" t="s">
        <v>109</v>
      </c>
      <c r="CF1118" s="3">
        <v>45880</v>
      </c>
      <c r="CI1118">
        <v>1</v>
      </c>
      <c r="CJ1118">
        <v>1</v>
      </c>
      <c r="CK1118">
        <v>22</v>
      </c>
      <c r="CL1118" t="s">
        <v>90</v>
      </c>
    </row>
    <row r="1119" spans="1:90" x14ac:dyDescent="0.3">
      <c r="A1119" t="s">
        <v>72</v>
      </c>
      <c r="B1119" t="s">
        <v>73</v>
      </c>
      <c r="C1119" t="s">
        <v>74</v>
      </c>
      <c r="E1119" t="str">
        <f>"080067112528"</f>
        <v>080067112528</v>
      </c>
      <c r="F1119" s="3">
        <v>45877</v>
      </c>
      <c r="G1119">
        <v>202605</v>
      </c>
      <c r="H1119" t="s">
        <v>75</v>
      </c>
      <c r="I1119" t="s">
        <v>76</v>
      </c>
      <c r="J1119" t="s">
        <v>77</v>
      </c>
      <c r="K1119" t="s">
        <v>78</v>
      </c>
      <c r="L1119" t="s">
        <v>241</v>
      </c>
      <c r="M1119" t="s">
        <v>242</v>
      </c>
      <c r="N1119" t="s">
        <v>1898</v>
      </c>
      <c r="O1119" t="s">
        <v>82</v>
      </c>
      <c r="P1119" t="str">
        <f>"4170053703                    "</f>
        <v xml:space="preserve">4170053703                    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18.03</v>
      </c>
      <c r="AR1119">
        <v>0</v>
      </c>
      <c r="AS1119">
        <v>0</v>
      </c>
      <c r="AT1119">
        <v>0</v>
      </c>
      <c r="AU1119">
        <v>0</v>
      </c>
      <c r="AV1119">
        <v>0</v>
      </c>
      <c r="AW1119">
        <v>0</v>
      </c>
      <c r="AX1119">
        <v>0</v>
      </c>
      <c r="AY1119">
        <v>0</v>
      </c>
      <c r="AZ1119">
        <v>0</v>
      </c>
      <c r="BA1119">
        <v>0</v>
      </c>
      <c r="BB1119">
        <v>0</v>
      </c>
      <c r="BC1119">
        <v>0</v>
      </c>
      <c r="BD1119">
        <v>0</v>
      </c>
      <c r="BE1119">
        <v>0</v>
      </c>
      <c r="BF1119">
        <v>0</v>
      </c>
      <c r="BG1119">
        <v>0</v>
      </c>
      <c r="BH1119">
        <v>1</v>
      </c>
      <c r="BI1119">
        <v>1</v>
      </c>
      <c r="BJ1119">
        <v>0.2</v>
      </c>
      <c r="BK1119">
        <v>1</v>
      </c>
      <c r="BL1119">
        <v>55.99</v>
      </c>
      <c r="BM1119">
        <v>8.4</v>
      </c>
      <c r="BN1119">
        <v>64.39</v>
      </c>
      <c r="BO1119">
        <v>64.39</v>
      </c>
      <c r="BQ1119" t="s">
        <v>1899</v>
      </c>
      <c r="BR1119" t="s">
        <v>84</v>
      </c>
      <c r="BS1119" s="3">
        <v>45880</v>
      </c>
      <c r="BT1119" s="4">
        <v>0.43055555555555558</v>
      </c>
      <c r="BU1119" t="s">
        <v>1900</v>
      </c>
      <c r="BV1119" t="s">
        <v>86</v>
      </c>
      <c r="BY1119">
        <v>1200</v>
      </c>
      <c r="CA1119" t="s">
        <v>576</v>
      </c>
      <c r="CC1119" t="s">
        <v>242</v>
      </c>
      <c r="CD1119">
        <v>1459</v>
      </c>
      <c r="CE1119" t="s">
        <v>109</v>
      </c>
      <c r="CF1119" s="3">
        <v>45881</v>
      </c>
      <c r="CI1119">
        <v>1</v>
      </c>
      <c r="CJ1119">
        <v>1</v>
      </c>
      <c r="CK1119">
        <v>22</v>
      </c>
      <c r="CL1119" t="s">
        <v>90</v>
      </c>
    </row>
    <row r="1120" spans="1:90" x14ac:dyDescent="0.3">
      <c r="A1120" t="s">
        <v>72</v>
      </c>
      <c r="B1120" t="s">
        <v>73</v>
      </c>
      <c r="C1120" t="s">
        <v>74</v>
      </c>
      <c r="E1120" t="str">
        <f>"080067112545"</f>
        <v>080067112545</v>
      </c>
      <c r="F1120" s="3">
        <v>45877</v>
      </c>
      <c r="G1120">
        <v>202605</v>
      </c>
      <c r="H1120" t="s">
        <v>75</v>
      </c>
      <c r="I1120" t="s">
        <v>76</v>
      </c>
      <c r="J1120" t="s">
        <v>77</v>
      </c>
      <c r="K1120" t="s">
        <v>78</v>
      </c>
      <c r="L1120" t="s">
        <v>110</v>
      </c>
      <c r="M1120" t="s">
        <v>111</v>
      </c>
      <c r="N1120" t="s">
        <v>1754</v>
      </c>
      <c r="O1120" t="s">
        <v>82</v>
      </c>
      <c r="P1120" t="str">
        <f>"4170053729                    "</f>
        <v xml:space="preserve">4170053729                    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18.03</v>
      </c>
      <c r="AR1120">
        <v>0</v>
      </c>
      <c r="AS1120">
        <v>0</v>
      </c>
      <c r="AT1120">
        <v>0</v>
      </c>
      <c r="AU1120">
        <v>0</v>
      </c>
      <c r="AV1120">
        <v>0</v>
      </c>
      <c r="AW1120">
        <v>0</v>
      </c>
      <c r="AX1120">
        <v>0</v>
      </c>
      <c r="AY1120">
        <v>0</v>
      </c>
      <c r="AZ1120">
        <v>0</v>
      </c>
      <c r="BA1120">
        <v>0</v>
      </c>
      <c r="BB1120">
        <v>0</v>
      </c>
      <c r="BC1120">
        <v>0</v>
      </c>
      <c r="BD1120">
        <v>0</v>
      </c>
      <c r="BE1120">
        <v>0</v>
      </c>
      <c r="BF1120">
        <v>0</v>
      </c>
      <c r="BG1120">
        <v>0</v>
      </c>
      <c r="BH1120">
        <v>1</v>
      </c>
      <c r="BI1120">
        <v>1</v>
      </c>
      <c r="BJ1120">
        <v>0.2</v>
      </c>
      <c r="BK1120">
        <v>1</v>
      </c>
      <c r="BL1120">
        <v>55.99</v>
      </c>
      <c r="BM1120">
        <v>8.4</v>
      </c>
      <c r="BN1120">
        <v>64.39</v>
      </c>
      <c r="BO1120">
        <v>64.39</v>
      </c>
      <c r="BQ1120" t="s">
        <v>1755</v>
      </c>
      <c r="BR1120" t="s">
        <v>84</v>
      </c>
      <c r="BS1120" s="3">
        <v>45880</v>
      </c>
      <c r="BT1120" s="4">
        <v>0.3840277777777778</v>
      </c>
      <c r="BU1120" t="s">
        <v>1756</v>
      </c>
      <c r="BV1120" t="s">
        <v>86</v>
      </c>
      <c r="BY1120">
        <v>1200</v>
      </c>
      <c r="CA1120" t="s">
        <v>312</v>
      </c>
      <c r="CC1120" t="s">
        <v>111</v>
      </c>
      <c r="CD1120">
        <v>2162</v>
      </c>
      <c r="CE1120" t="s">
        <v>109</v>
      </c>
      <c r="CF1120" s="3">
        <v>45881</v>
      </c>
      <c r="CI1120">
        <v>1</v>
      </c>
      <c r="CJ1120">
        <v>1</v>
      </c>
      <c r="CK1120">
        <v>22</v>
      </c>
      <c r="CL1120" t="s">
        <v>90</v>
      </c>
    </row>
    <row r="1121" spans="1:90" x14ac:dyDescent="0.3">
      <c r="A1121" t="s">
        <v>72</v>
      </c>
      <c r="B1121" t="s">
        <v>73</v>
      </c>
      <c r="C1121" t="s">
        <v>74</v>
      </c>
      <c r="E1121" t="str">
        <f>"080067112556"</f>
        <v>080067112556</v>
      </c>
      <c r="F1121" s="3">
        <v>45877</v>
      </c>
      <c r="G1121">
        <v>202605</v>
      </c>
      <c r="H1121" t="s">
        <v>75</v>
      </c>
      <c r="I1121" t="s">
        <v>76</v>
      </c>
      <c r="J1121" t="s">
        <v>77</v>
      </c>
      <c r="K1121" t="s">
        <v>78</v>
      </c>
      <c r="L1121" t="s">
        <v>385</v>
      </c>
      <c r="M1121" t="s">
        <v>386</v>
      </c>
      <c r="N1121" t="s">
        <v>635</v>
      </c>
      <c r="O1121" t="s">
        <v>82</v>
      </c>
      <c r="P1121" t="str">
        <f>"4170053775                    "</f>
        <v xml:space="preserve">4170053775                    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18.03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0</v>
      </c>
      <c r="BA1121">
        <v>0</v>
      </c>
      <c r="BB1121">
        <v>0</v>
      </c>
      <c r="BC1121">
        <v>0</v>
      </c>
      <c r="BD1121">
        <v>0</v>
      </c>
      <c r="BE1121">
        <v>0</v>
      </c>
      <c r="BF1121">
        <v>0</v>
      </c>
      <c r="BG1121">
        <v>0</v>
      </c>
      <c r="BH1121">
        <v>1</v>
      </c>
      <c r="BI1121">
        <v>1</v>
      </c>
      <c r="BJ1121">
        <v>0.2</v>
      </c>
      <c r="BK1121">
        <v>1</v>
      </c>
      <c r="BL1121">
        <v>55.99</v>
      </c>
      <c r="BM1121">
        <v>8.4</v>
      </c>
      <c r="BN1121">
        <v>64.39</v>
      </c>
      <c r="BO1121">
        <v>64.39</v>
      </c>
      <c r="BQ1121" t="s">
        <v>636</v>
      </c>
      <c r="BR1121" t="s">
        <v>84</v>
      </c>
      <c r="BS1121" s="3">
        <v>45880</v>
      </c>
      <c r="BT1121" s="4">
        <v>0.42777777777777776</v>
      </c>
      <c r="BU1121" t="s">
        <v>1891</v>
      </c>
      <c r="BV1121" t="s">
        <v>86</v>
      </c>
      <c r="BY1121">
        <v>1200</v>
      </c>
      <c r="CA1121" t="s">
        <v>851</v>
      </c>
      <c r="CC1121" t="s">
        <v>386</v>
      </c>
      <c r="CD1121">
        <v>1559</v>
      </c>
      <c r="CE1121" t="s">
        <v>109</v>
      </c>
      <c r="CF1121" s="3">
        <v>45880</v>
      </c>
      <c r="CI1121">
        <v>1</v>
      </c>
      <c r="CJ1121">
        <v>1</v>
      </c>
      <c r="CK1121">
        <v>22</v>
      </c>
      <c r="CL1121" t="s">
        <v>90</v>
      </c>
    </row>
    <row r="1122" spans="1:90" x14ac:dyDescent="0.3">
      <c r="A1122" t="s">
        <v>72</v>
      </c>
      <c r="B1122" t="s">
        <v>73</v>
      </c>
      <c r="C1122" t="s">
        <v>74</v>
      </c>
      <c r="E1122" t="str">
        <f>"080067112577"</f>
        <v>080067112577</v>
      </c>
      <c r="F1122" s="3">
        <v>45877</v>
      </c>
      <c r="G1122">
        <v>202605</v>
      </c>
      <c r="H1122" t="s">
        <v>75</v>
      </c>
      <c r="I1122" t="s">
        <v>76</v>
      </c>
      <c r="J1122" t="s">
        <v>77</v>
      </c>
      <c r="K1122" t="s">
        <v>78</v>
      </c>
      <c r="L1122" t="s">
        <v>75</v>
      </c>
      <c r="M1122" t="s">
        <v>76</v>
      </c>
      <c r="N1122" t="s">
        <v>761</v>
      </c>
      <c r="O1122" t="s">
        <v>82</v>
      </c>
      <c r="P1122" t="str">
        <f>"4170053805                    "</f>
        <v xml:space="preserve">4170053805                    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18.03</v>
      </c>
      <c r="AR1122">
        <v>0</v>
      </c>
      <c r="AS1122">
        <v>0</v>
      </c>
      <c r="AT1122">
        <v>0</v>
      </c>
      <c r="AU1122">
        <v>0</v>
      </c>
      <c r="AV1122">
        <v>0</v>
      </c>
      <c r="AW1122">
        <v>0</v>
      </c>
      <c r="AX1122">
        <v>0</v>
      </c>
      <c r="AY1122">
        <v>0</v>
      </c>
      <c r="AZ1122">
        <v>0</v>
      </c>
      <c r="BA1122">
        <v>0</v>
      </c>
      <c r="BB1122">
        <v>0</v>
      </c>
      <c r="BC1122">
        <v>0</v>
      </c>
      <c r="BD1122">
        <v>0</v>
      </c>
      <c r="BE1122">
        <v>0</v>
      </c>
      <c r="BF1122">
        <v>0</v>
      </c>
      <c r="BG1122">
        <v>0</v>
      </c>
      <c r="BH1122">
        <v>1</v>
      </c>
      <c r="BI1122">
        <v>1</v>
      </c>
      <c r="BJ1122">
        <v>0.2</v>
      </c>
      <c r="BK1122">
        <v>1</v>
      </c>
      <c r="BL1122">
        <v>55.99</v>
      </c>
      <c r="BM1122">
        <v>8.4</v>
      </c>
      <c r="BN1122">
        <v>64.39</v>
      </c>
      <c r="BO1122">
        <v>64.39</v>
      </c>
      <c r="BQ1122" t="s">
        <v>762</v>
      </c>
      <c r="BR1122" t="s">
        <v>84</v>
      </c>
      <c r="BS1122" s="3">
        <v>45880</v>
      </c>
      <c r="BT1122" s="4">
        <v>0.3659722222222222</v>
      </c>
      <c r="BU1122" t="s">
        <v>763</v>
      </c>
      <c r="BV1122" t="s">
        <v>86</v>
      </c>
      <c r="BY1122">
        <v>1200</v>
      </c>
      <c r="CA1122" t="s">
        <v>155</v>
      </c>
      <c r="CC1122" t="s">
        <v>76</v>
      </c>
      <c r="CD1122">
        <v>1618</v>
      </c>
      <c r="CE1122" t="s">
        <v>109</v>
      </c>
      <c r="CF1122" s="3">
        <v>45880</v>
      </c>
      <c r="CI1122">
        <v>1</v>
      </c>
      <c r="CJ1122">
        <v>1</v>
      </c>
      <c r="CK1122">
        <v>22</v>
      </c>
      <c r="CL1122" t="s">
        <v>90</v>
      </c>
    </row>
    <row r="1123" spans="1:90" x14ac:dyDescent="0.3">
      <c r="A1123" t="s">
        <v>72</v>
      </c>
      <c r="B1123" t="s">
        <v>73</v>
      </c>
      <c r="C1123" t="s">
        <v>74</v>
      </c>
      <c r="E1123" t="str">
        <f>"080067112592"</f>
        <v>080067112592</v>
      </c>
      <c r="F1123" s="3">
        <v>45877</v>
      </c>
      <c r="G1123">
        <v>202605</v>
      </c>
      <c r="H1123" t="s">
        <v>75</v>
      </c>
      <c r="I1123" t="s">
        <v>76</v>
      </c>
      <c r="J1123" t="s">
        <v>77</v>
      </c>
      <c r="K1123" t="s">
        <v>78</v>
      </c>
      <c r="L1123" t="s">
        <v>520</v>
      </c>
      <c r="M1123" t="s">
        <v>521</v>
      </c>
      <c r="N1123" t="s">
        <v>562</v>
      </c>
      <c r="O1123" t="s">
        <v>82</v>
      </c>
      <c r="P1123" t="str">
        <f>"4170053693                    "</f>
        <v xml:space="preserve">4170053693                    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44.73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  <c r="AX1123">
        <v>0</v>
      </c>
      <c r="AY1123">
        <v>0</v>
      </c>
      <c r="AZ1123">
        <v>0</v>
      </c>
      <c r="BA1123">
        <v>0</v>
      </c>
      <c r="BB1123">
        <v>0</v>
      </c>
      <c r="BC1123">
        <v>0</v>
      </c>
      <c r="BD1123">
        <v>0</v>
      </c>
      <c r="BE1123">
        <v>0</v>
      </c>
      <c r="BF1123">
        <v>0</v>
      </c>
      <c r="BG1123">
        <v>0</v>
      </c>
      <c r="BH1123">
        <v>1</v>
      </c>
      <c r="BI1123">
        <v>1</v>
      </c>
      <c r="BJ1123">
        <v>0.2</v>
      </c>
      <c r="BK1123">
        <v>1</v>
      </c>
      <c r="BL1123">
        <v>138.88999999999999</v>
      </c>
      <c r="BM1123">
        <v>20.83</v>
      </c>
      <c r="BN1123">
        <v>159.72</v>
      </c>
      <c r="BO1123">
        <v>159.72</v>
      </c>
      <c r="BQ1123" t="s">
        <v>563</v>
      </c>
      <c r="BR1123" t="s">
        <v>84</v>
      </c>
      <c r="BS1123" s="3">
        <v>45881</v>
      </c>
      <c r="BT1123" s="4">
        <v>0.4375</v>
      </c>
      <c r="BU1123" t="s">
        <v>1901</v>
      </c>
      <c r="BV1123" t="s">
        <v>86</v>
      </c>
      <c r="BY1123">
        <v>1200</v>
      </c>
      <c r="CC1123" t="s">
        <v>521</v>
      </c>
      <c r="CD1123">
        <v>1871</v>
      </c>
      <c r="CE1123" t="s">
        <v>109</v>
      </c>
      <c r="CF1123" s="3">
        <v>45882</v>
      </c>
      <c r="CI1123">
        <v>1</v>
      </c>
      <c r="CJ1123">
        <v>2</v>
      </c>
      <c r="CK1123">
        <v>23</v>
      </c>
      <c r="CL1123" t="s">
        <v>90</v>
      </c>
    </row>
    <row r="1124" spans="1:90" x14ac:dyDescent="0.3">
      <c r="A1124" t="s">
        <v>72</v>
      </c>
      <c r="B1124" t="s">
        <v>73</v>
      </c>
      <c r="C1124" t="s">
        <v>74</v>
      </c>
      <c r="E1124" t="str">
        <f>"080067112605"</f>
        <v>080067112605</v>
      </c>
      <c r="F1124" s="3">
        <v>45877</v>
      </c>
      <c r="G1124">
        <v>202605</v>
      </c>
      <c r="H1124" t="s">
        <v>75</v>
      </c>
      <c r="I1124" t="s">
        <v>76</v>
      </c>
      <c r="J1124" t="s">
        <v>77</v>
      </c>
      <c r="K1124" t="s">
        <v>78</v>
      </c>
      <c r="L1124" t="s">
        <v>75</v>
      </c>
      <c r="M1124" t="s">
        <v>76</v>
      </c>
      <c r="N1124" t="s">
        <v>1290</v>
      </c>
      <c r="O1124" t="s">
        <v>82</v>
      </c>
      <c r="P1124" t="str">
        <f>"4170053769                    "</f>
        <v xml:space="preserve">4170053769                    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18.03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0</v>
      </c>
      <c r="BA1124">
        <v>0</v>
      </c>
      <c r="BB1124">
        <v>0</v>
      </c>
      <c r="BC1124">
        <v>0</v>
      </c>
      <c r="BD1124">
        <v>0</v>
      </c>
      <c r="BE1124">
        <v>0</v>
      </c>
      <c r="BF1124">
        <v>0</v>
      </c>
      <c r="BG1124">
        <v>0</v>
      </c>
      <c r="BH1124">
        <v>1</v>
      </c>
      <c r="BI1124">
        <v>1</v>
      </c>
      <c r="BJ1124">
        <v>0.2</v>
      </c>
      <c r="BK1124">
        <v>1</v>
      </c>
      <c r="BL1124">
        <v>55.99</v>
      </c>
      <c r="BM1124">
        <v>8.4</v>
      </c>
      <c r="BN1124">
        <v>64.39</v>
      </c>
      <c r="BO1124">
        <v>64.39</v>
      </c>
      <c r="BQ1124" t="s">
        <v>1291</v>
      </c>
      <c r="BR1124" t="s">
        <v>84</v>
      </c>
      <c r="BS1124" s="3">
        <v>45880</v>
      </c>
      <c r="BT1124" s="4">
        <v>0.38333333333333336</v>
      </c>
      <c r="BU1124" t="s">
        <v>1292</v>
      </c>
      <c r="BV1124" t="s">
        <v>86</v>
      </c>
      <c r="BY1124">
        <v>1200</v>
      </c>
      <c r="CA1124" t="s">
        <v>1026</v>
      </c>
      <c r="CC1124" t="s">
        <v>76</v>
      </c>
      <c r="CD1124">
        <v>1601</v>
      </c>
      <c r="CE1124" t="s">
        <v>109</v>
      </c>
      <c r="CF1124" s="3">
        <v>45881</v>
      </c>
      <c r="CI1124">
        <v>1</v>
      </c>
      <c r="CJ1124">
        <v>1</v>
      </c>
      <c r="CK1124">
        <v>22</v>
      </c>
      <c r="CL1124" t="s">
        <v>90</v>
      </c>
    </row>
    <row r="1125" spans="1:90" x14ac:dyDescent="0.3">
      <c r="A1125" t="s">
        <v>72</v>
      </c>
      <c r="B1125" t="s">
        <v>73</v>
      </c>
      <c r="C1125" t="s">
        <v>74</v>
      </c>
      <c r="E1125" t="str">
        <f>"080067112610"</f>
        <v>080067112610</v>
      </c>
      <c r="F1125" s="3">
        <v>45877</v>
      </c>
      <c r="G1125">
        <v>202605</v>
      </c>
      <c r="H1125" t="s">
        <v>75</v>
      </c>
      <c r="I1125" t="s">
        <v>76</v>
      </c>
      <c r="J1125" t="s">
        <v>77</v>
      </c>
      <c r="K1125" t="s">
        <v>78</v>
      </c>
      <c r="L1125" t="s">
        <v>198</v>
      </c>
      <c r="M1125" t="s">
        <v>199</v>
      </c>
      <c r="N1125" t="s">
        <v>667</v>
      </c>
      <c r="O1125" t="s">
        <v>82</v>
      </c>
      <c r="P1125" t="str">
        <f>"4170053863                    "</f>
        <v xml:space="preserve">4170053863                    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23.09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0</v>
      </c>
      <c r="AX1125">
        <v>0</v>
      </c>
      <c r="AY1125">
        <v>0</v>
      </c>
      <c r="AZ1125">
        <v>0</v>
      </c>
      <c r="BA1125">
        <v>0</v>
      </c>
      <c r="BB1125">
        <v>0</v>
      </c>
      <c r="BC1125">
        <v>0</v>
      </c>
      <c r="BD1125">
        <v>0</v>
      </c>
      <c r="BE1125">
        <v>0</v>
      </c>
      <c r="BF1125">
        <v>0</v>
      </c>
      <c r="BG1125">
        <v>0</v>
      </c>
      <c r="BH1125">
        <v>1</v>
      </c>
      <c r="BI1125">
        <v>1</v>
      </c>
      <c r="BJ1125">
        <v>0.2</v>
      </c>
      <c r="BK1125">
        <v>1</v>
      </c>
      <c r="BL1125">
        <v>71.69</v>
      </c>
      <c r="BM1125">
        <v>10.75</v>
      </c>
      <c r="BN1125">
        <v>82.44</v>
      </c>
      <c r="BO1125">
        <v>82.44</v>
      </c>
      <c r="BQ1125" t="s">
        <v>668</v>
      </c>
      <c r="BR1125" t="s">
        <v>84</v>
      </c>
      <c r="BS1125" s="3">
        <v>45880</v>
      </c>
      <c r="BT1125" s="4">
        <v>0.37152777777777779</v>
      </c>
      <c r="BU1125" t="s">
        <v>1902</v>
      </c>
      <c r="BV1125" t="s">
        <v>86</v>
      </c>
      <c r="BY1125">
        <v>1200</v>
      </c>
      <c r="CA1125" t="s">
        <v>433</v>
      </c>
      <c r="CC1125" t="s">
        <v>199</v>
      </c>
      <c r="CD1125">
        <v>6001</v>
      </c>
      <c r="CE1125" t="s">
        <v>109</v>
      </c>
      <c r="CF1125" s="3">
        <v>45880</v>
      </c>
      <c r="CI1125">
        <v>1</v>
      </c>
      <c r="CJ1125">
        <v>1</v>
      </c>
      <c r="CK1125">
        <v>21</v>
      </c>
      <c r="CL1125" t="s">
        <v>90</v>
      </c>
    </row>
    <row r="1126" spans="1:90" x14ac:dyDescent="0.3">
      <c r="A1126" t="s">
        <v>72</v>
      </c>
      <c r="B1126" t="s">
        <v>73</v>
      </c>
      <c r="C1126" t="s">
        <v>74</v>
      </c>
      <c r="E1126" t="str">
        <f>"080067112678"</f>
        <v>080067112678</v>
      </c>
      <c r="F1126" s="3">
        <v>45877</v>
      </c>
      <c r="G1126">
        <v>202605</v>
      </c>
      <c r="H1126" t="s">
        <v>75</v>
      </c>
      <c r="I1126" t="s">
        <v>76</v>
      </c>
      <c r="J1126" t="s">
        <v>77</v>
      </c>
      <c r="K1126" t="s">
        <v>78</v>
      </c>
      <c r="L1126" t="s">
        <v>123</v>
      </c>
      <c r="M1126" t="s">
        <v>124</v>
      </c>
      <c r="N1126" t="s">
        <v>1903</v>
      </c>
      <c r="O1126" t="s">
        <v>82</v>
      </c>
      <c r="P1126" t="str">
        <f>"4170053860                    "</f>
        <v xml:space="preserve">4170053860                    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>
        <v>23.09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</v>
      </c>
      <c r="AX1126">
        <v>0</v>
      </c>
      <c r="AY1126">
        <v>0</v>
      </c>
      <c r="AZ1126">
        <v>0</v>
      </c>
      <c r="BA1126">
        <v>0</v>
      </c>
      <c r="BB1126">
        <v>0</v>
      </c>
      <c r="BC1126">
        <v>0</v>
      </c>
      <c r="BD1126">
        <v>0</v>
      </c>
      <c r="BE1126">
        <v>0</v>
      </c>
      <c r="BF1126">
        <v>0</v>
      </c>
      <c r="BG1126">
        <v>0</v>
      </c>
      <c r="BH1126">
        <v>1</v>
      </c>
      <c r="BI1126">
        <v>1</v>
      </c>
      <c r="BJ1126">
        <v>0.2</v>
      </c>
      <c r="BK1126">
        <v>1</v>
      </c>
      <c r="BL1126">
        <v>71.69</v>
      </c>
      <c r="BM1126">
        <v>10.75</v>
      </c>
      <c r="BN1126">
        <v>82.44</v>
      </c>
      <c r="BO1126">
        <v>82.44</v>
      </c>
      <c r="BQ1126" t="s">
        <v>1904</v>
      </c>
      <c r="BR1126" t="s">
        <v>84</v>
      </c>
      <c r="BS1126" s="3">
        <v>45883</v>
      </c>
      <c r="BT1126" s="4">
        <v>0.28541666666666665</v>
      </c>
      <c r="BU1126" t="s">
        <v>176</v>
      </c>
      <c r="BV1126" t="s">
        <v>90</v>
      </c>
      <c r="BY1126">
        <v>1200</v>
      </c>
      <c r="CA1126" t="s">
        <v>177</v>
      </c>
      <c r="CC1126" t="s">
        <v>124</v>
      </c>
      <c r="CD1126">
        <v>7441</v>
      </c>
      <c r="CE1126" t="s">
        <v>109</v>
      </c>
      <c r="CI1126">
        <v>1</v>
      </c>
      <c r="CJ1126">
        <v>4</v>
      </c>
      <c r="CK1126">
        <v>21</v>
      </c>
      <c r="CL1126" t="s">
        <v>90</v>
      </c>
    </row>
    <row r="1127" spans="1:90" x14ac:dyDescent="0.3">
      <c r="A1127" t="s">
        <v>72</v>
      </c>
      <c r="B1127" t="s">
        <v>73</v>
      </c>
      <c r="C1127" t="s">
        <v>74</v>
      </c>
      <c r="E1127" t="str">
        <f>"080067112682"</f>
        <v>080067112682</v>
      </c>
      <c r="F1127" s="3">
        <v>45877</v>
      </c>
      <c r="G1127">
        <v>202605</v>
      </c>
      <c r="H1127" t="s">
        <v>75</v>
      </c>
      <c r="I1127" t="s">
        <v>76</v>
      </c>
      <c r="J1127" t="s">
        <v>77</v>
      </c>
      <c r="K1127" t="s">
        <v>78</v>
      </c>
      <c r="L1127" t="s">
        <v>75</v>
      </c>
      <c r="M1127" t="s">
        <v>76</v>
      </c>
      <c r="N1127" t="s">
        <v>1905</v>
      </c>
      <c r="O1127" t="s">
        <v>82</v>
      </c>
      <c r="P1127" t="str">
        <f>"4170053736                    "</f>
        <v xml:space="preserve">4170053736                    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18.03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0</v>
      </c>
      <c r="BA1127">
        <v>0</v>
      </c>
      <c r="BB1127">
        <v>0</v>
      </c>
      <c r="BC1127">
        <v>0</v>
      </c>
      <c r="BD1127">
        <v>0</v>
      </c>
      <c r="BE1127">
        <v>0</v>
      </c>
      <c r="BF1127">
        <v>0</v>
      </c>
      <c r="BG1127">
        <v>0</v>
      </c>
      <c r="BH1127">
        <v>1</v>
      </c>
      <c r="BI1127">
        <v>1</v>
      </c>
      <c r="BJ1127">
        <v>0.2</v>
      </c>
      <c r="BK1127">
        <v>1</v>
      </c>
      <c r="BL1127">
        <v>55.99</v>
      </c>
      <c r="BM1127">
        <v>8.4</v>
      </c>
      <c r="BN1127">
        <v>64.39</v>
      </c>
      <c r="BO1127">
        <v>64.39</v>
      </c>
      <c r="BQ1127" t="s">
        <v>1906</v>
      </c>
      <c r="BR1127" t="s">
        <v>84</v>
      </c>
      <c r="BS1127" s="3">
        <v>45880</v>
      </c>
      <c r="BT1127" s="4">
        <v>0.36041666666666666</v>
      </c>
      <c r="BU1127" t="s">
        <v>1907</v>
      </c>
      <c r="BV1127" t="s">
        <v>86</v>
      </c>
      <c r="BY1127">
        <v>1200</v>
      </c>
      <c r="CA1127" t="s">
        <v>1743</v>
      </c>
      <c r="CC1127" t="s">
        <v>76</v>
      </c>
      <c r="CD1127">
        <v>1600</v>
      </c>
      <c r="CE1127" t="s">
        <v>109</v>
      </c>
      <c r="CF1127" s="3">
        <v>45880</v>
      </c>
      <c r="CI1127">
        <v>1</v>
      </c>
      <c r="CJ1127">
        <v>1</v>
      </c>
      <c r="CK1127">
        <v>22</v>
      </c>
      <c r="CL1127" t="s">
        <v>90</v>
      </c>
    </row>
    <row r="1128" spans="1:90" x14ac:dyDescent="0.3">
      <c r="A1128" t="s">
        <v>72</v>
      </c>
      <c r="B1128" t="s">
        <v>73</v>
      </c>
      <c r="C1128" t="s">
        <v>74</v>
      </c>
      <c r="E1128" t="str">
        <f>"080067112700"</f>
        <v>080067112700</v>
      </c>
      <c r="F1128" s="3">
        <v>45877</v>
      </c>
      <c r="G1128">
        <v>202605</v>
      </c>
      <c r="H1128" t="s">
        <v>75</v>
      </c>
      <c r="I1128" t="s">
        <v>76</v>
      </c>
      <c r="J1128" t="s">
        <v>77</v>
      </c>
      <c r="K1128" t="s">
        <v>78</v>
      </c>
      <c r="L1128" t="s">
        <v>179</v>
      </c>
      <c r="M1128" t="s">
        <v>180</v>
      </c>
      <c r="N1128" t="s">
        <v>1674</v>
      </c>
      <c r="O1128" t="s">
        <v>82</v>
      </c>
      <c r="P1128" t="str">
        <f>"4170053735                    "</f>
        <v xml:space="preserve">4170053735                    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32.47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0</v>
      </c>
      <c r="BA1128">
        <v>0</v>
      </c>
      <c r="BB1128">
        <v>0</v>
      </c>
      <c r="BC1128">
        <v>0</v>
      </c>
      <c r="BD1128">
        <v>0</v>
      </c>
      <c r="BE1128">
        <v>0</v>
      </c>
      <c r="BF1128">
        <v>0</v>
      </c>
      <c r="BG1128">
        <v>0</v>
      </c>
      <c r="BH1128">
        <v>1</v>
      </c>
      <c r="BI1128">
        <v>1</v>
      </c>
      <c r="BJ1128">
        <v>0.2</v>
      </c>
      <c r="BK1128">
        <v>1</v>
      </c>
      <c r="BL1128">
        <v>100.82</v>
      </c>
      <c r="BM1128">
        <v>15.12</v>
      </c>
      <c r="BN1128">
        <v>115.94</v>
      </c>
      <c r="BO1128">
        <v>115.94</v>
      </c>
      <c r="BQ1128" t="s">
        <v>1675</v>
      </c>
      <c r="BR1128" t="s">
        <v>84</v>
      </c>
      <c r="BS1128" s="3">
        <v>45881</v>
      </c>
      <c r="BT1128" s="4">
        <v>0.4861111111111111</v>
      </c>
      <c r="BU1128" t="s">
        <v>1908</v>
      </c>
      <c r="BV1128" t="s">
        <v>86</v>
      </c>
      <c r="BY1128">
        <v>1200</v>
      </c>
      <c r="CA1128" t="s">
        <v>1909</v>
      </c>
      <c r="CC1128" t="s">
        <v>180</v>
      </c>
      <c r="CD1128">
        <v>1739</v>
      </c>
      <c r="CE1128" t="s">
        <v>109</v>
      </c>
      <c r="CF1128" s="3">
        <v>45881</v>
      </c>
      <c r="CI1128">
        <v>1</v>
      </c>
      <c r="CJ1128">
        <v>2</v>
      </c>
      <c r="CK1128">
        <v>24</v>
      </c>
      <c r="CL1128" t="s">
        <v>90</v>
      </c>
    </row>
    <row r="1129" spans="1:90" x14ac:dyDescent="0.3">
      <c r="A1129" t="s">
        <v>72</v>
      </c>
      <c r="B1129" t="s">
        <v>73</v>
      </c>
      <c r="C1129" t="s">
        <v>74</v>
      </c>
      <c r="E1129" t="str">
        <f>"080067112701"</f>
        <v>080067112701</v>
      </c>
      <c r="F1129" s="3">
        <v>45877</v>
      </c>
      <c r="G1129">
        <v>202605</v>
      </c>
      <c r="H1129" t="s">
        <v>75</v>
      </c>
      <c r="I1129" t="s">
        <v>76</v>
      </c>
      <c r="J1129" t="s">
        <v>77</v>
      </c>
      <c r="K1129" t="s">
        <v>78</v>
      </c>
      <c r="L1129" t="s">
        <v>241</v>
      </c>
      <c r="M1129" t="s">
        <v>242</v>
      </c>
      <c r="N1129" t="s">
        <v>1910</v>
      </c>
      <c r="O1129" t="s">
        <v>82</v>
      </c>
      <c r="P1129" t="str">
        <f>"4170053740                    "</f>
        <v xml:space="preserve">4170053740                    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18.03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0</v>
      </c>
      <c r="BA1129">
        <v>0</v>
      </c>
      <c r="BB1129">
        <v>0</v>
      </c>
      <c r="BC1129">
        <v>0</v>
      </c>
      <c r="BD1129">
        <v>0</v>
      </c>
      <c r="BE1129">
        <v>0</v>
      </c>
      <c r="BF1129">
        <v>0</v>
      </c>
      <c r="BG1129">
        <v>0</v>
      </c>
      <c r="BH1129">
        <v>1</v>
      </c>
      <c r="BI1129">
        <v>1</v>
      </c>
      <c r="BJ1129">
        <v>0.2</v>
      </c>
      <c r="BK1129">
        <v>1</v>
      </c>
      <c r="BL1129">
        <v>55.99</v>
      </c>
      <c r="BM1129">
        <v>8.4</v>
      </c>
      <c r="BN1129">
        <v>64.39</v>
      </c>
      <c r="BO1129">
        <v>64.39</v>
      </c>
      <c r="BQ1129" t="s">
        <v>1911</v>
      </c>
      <c r="BR1129" t="s">
        <v>84</v>
      </c>
      <c r="BS1129" s="3">
        <v>45880</v>
      </c>
      <c r="BT1129" s="4">
        <v>0.3611111111111111</v>
      </c>
      <c r="BU1129" t="s">
        <v>1912</v>
      </c>
      <c r="BV1129" t="s">
        <v>86</v>
      </c>
      <c r="BY1129">
        <v>1200</v>
      </c>
      <c r="CA1129" t="s">
        <v>720</v>
      </c>
      <c r="CC1129" t="s">
        <v>242</v>
      </c>
      <c r="CD1129">
        <v>1459</v>
      </c>
      <c r="CE1129" t="s">
        <v>109</v>
      </c>
      <c r="CF1129" s="3">
        <v>45881</v>
      </c>
      <c r="CI1129">
        <v>1</v>
      </c>
      <c r="CJ1129">
        <v>1</v>
      </c>
      <c r="CK1129">
        <v>22</v>
      </c>
      <c r="CL1129" t="s">
        <v>90</v>
      </c>
    </row>
    <row r="1130" spans="1:90" x14ac:dyDescent="0.3">
      <c r="A1130" t="s">
        <v>72</v>
      </c>
      <c r="B1130" t="s">
        <v>73</v>
      </c>
      <c r="C1130" t="s">
        <v>74</v>
      </c>
      <c r="E1130" t="str">
        <f>"080067112715"</f>
        <v>080067112715</v>
      </c>
      <c r="F1130" s="3">
        <v>45877</v>
      </c>
      <c r="G1130">
        <v>202605</v>
      </c>
      <c r="H1130" t="s">
        <v>75</v>
      </c>
      <c r="I1130" t="s">
        <v>76</v>
      </c>
      <c r="J1130" t="s">
        <v>77</v>
      </c>
      <c r="K1130" t="s">
        <v>78</v>
      </c>
      <c r="L1130" t="s">
        <v>162</v>
      </c>
      <c r="M1130" t="s">
        <v>163</v>
      </c>
      <c r="N1130" t="s">
        <v>811</v>
      </c>
      <c r="O1130" t="s">
        <v>82</v>
      </c>
      <c r="P1130" t="str">
        <f>"4170053746                    "</f>
        <v xml:space="preserve">4170053746                    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23.09</v>
      </c>
      <c r="AR1130">
        <v>0</v>
      </c>
      <c r="AS1130">
        <v>0</v>
      </c>
      <c r="AT1130">
        <v>0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0</v>
      </c>
      <c r="BA1130">
        <v>0</v>
      </c>
      <c r="BB1130">
        <v>0</v>
      </c>
      <c r="BC1130">
        <v>0</v>
      </c>
      <c r="BD1130">
        <v>0</v>
      </c>
      <c r="BE1130">
        <v>0</v>
      </c>
      <c r="BF1130">
        <v>0</v>
      </c>
      <c r="BG1130">
        <v>0</v>
      </c>
      <c r="BH1130">
        <v>1</v>
      </c>
      <c r="BI1130">
        <v>1</v>
      </c>
      <c r="BJ1130">
        <v>0.2</v>
      </c>
      <c r="BK1130">
        <v>1</v>
      </c>
      <c r="BL1130">
        <v>71.69</v>
      </c>
      <c r="BM1130">
        <v>10.75</v>
      </c>
      <c r="BN1130">
        <v>82.44</v>
      </c>
      <c r="BO1130">
        <v>82.44</v>
      </c>
      <c r="BQ1130" t="s">
        <v>812</v>
      </c>
      <c r="BR1130" t="s">
        <v>84</v>
      </c>
      <c r="BS1130" s="3">
        <v>45880</v>
      </c>
      <c r="BT1130" s="4">
        <v>0.41666666666666669</v>
      </c>
      <c r="BU1130" t="s">
        <v>1377</v>
      </c>
      <c r="BV1130" t="s">
        <v>86</v>
      </c>
      <c r="BY1130">
        <v>1200</v>
      </c>
      <c r="CA1130" t="s">
        <v>814</v>
      </c>
      <c r="CC1130" t="s">
        <v>163</v>
      </c>
      <c r="CD1130">
        <v>3201</v>
      </c>
      <c r="CE1130" t="s">
        <v>109</v>
      </c>
      <c r="CF1130" s="3">
        <v>45880</v>
      </c>
      <c r="CI1130">
        <v>1</v>
      </c>
      <c r="CJ1130">
        <v>1</v>
      </c>
      <c r="CK1130">
        <v>21</v>
      </c>
      <c r="CL1130" t="s">
        <v>90</v>
      </c>
    </row>
    <row r="1131" spans="1:90" x14ac:dyDescent="0.3">
      <c r="A1131" t="s">
        <v>72</v>
      </c>
      <c r="B1131" t="s">
        <v>73</v>
      </c>
      <c r="C1131" t="s">
        <v>74</v>
      </c>
      <c r="E1131" t="str">
        <f>"080067112734"</f>
        <v>080067112734</v>
      </c>
      <c r="F1131" s="3">
        <v>45877</v>
      </c>
      <c r="G1131">
        <v>202605</v>
      </c>
      <c r="H1131" t="s">
        <v>75</v>
      </c>
      <c r="I1131" t="s">
        <v>76</v>
      </c>
      <c r="J1131" t="s">
        <v>77</v>
      </c>
      <c r="K1131" t="s">
        <v>78</v>
      </c>
      <c r="L1131" t="s">
        <v>234</v>
      </c>
      <c r="M1131" t="s">
        <v>235</v>
      </c>
      <c r="N1131" t="s">
        <v>236</v>
      </c>
      <c r="O1131" t="s">
        <v>82</v>
      </c>
      <c r="P1131" t="str">
        <f>"4170053714                    "</f>
        <v xml:space="preserve">4170053714                    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23.09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0</v>
      </c>
      <c r="BA1131">
        <v>0</v>
      </c>
      <c r="BB1131">
        <v>0</v>
      </c>
      <c r="BC1131">
        <v>0</v>
      </c>
      <c r="BD1131">
        <v>0</v>
      </c>
      <c r="BE1131">
        <v>0</v>
      </c>
      <c r="BF1131">
        <v>0</v>
      </c>
      <c r="BG1131">
        <v>0</v>
      </c>
      <c r="BH1131">
        <v>1</v>
      </c>
      <c r="BI1131">
        <v>1</v>
      </c>
      <c r="BJ1131">
        <v>0.2</v>
      </c>
      <c r="BK1131">
        <v>1</v>
      </c>
      <c r="BL1131">
        <v>71.69</v>
      </c>
      <c r="BM1131">
        <v>10.75</v>
      </c>
      <c r="BN1131">
        <v>82.44</v>
      </c>
      <c r="BO1131">
        <v>82.44</v>
      </c>
      <c r="BQ1131" t="s">
        <v>237</v>
      </c>
      <c r="BR1131" t="s">
        <v>84</v>
      </c>
      <c r="BS1131" s="3">
        <v>45880</v>
      </c>
      <c r="BT1131" s="4">
        <v>0.37847222222222221</v>
      </c>
      <c r="BU1131" t="s">
        <v>650</v>
      </c>
      <c r="BV1131" t="s">
        <v>86</v>
      </c>
      <c r="BY1131">
        <v>1200</v>
      </c>
      <c r="CA1131" t="s">
        <v>239</v>
      </c>
      <c r="CC1131" t="s">
        <v>235</v>
      </c>
      <c r="CD1131" s="5" t="s">
        <v>240</v>
      </c>
      <c r="CE1131" t="s">
        <v>109</v>
      </c>
      <c r="CF1131" s="3">
        <v>45880</v>
      </c>
      <c r="CI1131">
        <v>1</v>
      </c>
      <c r="CJ1131">
        <v>1</v>
      </c>
      <c r="CK1131">
        <v>21</v>
      </c>
      <c r="CL1131" t="s">
        <v>90</v>
      </c>
    </row>
    <row r="1132" spans="1:90" x14ac:dyDescent="0.3">
      <c r="A1132" t="s">
        <v>72</v>
      </c>
      <c r="B1132" t="s">
        <v>73</v>
      </c>
      <c r="C1132" t="s">
        <v>74</v>
      </c>
      <c r="E1132" t="str">
        <f>"080067112978"</f>
        <v>080067112978</v>
      </c>
      <c r="F1132" s="3">
        <v>45877</v>
      </c>
      <c r="G1132">
        <v>202605</v>
      </c>
      <c r="H1132" t="s">
        <v>75</v>
      </c>
      <c r="I1132" t="s">
        <v>76</v>
      </c>
      <c r="J1132" t="s">
        <v>77</v>
      </c>
      <c r="K1132" t="s">
        <v>78</v>
      </c>
      <c r="L1132" t="s">
        <v>1829</v>
      </c>
      <c r="M1132" t="s">
        <v>1830</v>
      </c>
      <c r="N1132" t="s">
        <v>1913</v>
      </c>
      <c r="O1132" t="s">
        <v>82</v>
      </c>
      <c r="P1132" t="str">
        <f>"4170053752                    "</f>
        <v xml:space="preserve">4170053752                    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23.09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0</v>
      </c>
      <c r="BA1132">
        <v>0</v>
      </c>
      <c r="BB1132">
        <v>0</v>
      </c>
      <c r="BC1132">
        <v>0</v>
      </c>
      <c r="BD1132">
        <v>0</v>
      </c>
      <c r="BE1132">
        <v>0</v>
      </c>
      <c r="BF1132">
        <v>0</v>
      </c>
      <c r="BG1132">
        <v>0</v>
      </c>
      <c r="BH1132">
        <v>1</v>
      </c>
      <c r="BI1132">
        <v>2</v>
      </c>
      <c r="BJ1132">
        <v>1.4</v>
      </c>
      <c r="BK1132">
        <v>2</v>
      </c>
      <c r="BL1132">
        <v>71.69</v>
      </c>
      <c r="BM1132">
        <v>10.75</v>
      </c>
      <c r="BN1132">
        <v>82.44</v>
      </c>
      <c r="BO1132">
        <v>82.44</v>
      </c>
      <c r="BQ1132" t="s">
        <v>1914</v>
      </c>
      <c r="BR1132" t="s">
        <v>84</v>
      </c>
      <c r="BS1132" s="3">
        <v>45880</v>
      </c>
      <c r="BT1132" s="4">
        <v>0.42083333333333334</v>
      </c>
      <c r="BU1132" t="s">
        <v>1915</v>
      </c>
      <c r="BV1132" t="s">
        <v>86</v>
      </c>
      <c r="BY1132">
        <v>7000</v>
      </c>
      <c r="CA1132" t="s">
        <v>1286</v>
      </c>
      <c r="CC1132" t="s">
        <v>1830</v>
      </c>
      <c r="CD1132">
        <v>4126</v>
      </c>
      <c r="CE1132" t="s">
        <v>147</v>
      </c>
      <c r="CF1132" s="3">
        <v>45881</v>
      </c>
      <c r="CI1132">
        <v>1</v>
      </c>
      <c r="CJ1132">
        <v>1</v>
      </c>
      <c r="CK1132">
        <v>21</v>
      </c>
      <c r="CL1132" t="s">
        <v>90</v>
      </c>
    </row>
    <row r="1133" spans="1:90" x14ac:dyDescent="0.3">
      <c r="A1133" t="s">
        <v>72</v>
      </c>
      <c r="B1133" t="s">
        <v>73</v>
      </c>
      <c r="C1133" t="s">
        <v>74</v>
      </c>
      <c r="E1133" t="str">
        <f>"080067113030"</f>
        <v>080067113030</v>
      </c>
      <c r="F1133" s="3">
        <v>45877</v>
      </c>
      <c r="G1133">
        <v>202605</v>
      </c>
      <c r="H1133" t="s">
        <v>75</v>
      </c>
      <c r="I1133" t="s">
        <v>76</v>
      </c>
      <c r="J1133" t="s">
        <v>77</v>
      </c>
      <c r="K1133" t="s">
        <v>78</v>
      </c>
      <c r="L1133" t="s">
        <v>513</v>
      </c>
      <c r="M1133" t="s">
        <v>514</v>
      </c>
      <c r="N1133" t="s">
        <v>1017</v>
      </c>
      <c r="O1133" t="s">
        <v>95</v>
      </c>
      <c r="P1133" t="str">
        <f>"4170053732                    "</f>
        <v xml:space="preserve">4170053732                    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278.42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0</v>
      </c>
      <c r="BA1133">
        <v>0</v>
      </c>
      <c r="BB1133">
        <v>0</v>
      </c>
      <c r="BC1133">
        <v>0</v>
      </c>
      <c r="BD1133">
        <v>0</v>
      </c>
      <c r="BE1133">
        <v>0</v>
      </c>
      <c r="BF1133">
        <v>0</v>
      </c>
      <c r="BG1133">
        <v>0</v>
      </c>
      <c r="BH1133">
        <v>4</v>
      </c>
      <c r="BI1133">
        <v>82</v>
      </c>
      <c r="BJ1133">
        <v>66.7</v>
      </c>
      <c r="BK1133">
        <v>82</v>
      </c>
      <c r="BL1133">
        <v>870.43</v>
      </c>
      <c r="BM1133">
        <v>130.56</v>
      </c>
      <c r="BN1133">
        <v>1000.99</v>
      </c>
      <c r="BO1133">
        <v>1000.99</v>
      </c>
      <c r="BQ1133" t="s">
        <v>1018</v>
      </c>
      <c r="BR1133" t="s">
        <v>84</v>
      </c>
      <c r="BS1133" s="3">
        <v>45880</v>
      </c>
      <c r="BT1133" s="4">
        <v>0.4201388888888889</v>
      </c>
      <c r="BU1133" t="s">
        <v>1019</v>
      </c>
      <c r="BV1133" t="s">
        <v>86</v>
      </c>
      <c r="BY1133">
        <v>251670</v>
      </c>
      <c r="CA1133" t="s">
        <v>518</v>
      </c>
      <c r="CC1133" t="s">
        <v>514</v>
      </c>
      <c r="CD1133" s="5" t="s">
        <v>519</v>
      </c>
      <c r="CE1133" t="s">
        <v>178</v>
      </c>
      <c r="CF1133" s="3">
        <v>45881</v>
      </c>
      <c r="CI1133">
        <v>1</v>
      </c>
      <c r="CJ1133">
        <v>1</v>
      </c>
      <c r="CK1133">
        <v>43</v>
      </c>
      <c r="CL1133" t="s">
        <v>90</v>
      </c>
    </row>
    <row r="1134" spans="1:90" x14ac:dyDescent="0.3">
      <c r="A1134" t="s">
        <v>72</v>
      </c>
      <c r="B1134" t="s">
        <v>73</v>
      </c>
      <c r="C1134" t="s">
        <v>74</v>
      </c>
      <c r="E1134" t="str">
        <f>"080067113177"</f>
        <v>080067113177</v>
      </c>
      <c r="F1134" s="3">
        <v>45877</v>
      </c>
      <c r="G1134">
        <v>202605</v>
      </c>
      <c r="H1134" t="s">
        <v>75</v>
      </c>
      <c r="I1134" t="s">
        <v>76</v>
      </c>
      <c r="J1134" t="s">
        <v>77</v>
      </c>
      <c r="K1134" t="s">
        <v>78</v>
      </c>
      <c r="L1134" t="s">
        <v>234</v>
      </c>
      <c r="M1134" t="s">
        <v>235</v>
      </c>
      <c r="N1134" t="s">
        <v>236</v>
      </c>
      <c r="O1134" t="s">
        <v>82</v>
      </c>
      <c r="P1134" t="str">
        <f>"4170053772                    "</f>
        <v xml:space="preserve">4170053772                    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23.09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0</v>
      </c>
      <c r="BA1134">
        <v>0</v>
      </c>
      <c r="BB1134">
        <v>0</v>
      </c>
      <c r="BC1134">
        <v>0</v>
      </c>
      <c r="BD1134">
        <v>0</v>
      </c>
      <c r="BE1134">
        <v>0</v>
      </c>
      <c r="BF1134">
        <v>0</v>
      </c>
      <c r="BG1134">
        <v>0</v>
      </c>
      <c r="BH1134">
        <v>1</v>
      </c>
      <c r="BI1134">
        <v>1</v>
      </c>
      <c r="BJ1134">
        <v>0.2</v>
      </c>
      <c r="BK1134">
        <v>1</v>
      </c>
      <c r="BL1134">
        <v>71.69</v>
      </c>
      <c r="BM1134">
        <v>10.75</v>
      </c>
      <c r="BN1134">
        <v>82.44</v>
      </c>
      <c r="BO1134">
        <v>82.44</v>
      </c>
      <c r="BQ1134" t="s">
        <v>237</v>
      </c>
      <c r="BR1134" t="s">
        <v>84</v>
      </c>
      <c r="BS1134" s="3">
        <v>45880</v>
      </c>
      <c r="BT1134" s="4">
        <v>0.37847222222222221</v>
      </c>
      <c r="BU1134" t="s">
        <v>650</v>
      </c>
      <c r="BV1134" t="s">
        <v>86</v>
      </c>
      <c r="BY1134">
        <v>1200</v>
      </c>
      <c r="CA1134" t="s">
        <v>239</v>
      </c>
      <c r="CC1134" t="s">
        <v>235</v>
      </c>
      <c r="CD1134" s="5" t="s">
        <v>240</v>
      </c>
      <c r="CE1134" t="s">
        <v>109</v>
      </c>
      <c r="CF1134" s="3">
        <v>45880</v>
      </c>
      <c r="CI1134">
        <v>1</v>
      </c>
      <c r="CJ1134">
        <v>1</v>
      </c>
      <c r="CK1134">
        <v>21</v>
      </c>
      <c r="CL1134" t="s">
        <v>90</v>
      </c>
    </row>
    <row r="1135" spans="1:90" x14ac:dyDescent="0.3">
      <c r="A1135" t="s">
        <v>72</v>
      </c>
      <c r="B1135" t="s">
        <v>73</v>
      </c>
      <c r="C1135" t="s">
        <v>74</v>
      </c>
      <c r="E1135" t="str">
        <f>"080067113203"</f>
        <v>080067113203</v>
      </c>
      <c r="F1135" s="3">
        <v>45877</v>
      </c>
      <c r="G1135">
        <v>202605</v>
      </c>
      <c r="H1135" t="s">
        <v>75</v>
      </c>
      <c r="I1135" t="s">
        <v>76</v>
      </c>
      <c r="J1135" t="s">
        <v>77</v>
      </c>
      <c r="K1135" t="s">
        <v>78</v>
      </c>
      <c r="L1135" t="s">
        <v>123</v>
      </c>
      <c r="M1135" t="s">
        <v>124</v>
      </c>
      <c r="N1135" t="s">
        <v>189</v>
      </c>
      <c r="O1135" t="s">
        <v>82</v>
      </c>
      <c r="P1135" t="str">
        <f>"4170053854                    "</f>
        <v xml:space="preserve">4170053854                    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23.09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0</v>
      </c>
      <c r="BA1135">
        <v>0</v>
      </c>
      <c r="BB1135">
        <v>0</v>
      </c>
      <c r="BC1135">
        <v>0</v>
      </c>
      <c r="BD1135">
        <v>0</v>
      </c>
      <c r="BE1135">
        <v>0</v>
      </c>
      <c r="BF1135">
        <v>0</v>
      </c>
      <c r="BG1135">
        <v>0</v>
      </c>
      <c r="BH1135">
        <v>1</v>
      </c>
      <c r="BI1135">
        <v>1</v>
      </c>
      <c r="BJ1135">
        <v>0.2</v>
      </c>
      <c r="BK1135">
        <v>1</v>
      </c>
      <c r="BL1135">
        <v>71.69</v>
      </c>
      <c r="BM1135">
        <v>10.75</v>
      </c>
      <c r="BN1135">
        <v>82.44</v>
      </c>
      <c r="BO1135">
        <v>82.44</v>
      </c>
      <c r="BQ1135" t="s">
        <v>190</v>
      </c>
      <c r="BR1135" t="s">
        <v>84</v>
      </c>
      <c r="BS1135" s="3">
        <v>45880</v>
      </c>
      <c r="BT1135" s="4">
        <v>0.41597222222222224</v>
      </c>
      <c r="BU1135" t="s">
        <v>1457</v>
      </c>
      <c r="BV1135" t="s">
        <v>86</v>
      </c>
      <c r="BY1135">
        <v>1200</v>
      </c>
      <c r="CC1135" t="s">
        <v>124</v>
      </c>
      <c r="CD1135">
        <v>8001</v>
      </c>
      <c r="CE1135" t="s">
        <v>109</v>
      </c>
      <c r="CF1135" s="3">
        <v>45881</v>
      </c>
      <c r="CI1135">
        <v>1</v>
      </c>
      <c r="CJ1135">
        <v>1</v>
      </c>
      <c r="CK1135">
        <v>21</v>
      </c>
      <c r="CL1135" t="s">
        <v>90</v>
      </c>
    </row>
    <row r="1136" spans="1:90" x14ac:dyDescent="0.3">
      <c r="A1136" t="s">
        <v>72</v>
      </c>
      <c r="B1136" t="s">
        <v>73</v>
      </c>
      <c r="C1136" t="s">
        <v>74</v>
      </c>
      <c r="E1136" t="str">
        <f>"080067113236"</f>
        <v>080067113236</v>
      </c>
      <c r="F1136" s="3">
        <v>45877</v>
      </c>
      <c r="G1136">
        <v>202605</v>
      </c>
      <c r="H1136" t="s">
        <v>75</v>
      </c>
      <c r="I1136" t="s">
        <v>76</v>
      </c>
      <c r="J1136" t="s">
        <v>77</v>
      </c>
      <c r="K1136" t="s">
        <v>78</v>
      </c>
      <c r="L1136" t="s">
        <v>278</v>
      </c>
      <c r="M1136" t="s">
        <v>279</v>
      </c>
      <c r="N1136" t="s">
        <v>1916</v>
      </c>
      <c r="O1136" t="s">
        <v>82</v>
      </c>
      <c r="P1136" t="str">
        <f>"4170053853                    "</f>
        <v xml:space="preserve">4170053853                    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23.09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0</v>
      </c>
      <c r="BA1136">
        <v>0</v>
      </c>
      <c r="BB1136">
        <v>0</v>
      </c>
      <c r="BC1136">
        <v>0</v>
      </c>
      <c r="BD1136">
        <v>0</v>
      </c>
      <c r="BE1136">
        <v>0</v>
      </c>
      <c r="BF1136">
        <v>0</v>
      </c>
      <c r="BG1136">
        <v>0</v>
      </c>
      <c r="BH1136">
        <v>1</v>
      </c>
      <c r="BI1136">
        <v>1</v>
      </c>
      <c r="BJ1136">
        <v>0.2</v>
      </c>
      <c r="BK1136">
        <v>1</v>
      </c>
      <c r="BL1136">
        <v>71.69</v>
      </c>
      <c r="BM1136">
        <v>10.75</v>
      </c>
      <c r="BN1136">
        <v>82.44</v>
      </c>
      <c r="BO1136">
        <v>82.44</v>
      </c>
      <c r="BQ1136" t="s">
        <v>1917</v>
      </c>
      <c r="BR1136" t="s">
        <v>84</v>
      </c>
      <c r="BS1136" s="3">
        <v>45880</v>
      </c>
      <c r="BT1136" s="4">
        <v>0.39791666666666664</v>
      </c>
      <c r="BU1136" t="s">
        <v>1918</v>
      </c>
      <c r="BV1136" t="s">
        <v>86</v>
      </c>
      <c r="BY1136">
        <v>1200</v>
      </c>
      <c r="CA1136" t="s">
        <v>938</v>
      </c>
      <c r="CC1136" t="s">
        <v>279</v>
      </c>
      <c r="CD1136" s="5" t="s">
        <v>1919</v>
      </c>
      <c r="CE1136" t="s">
        <v>109</v>
      </c>
      <c r="CF1136" s="3">
        <v>45881</v>
      </c>
      <c r="CI1136">
        <v>1</v>
      </c>
      <c r="CJ1136">
        <v>1</v>
      </c>
      <c r="CK1136">
        <v>21</v>
      </c>
      <c r="CL1136" t="s">
        <v>90</v>
      </c>
    </row>
    <row r="1137" spans="1:90" x14ac:dyDescent="0.3">
      <c r="A1137" t="s">
        <v>72</v>
      </c>
      <c r="B1137" t="s">
        <v>73</v>
      </c>
      <c r="C1137" t="s">
        <v>74</v>
      </c>
      <c r="E1137" t="str">
        <f>"080067113272"</f>
        <v>080067113272</v>
      </c>
      <c r="F1137" s="3">
        <v>45877</v>
      </c>
      <c r="G1137">
        <v>202605</v>
      </c>
      <c r="H1137" t="s">
        <v>75</v>
      </c>
      <c r="I1137" t="s">
        <v>76</v>
      </c>
      <c r="J1137" t="s">
        <v>77</v>
      </c>
      <c r="K1137" t="s">
        <v>78</v>
      </c>
      <c r="L1137" t="s">
        <v>137</v>
      </c>
      <c r="M1137" t="s">
        <v>138</v>
      </c>
      <c r="N1137" t="s">
        <v>261</v>
      </c>
      <c r="O1137" t="s">
        <v>82</v>
      </c>
      <c r="P1137" t="str">
        <f>"4170053850                    "</f>
        <v xml:space="preserve">4170053850                    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23.09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0</v>
      </c>
      <c r="BA1137">
        <v>0</v>
      </c>
      <c r="BB1137">
        <v>0</v>
      </c>
      <c r="BC1137">
        <v>0</v>
      </c>
      <c r="BD1137">
        <v>0</v>
      </c>
      <c r="BE1137">
        <v>0</v>
      </c>
      <c r="BF1137">
        <v>0</v>
      </c>
      <c r="BG1137">
        <v>0</v>
      </c>
      <c r="BH1137">
        <v>1</v>
      </c>
      <c r="BI1137">
        <v>1</v>
      </c>
      <c r="BJ1137">
        <v>0.2</v>
      </c>
      <c r="BK1137">
        <v>1</v>
      </c>
      <c r="BL1137">
        <v>71.69</v>
      </c>
      <c r="BM1137">
        <v>10.75</v>
      </c>
      <c r="BN1137">
        <v>82.44</v>
      </c>
      <c r="BO1137">
        <v>82.44</v>
      </c>
      <c r="BQ1137" t="s">
        <v>262</v>
      </c>
      <c r="BR1137" t="s">
        <v>84</v>
      </c>
      <c r="BS1137" s="3">
        <v>45880</v>
      </c>
      <c r="BT1137" s="4">
        <v>0.40833333333333333</v>
      </c>
      <c r="BU1137" t="s">
        <v>263</v>
      </c>
      <c r="BV1137" t="s">
        <v>86</v>
      </c>
      <c r="BY1137">
        <v>1200</v>
      </c>
      <c r="CA1137" t="s">
        <v>264</v>
      </c>
      <c r="CC1137" t="s">
        <v>138</v>
      </c>
      <c r="CD1137">
        <v>3608</v>
      </c>
      <c r="CE1137" t="s">
        <v>109</v>
      </c>
      <c r="CF1137" s="3">
        <v>45881</v>
      </c>
      <c r="CI1137">
        <v>1</v>
      </c>
      <c r="CJ1137">
        <v>1</v>
      </c>
      <c r="CK1137">
        <v>21</v>
      </c>
      <c r="CL1137" t="s">
        <v>90</v>
      </c>
    </row>
    <row r="1138" spans="1:90" x14ac:dyDescent="0.3">
      <c r="A1138" t="s">
        <v>72</v>
      </c>
      <c r="B1138" t="s">
        <v>73</v>
      </c>
      <c r="C1138" t="s">
        <v>74</v>
      </c>
      <c r="E1138" t="str">
        <f>"080067113297"</f>
        <v>080067113297</v>
      </c>
      <c r="F1138" s="3">
        <v>45877</v>
      </c>
      <c r="G1138">
        <v>202605</v>
      </c>
      <c r="H1138" t="s">
        <v>75</v>
      </c>
      <c r="I1138" t="s">
        <v>76</v>
      </c>
      <c r="J1138" t="s">
        <v>77</v>
      </c>
      <c r="K1138" t="s">
        <v>78</v>
      </c>
      <c r="L1138" t="s">
        <v>137</v>
      </c>
      <c r="M1138" t="s">
        <v>138</v>
      </c>
      <c r="N1138" t="s">
        <v>370</v>
      </c>
      <c r="O1138" t="s">
        <v>82</v>
      </c>
      <c r="P1138" t="str">
        <f>"4170053857                    "</f>
        <v xml:space="preserve">4170053857                    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23.09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0</v>
      </c>
      <c r="BA1138">
        <v>0</v>
      </c>
      <c r="BB1138">
        <v>0</v>
      </c>
      <c r="BC1138">
        <v>0</v>
      </c>
      <c r="BD1138">
        <v>0</v>
      </c>
      <c r="BE1138">
        <v>0</v>
      </c>
      <c r="BF1138">
        <v>0</v>
      </c>
      <c r="BG1138">
        <v>0</v>
      </c>
      <c r="BH1138">
        <v>1</v>
      </c>
      <c r="BI1138">
        <v>1</v>
      </c>
      <c r="BJ1138">
        <v>0.2</v>
      </c>
      <c r="BK1138">
        <v>1</v>
      </c>
      <c r="BL1138">
        <v>71.69</v>
      </c>
      <c r="BM1138">
        <v>10.75</v>
      </c>
      <c r="BN1138">
        <v>82.44</v>
      </c>
      <c r="BO1138">
        <v>82.44</v>
      </c>
      <c r="BQ1138" t="s">
        <v>371</v>
      </c>
      <c r="BR1138" t="s">
        <v>84</v>
      </c>
      <c r="BS1138" s="3">
        <v>45880</v>
      </c>
      <c r="BT1138" s="4">
        <v>0.4236111111111111</v>
      </c>
      <c r="BU1138" t="s">
        <v>1920</v>
      </c>
      <c r="BV1138" t="s">
        <v>86</v>
      </c>
      <c r="BY1138">
        <v>1200</v>
      </c>
      <c r="CA1138" t="s">
        <v>264</v>
      </c>
      <c r="CC1138" t="s">
        <v>138</v>
      </c>
      <c r="CD1138">
        <v>3608</v>
      </c>
      <c r="CE1138" t="s">
        <v>109</v>
      </c>
      <c r="CF1138" s="3">
        <v>45881</v>
      </c>
      <c r="CI1138">
        <v>1</v>
      </c>
      <c r="CJ1138">
        <v>1</v>
      </c>
      <c r="CK1138">
        <v>21</v>
      </c>
      <c r="CL1138" t="s">
        <v>90</v>
      </c>
    </row>
    <row r="1139" spans="1:90" x14ac:dyDescent="0.3">
      <c r="A1139" t="s">
        <v>72</v>
      </c>
      <c r="B1139" t="s">
        <v>73</v>
      </c>
      <c r="C1139" t="s">
        <v>74</v>
      </c>
      <c r="E1139" t="str">
        <f>"080067113320"</f>
        <v>080067113320</v>
      </c>
      <c r="F1139" s="3">
        <v>45877</v>
      </c>
      <c r="G1139">
        <v>202605</v>
      </c>
      <c r="H1139" t="s">
        <v>75</v>
      </c>
      <c r="I1139" t="s">
        <v>76</v>
      </c>
      <c r="J1139" t="s">
        <v>77</v>
      </c>
      <c r="K1139" t="s">
        <v>78</v>
      </c>
      <c r="L1139" t="s">
        <v>325</v>
      </c>
      <c r="M1139" t="s">
        <v>326</v>
      </c>
      <c r="N1139" t="s">
        <v>1700</v>
      </c>
      <c r="O1139" t="s">
        <v>82</v>
      </c>
      <c r="P1139" t="str">
        <f>"4170053841                    "</f>
        <v xml:space="preserve">4170053841                    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18.03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16.739999999999998</v>
      </c>
      <c r="AX1139">
        <v>0</v>
      </c>
      <c r="AY1139">
        <v>0</v>
      </c>
      <c r="AZ1139">
        <v>0</v>
      </c>
      <c r="BA1139">
        <v>0</v>
      </c>
      <c r="BB1139">
        <v>0</v>
      </c>
      <c r="BC1139">
        <v>0</v>
      </c>
      <c r="BD1139">
        <v>0</v>
      </c>
      <c r="BE1139">
        <v>0</v>
      </c>
      <c r="BF1139">
        <v>0</v>
      </c>
      <c r="BG1139">
        <v>0</v>
      </c>
      <c r="BH1139">
        <v>1</v>
      </c>
      <c r="BI1139">
        <v>1</v>
      </c>
      <c r="BJ1139">
        <v>0.2</v>
      </c>
      <c r="BK1139">
        <v>1</v>
      </c>
      <c r="BL1139">
        <v>72.73</v>
      </c>
      <c r="BM1139">
        <v>10.91</v>
      </c>
      <c r="BN1139">
        <v>83.64</v>
      </c>
      <c r="BO1139">
        <v>83.64</v>
      </c>
      <c r="BQ1139" t="s">
        <v>1701</v>
      </c>
      <c r="BR1139" t="s">
        <v>84</v>
      </c>
      <c r="BS1139" s="3">
        <v>45880</v>
      </c>
      <c r="BT1139" s="4">
        <v>0.41666666666666669</v>
      </c>
      <c r="BU1139" t="s">
        <v>1702</v>
      </c>
      <c r="BV1139" t="s">
        <v>86</v>
      </c>
      <c r="BY1139">
        <v>1200</v>
      </c>
      <c r="BZ1139" t="s">
        <v>30</v>
      </c>
      <c r="CA1139" t="s">
        <v>116</v>
      </c>
      <c r="CC1139" t="s">
        <v>326</v>
      </c>
      <c r="CD1139">
        <v>2188</v>
      </c>
      <c r="CE1139" t="s">
        <v>109</v>
      </c>
      <c r="CF1139" s="3">
        <v>45880</v>
      </c>
      <c r="CI1139">
        <v>1</v>
      </c>
      <c r="CJ1139">
        <v>1</v>
      </c>
      <c r="CK1139">
        <v>22</v>
      </c>
      <c r="CL1139" t="s">
        <v>90</v>
      </c>
    </row>
    <row r="1140" spans="1:90" x14ac:dyDescent="0.3">
      <c r="A1140" t="s">
        <v>72</v>
      </c>
      <c r="B1140" t="s">
        <v>73</v>
      </c>
      <c r="C1140" t="s">
        <v>74</v>
      </c>
      <c r="E1140" t="str">
        <f>"080067113340"</f>
        <v>080067113340</v>
      </c>
      <c r="F1140" s="3">
        <v>45877</v>
      </c>
      <c r="G1140">
        <v>202605</v>
      </c>
      <c r="H1140" t="s">
        <v>75</v>
      </c>
      <c r="I1140" t="s">
        <v>76</v>
      </c>
      <c r="J1140" t="s">
        <v>77</v>
      </c>
      <c r="K1140" t="s">
        <v>78</v>
      </c>
      <c r="L1140" t="s">
        <v>229</v>
      </c>
      <c r="M1140" t="s">
        <v>230</v>
      </c>
      <c r="N1140" t="s">
        <v>231</v>
      </c>
      <c r="O1140" t="s">
        <v>82</v>
      </c>
      <c r="P1140" t="str">
        <f>"4170053861                    "</f>
        <v xml:space="preserve">4170053861                    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44.73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0</v>
      </c>
      <c r="BA1140">
        <v>0</v>
      </c>
      <c r="BB1140">
        <v>0</v>
      </c>
      <c r="BC1140">
        <v>0</v>
      </c>
      <c r="BD1140">
        <v>0</v>
      </c>
      <c r="BE1140">
        <v>0</v>
      </c>
      <c r="BF1140">
        <v>0</v>
      </c>
      <c r="BG1140">
        <v>0</v>
      </c>
      <c r="BH1140">
        <v>1</v>
      </c>
      <c r="BI1140">
        <v>1</v>
      </c>
      <c r="BJ1140">
        <v>0.2</v>
      </c>
      <c r="BK1140">
        <v>1</v>
      </c>
      <c r="BL1140">
        <v>138.88999999999999</v>
      </c>
      <c r="BM1140">
        <v>20.83</v>
      </c>
      <c r="BN1140">
        <v>159.72</v>
      </c>
      <c r="BO1140">
        <v>159.72</v>
      </c>
      <c r="BQ1140" t="s">
        <v>232</v>
      </c>
      <c r="BR1140" t="s">
        <v>84</v>
      </c>
      <c r="BS1140" s="3">
        <v>45880</v>
      </c>
      <c r="BT1140" s="4">
        <v>0.34722222222222221</v>
      </c>
      <c r="BU1140" t="s">
        <v>233</v>
      </c>
      <c r="BV1140" t="s">
        <v>86</v>
      </c>
      <c r="BY1140">
        <v>1200</v>
      </c>
      <c r="CC1140" t="s">
        <v>230</v>
      </c>
      <c r="CD1140">
        <v>2740</v>
      </c>
      <c r="CE1140" t="s">
        <v>109</v>
      </c>
      <c r="CF1140" s="3">
        <v>45881</v>
      </c>
      <c r="CI1140">
        <v>1</v>
      </c>
      <c r="CJ1140">
        <v>1</v>
      </c>
      <c r="CK1140">
        <v>23</v>
      </c>
      <c r="CL1140" t="s">
        <v>90</v>
      </c>
    </row>
    <row r="1141" spans="1:90" x14ac:dyDescent="0.3">
      <c r="A1141" t="s">
        <v>72</v>
      </c>
      <c r="B1141" t="s">
        <v>73</v>
      </c>
      <c r="C1141" t="s">
        <v>74</v>
      </c>
      <c r="E1141" t="str">
        <f>"080067113416"</f>
        <v>080067113416</v>
      </c>
      <c r="F1141" s="3">
        <v>45877</v>
      </c>
      <c r="G1141">
        <v>202605</v>
      </c>
      <c r="H1141" t="s">
        <v>75</v>
      </c>
      <c r="I1141" t="s">
        <v>76</v>
      </c>
      <c r="J1141" t="s">
        <v>77</v>
      </c>
      <c r="K1141" t="s">
        <v>78</v>
      </c>
      <c r="L1141" t="s">
        <v>79</v>
      </c>
      <c r="M1141" t="s">
        <v>80</v>
      </c>
      <c r="N1141" t="s">
        <v>1027</v>
      </c>
      <c r="O1141" t="s">
        <v>82</v>
      </c>
      <c r="P1141" t="str">
        <f>"4170053754                    "</f>
        <v xml:space="preserve">4170053754                    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18.03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0</v>
      </c>
      <c r="BC1141">
        <v>0</v>
      </c>
      <c r="BD1141">
        <v>0</v>
      </c>
      <c r="BE1141">
        <v>0</v>
      </c>
      <c r="BF1141">
        <v>0</v>
      </c>
      <c r="BG1141">
        <v>0</v>
      </c>
      <c r="BH1141">
        <v>1</v>
      </c>
      <c r="BI1141">
        <v>1</v>
      </c>
      <c r="BJ1141">
        <v>0.2</v>
      </c>
      <c r="BK1141">
        <v>1</v>
      </c>
      <c r="BL1141">
        <v>55.99</v>
      </c>
      <c r="BM1141">
        <v>8.4</v>
      </c>
      <c r="BN1141">
        <v>64.39</v>
      </c>
      <c r="BO1141">
        <v>64.39</v>
      </c>
      <c r="BQ1141" t="s">
        <v>1028</v>
      </c>
      <c r="BR1141" t="s">
        <v>84</v>
      </c>
      <c r="BS1141" s="3">
        <v>45880</v>
      </c>
      <c r="BT1141" s="4">
        <v>0.33680555555555558</v>
      </c>
      <c r="BU1141" t="s">
        <v>1921</v>
      </c>
      <c r="BV1141" t="s">
        <v>86</v>
      </c>
      <c r="BY1141">
        <v>1200</v>
      </c>
      <c r="CA1141" t="s">
        <v>1026</v>
      </c>
      <c r="CC1141" t="s">
        <v>80</v>
      </c>
      <c r="CD1141">
        <v>1401</v>
      </c>
      <c r="CE1141" t="s">
        <v>109</v>
      </c>
      <c r="CF1141" s="3">
        <v>45881</v>
      </c>
      <c r="CI1141">
        <v>1</v>
      </c>
      <c r="CJ1141">
        <v>1</v>
      </c>
      <c r="CK1141">
        <v>22</v>
      </c>
      <c r="CL1141" t="s">
        <v>90</v>
      </c>
    </row>
    <row r="1142" spans="1:90" x14ac:dyDescent="0.3">
      <c r="A1142" t="s">
        <v>72</v>
      </c>
      <c r="B1142" t="s">
        <v>73</v>
      </c>
      <c r="C1142" t="s">
        <v>74</v>
      </c>
      <c r="E1142" t="str">
        <f>"080067113447"</f>
        <v>080067113447</v>
      </c>
      <c r="F1142" s="3">
        <v>45877</v>
      </c>
      <c r="G1142">
        <v>202605</v>
      </c>
      <c r="H1142" t="s">
        <v>75</v>
      </c>
      <c r="I1142" t="s">
        <v>76</v>
      </c>
      <c r="J1142" t="s">
        <v>77</v>
      </c>
      <c r="K1142" t="s">
        <v>78</v>
      </c>
      <c r="L1142" t="s">
        <v>123</v>
      </c>
      <c r="M1142" t="s">
        <v>124</v>
      </c>
      <c r="N1142" t="s">
        <v>677</v>
      </c>
      <c r="O1142" t="s">
        <v>82</v>
      </c>
      <c r="P1142" t="str">
        <f>"4170053840                    "</f>
        <v xml:space="preserve">4170053840                    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23.09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0</v>
      </c>
      <c r="BA1142">
        <v>0</v>
      </c>
      <c r="BB1142">
        <v>0</v>
      </c>
      <c r="BC1142">
        <v>0</v>
      </c>
      <c r="BD1142">
        <v>0</v>
      </c>
      <c r="BE1142">
        <v>0</v>
      </c>
      <c r="BF1142">
        <v>0</v>
      </c>
      <c r="BG1142">
        <v>0</v>
      </c>
      <c r="BH1142">
        <v>1</v>
      </c>
      <c r="BI1142">
        <v>2</v>
      </c>
      <c r="BJ1142">
        <v>1.1000000000000001</v>
      </c>
      <c r="BK1142">
        <v>2</v>
      </c>
      <c r="BL1142">
        <v>71.69</v>
      </c>
      <c r="BM1142">
        <v>10.75</v>
      </c>
      <c r="BN1142">
        <v>82.44</v>
      </c>
      <c r="BO1142">
        <v>82.44</v>
      </c>
      <c r="BQ1142" t="s">
        <v>678</v>
      </c>
      <c r="BR1142" t="s">
        <v>84</v>
      </c>
      <c r="BS1142" s="3">
        <v>45880</v>
      </c>
      <c r="BT1142" s="4">
        <v>0.40902777777777777</v>
      </c>
      <c r="BU1142" t="s">
        <v>1922</v>
      </c>
      <c r="BV1142" t="s">
        <v>86</v>
      </c>
      <c r="BY1142">
        <v>5320</v>
      </c>
      <c r="CA1142" t="s">
        <v>171</v>
      </c>
      <c r="CC1142" t="s">
        <v>124</v>
      </c>
      <c r="CD1142">
        <v>7530</v>
      </c>
      <c r="CE1142" t="s">
        <v>147</v>
      </c>
      <c r="CF1142" s="3">
        <v>45881</v>
      </c>
      <c r="CI1142">
        <v>1</v>
      </c>
      <c r="CJ1142">
        <v>1</v>
      </c>
      <c r="CK1142">
        <v>21</v>
      </c>
      <c r="CL1142" t="s">
        <v>90</v>
      </c>
    </row>
    <row r="1143" spans="1:90" x14ac:dyDescent="0.3">
      <c r="A1143" t="s">
        <v>72</v>
      </c>
      <c r="B1143" t="s">
        <v>73</v>
      </c>
      <c r="C1143" t="s">
        <v>74</v>
      </c>
      <c r="E1143" t="str">
        <f>"080067113468"</f>
        <v>080067113468</v>
      </c>
      <c r="F1143" s="3">
        <v>45877</v>
      </c>
      <c r="G1143">
        <v>202605</v>
      </c>
      <c r="H1143" t="s">
        <v>75</v>
      </c>
      <c r="I1143" t="s">
        <v>76</v>
      </c>
      <c r="J1143" t="s">
        <v>77</v>
      </c>
      <c r="K1143" t="s">
        <v>78</v>
      </c>
      <c r="L1143" t="s">
        <v>198</v>
      </c>
      <c r="M1143" t="s">
        <v>199</v>
      </c>
      <c r="N1143" t="s">
        <v>410</v>
      </c>
      <c r="O1143" t="s">
        <v>82</v>
      </c>
      <c r="P1143" t="str">
        <f>"4170053687                    "</f>
        <v xml:space="preserve">4170053687                    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23.09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0</v>
      </c>
      <c r="BA1143">
        <v>0</v>
      </c>
      <c r="BB1143">
        <v>0</v>
      </c>
      <c r="BC1143">
        <v>0</v>
      </c>
      <c r="BD1143">
        <v>0</v>
      </c>
      <c r="BE1143">
        <v>0</v>
      </c>
      <c r="BF1143">
        <v>0</v>
      </c>
      <c r="BG1143">
        <v>0</v>
      </c>
      <c r="BH1143">
        <v>1</v>
      </c>
      <c r="BI1143">
        <v>1</v>
      </c>
      <c r="BJ1143">
        <v>1.4</v>
      </c>
      <c r="BK1143">
        <v>1.5</v>
      </c>
      <c r="BL1143">
        <v>71.69</v>
      </c>
      <c r="BM1143">
        <v>10.75</v>
      </c>
      <c r="BN1143">
        <v>82.44</v>
      </c>
      <c r="BO1143">
        <v>82.44</v>
      </c>
      <c r="BQ1143" t="s">
        <v>411</v>
      </c>
      <c r="BR1143" t="s">
        <v>84</v>
      </c>
      <c r="BS1143" s="3">
        <v>45880</v>
      </c>
      <c r="BT1143" s="4">
        <v>0.36736111111111114</v>
      </c>
      <c r="BU1143" t="s">
        <v>1411</v>
      </c>
      <c r="BV1143" t="s">
        <v>86</v>
      </c>
      <c r="BY1143">
        <v>7000</v>
      </c>
      <c r="CA1143" t="s">
        <v>413</v>
      </c>
      <c r="CC1143" t="s">
        <v>199</v>
      </c>
      <c r="CD1143">
        <v>6001</v>
      </c>
      <c r="CE1143" t="s">
        <v>147</v>
      </c>
      <c r="CF1143" s="3">
        <v>45880</v>
      </c>
      <c r="CI1143">
        <v>1</v>
      </c>
      <c r="CJ1143">
        <v>1</v>
      </c>
      <c r="CK1143">
        <v>21</v>
      </c>
      <c r="CL1143" t="s">
        <v>90</v>
      </c>
    </row>
    <row r="1144" spans="1:90" x14ac:dyDescent="0.3">
      <c r="A1144" t="s">
        <v>72</v>
      </c>
      <c r="B1144" t="s">
        <v>73</v>
      </c>
      <c r="C1144" t="s">
        <v>74</v>
      </c>
      <c r="E1144" t="str">
        <f>"080067113489"</f>
        <v>080067113489</v>
      </c>
      <c r="F1144" s="3">
        <v>45877</v>
      </c>
      <c r="G1144">
        <v>202605</v>
      </c>
      <c r="H1144" t="s">
        <v>75</v>
      </c>
      <c r="I1144" t="s">
        <v>76</v>
      </c>
      <c r="J1144" t="s">
        <v>77</v>
      </c>
      <c r="K1144" t="s">
        <v>78</v>
      </c>
      <c r="L1144" t="s">
        <v>123</v>
      </c>
      <c r="M1144" t="s">
        <v>124</v>
      </c>
      <c r="N1144" t="s">
        <v>406</v>
      </c>
      <c r="O1144" t="s">
        <v>82</v>
      </c>
      <c r="P1144" t="str">
        <f>"4170053785                    "</f>
        <v xml:space="preserve">4170053785                    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23.09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0</v>
      </c>
      <c r="BA1144">
        <v>0</v>
      </c>
      <c r="BB1144">
        <v>0</v>
      </c>
      <c r="BC1144">
        <v>0</v>
      </c>
      <c r="BD1144">
        <v>0</v>
      </c>
      <c r="BE1144">
        <v>0</v>
      </c>
      <c r="BF1144">
        <v>0</v>
      </c>
      <c r="BG1144">
        <v>0</v>
      </c>
      <c r="BH1144">
        <v>1</v>
      </c>
      <c r="BI1144">
        <v>2</v>
      </c>
      <c r="BJ1144">
        <v>1.2</v>
      </c>
      <c r="BK1144">
        <v>2</v>
      </c>
      <c r="BL1144">
        <v>71.69</v>
      </c>
      <c r="BM1144">
        <v>10.75</v>
      </c>
      <c r="BN1144">
        <v>82.44</v>
      </c>
      <c r="BO1144">
        <v>82.44</v>
      </c>
      <c r="BQ1144" t="s">
        <v>407</v>
      </c>
      <c r="BR1144" t="s">
        <v>84</v>
      </c>
      <c r="BS1144" s="3">
        <v>45880</v>
      </c>
      <c r="BT1144" s="4">
        <v>0.40763888888888888</v>
      </c>
      <c r="BU1144" t="s">
        <v>408</v>
      </c>
      <c r="BV1144" t="s">
        <v>86</v>
      </c>
      <c r="BY1144">
        <v>5880</v>
      </c>
      <c r="CA1144" t="s">
        <v>192</v>
      </c>
      <c r="CC1144" t="s">
        <v>124</v>
      </c>
      <c r="CD1144">
        <v>7441</v>
      </c>
      <c r="CE1144" t="s">
        <v>117</v>
      </c>
      <c r="CF1144" s="3">
        <v>45881</v>
      </c>
      <c r="CI1144">
        <v>1</v>
      </c>
      <c r="CJ1144">
        <v>1</v>
      </c>
      <c r="CK1144">
        <v>21</v>
      </c>
      <c r="CL1144" t="s">
        <v>90</v>
      </c>
    </row>
    <row r="1145" spans="1:90" x14ac:dyDescent="0.3">
      <c r="A1145" t="s">
        <v>72</v>
      </c>
      <c r="B1145" t="s">
        <v>73</v>
      </c>
      <c r="C1145" t="s">
        <v>74</v>
      </c>
      <c r="E1145" t="str">
        <f>"080067113704"</f>
        <v>080067113704</v>
      </c>
      <c r="F1145" s="3">
        <v>45877</v>
      </c>
      <c r="G1145">
        <v>202605</v>
      </c>
      <c r="H1145" t="s">
        <v>75</v>
      </c>
      <c r="I1145" t="s">
        <v>76</v>
      </c>
      <c r="J1145" t="s">
        <v>77</v>
      </c>
      <c r="K1145" t="s">
        <v>78</v>
      </c>
      <c r="L1145" t="s">
        <v>137</v>
      </c>
      <c r="M1145" t="s">
        <v>138</v>
      </c>
      <c r="N1145" t="s">
        <v>1404</v>
      </c>
      <c r="O1145" t="s">
        <v>82</v>
      </c>
      <c r="P1145" t="str">
        <f>"4170053837                    "</f>
        <v xml:space="preserve">4170053837                    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92.28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>
        <v>0</v>
      </c>
      <c r="AY1145">
        <v>0</v>
      </c>
      <c r="AZ1145">
        <v>0</v>
      </c>
      <c r="BA1145">
        <v>0</v>
      </c>
      <c r="BB1145">
        <v>0</v>
      </c>
      <c r="BC1145">
        <v>0</v>
      </c>
      <c r="BD1145">
        <v>0</v>
      </c>
      <c r="BE1145">
        <v>0</v>
      </c>
      <c r="BF1145">
        <v>0</v>
      </c>
      <c r="BG1145">
        <v>0</v>
      </c>
      <c r="BH1145">
        <v>1</v>
      </c>
      <c r="BI1145">
        <v>4</v>
      </c>
      <c r="BJ1145">
        <v>7.6</v>
      </c>
      <c r="BK1145">
        <v>8</v>
      </c>
      <c r="BL1145">
        <v>286.56</v>
      </c>
      <c r="BM1145">
        <v>42.98</v>
      </c>
      <c r="BN1145">
        <v>329.54</v>
      </c>
      <c r="BO1145">
        <v>329.54</v>
      </c>
      <c r="BQ1145" t="s">
        <v>1405</v>
      </c>
      <c r="BR1145" t="s">
        <v>84</v>
      </c>
      <c r="BS1145" s="3">
        <v>45880</v>
      </c>
      <c r="BT1145" s="4">
        <v>0.54236111111111107</v>
      </c>
      <c r="BU1145" t="s">
        <v>1879</v>
      </c>
      <c r="BV1145" t="s">
        <v>86</v>
      </c>
      <c r="BY1145">
        <v>38016</v>
      </c>
      <c r="CA1145" t="s">
        <v>953</v>
      </c>
      <c r="CC1145" t="s">
        <v>138</v>
      </c>
      <c r="CD1145">
        <v>3610</v>
      </c>
      <c r="CE1145" t="s">
        <v>117</v>
      </c>
      <c r="CF1145" s="3">
        <v>45881</v>
      </c>
      <c r="CI1145">
        <v>1</v>
      </c>
      <c r="CJ1145">
        <v>1</v>
      </c>
      <c r="CK1145">
        <v>21</v>
      </c>
      <c r="CL1145" t="s">
        <v>90</v>
      </c>
    </row>
    <row r="1146" spans="1:90" x14ac:dyDescent="0.3">
      <c r="A1146" t="s">
        <v>72</v>
      </c>
      <c r="B1146" t="s">
        <v>73</v>
      </c>
      <c r="C1146" t="s">
        <v>74</v>
      </c>
      <c r="E1146" t="str">
        <f>"080067113737"</f>
        <v>080067113737</v>
      </c>
      <c r="F1146" s="3">
        <v>45877</v>
      </c>
      <c r="G1146">
        <v>202605</v>
      </c>
      <c r="H1146" t="s">
        <v>75</v>
      </c>
      <c r="I1146" t="s">
        <v>76</v>
      </c>
      <c r="J1146" t="s">
        <v>77</v>
      </c>
      <c r="K1146" t="s">
        <v>78</v>
      </c>
      <c r="L1146" t="s">
        <v>123</v>
      </c>
      <c r="M1146" t="s">
        <v>124</v>
      </c>
      <c r="N1146" t="s">
        <v>1416</v>
      </c>
      <c r="O1146" t="s">
        <v>82</v>
      </c>
      <c r="P1146" t="str">
        <f>"4170053882                    "</f>
        <v xml:space="preserve">4170053882                    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23.09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0</v>
      </c>
      <c r="BA1146">
        <v>0</v>
      </c>
      <c r="BB1146">
        <v>0</v>
      </c>
      <c r="BC1146">
        <v>0</v>
      </c>
      <c r="BD1146">
        <v>0</v>
      </c>
      <c r="BE1146">
        <v>0</v>
      </c>
      <c r="BF1146">
        <v>0</v>
      </c>
      <c r="BG1146">
        <v>0</v>
      </c>
      <c r="BH1146">
        <v>1</v>
      </c>
      <c r="BI1146">
        <v>1</v>
      </c>
      <c r="BJ1146">
        <v>0.2</v>
      </c>
      <c r="BK1146">
        <v>1</v>
      </c>
      <c r="BL1146">
        <v>71.69</v>
      </c>
      <c r="BM1146">
        <v>10.75</v>
      </c>
      <c r="BN1146">
        <v>82.44</v>
      </c>
      <c r="BO1146">
        <v>82.44</v>
      </c>
      <c r="BQ1146" t="s">
        <v>1417</v>
      </c>
      <c r="BR1146" t="s">
        <v>84</v>
      </c>
      <c r="BS1146" s="3">
        <v>45880</v>
      </c>
      <c r="BT1146" s="4">
        <v>0.48055555555555557</v>
      </c>
      <c r="BU1146" t="s">
        <v>886</v>
      </c>
      <c r="BV1146" t="s">
        <v>86</v>
      </c>
      <c r="BY1146">
        <v>1200</v>
      </c>
      <c r="CA1146" t="s">
        <v>1238</v>
      </c>
      <c r="CC1146" t="s">
        <v>124</v>
      </c>
      <c r="CD1146">
        <v>7480</v>
      </c>
      <c r="CE1146" t="s">
        <v>109</v>
      </c>
      <c r="CF1146" s="3">
        <v>45881</v>
      </c>
      <c r="CI1146">
        <v>1</v>
      </c>
      <c r="CJ1146">
        <v>1</v>
      </c>
      <c r="CK1146">
        <v>21</v>
      </c>
      <c r="CL1146" t="s">
        <v>90</v>
      </c>
    </row>
    <row r="1147" spans="1:90" x14ac:dyDescent="0.3">
      <c r="A1147" t="s">
        <v>72</v>
      </c>
      <c r="B1147" t="s">
        <v>73</v>
      </c>
      <c r="C1147" t="s">
        <v>74</v>
      </c>
      <c r="E1147" t="str">
        <f>"080067113752"</f>
        <v>080067113752</v>
      </c>
      <c r="F1147" s="3">
        <v>45877</v>
      </c>
      <c r="G1147">
        <v>202605</v>
      </c>
      <c r="H1147" t="s">
        <v>75</v>
      </c>
      <c r="I1147" t="s">
        <v>76</v>
      </c>
      <c r="J1147" t="s">
        <v>77</v>
      </c>
      <c r="K1147" t="s">
        <v>78</v>
      </c>
      <c r="L1147" t="s">
        <v>137</v>
      </c>
      <c r="M1147" t="s">
        <v>138</v>
      </c>
      <c r="N1147" t="s">
        <v>261</v>
      </c>
      <c r="O1147" t="s">
        <v>82</v>
      </c>
      <c r="P1147" t="str">
        <f>"4170053852                    "</f>
        <v xml:space="preserve">4170053852                    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23.09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  <c r="AZ1147">
        <v>0</v>
      </c>
      <c r="BA1147">
        <v>0</v>
      </c>
      <c r="BB1147">
        <v>0</v>
      </c>
      <c r="BC1147">
        <v>0</v>
      </c>
      <c r="BD1147">
        <v>0</v>
      </c>
      <c r="BE1147">
        <v>0</v>
      </c>
      <c r="BF1147">
        <v>0</v>
      </c>
      <c r="BG1147">
        <v>0</v>
      </c>
      <c r="BH1147">
        <v>1</v>
      </c>
      <c r="BI1147">
        <v>2</v>
      </c>
      <c r="BJ1147">
        <v>1.7</v>
      </c>
      <c r="BK1147">
        <v>2</v>
      </c>
      <c r="BL1147">
        <v>71.69</v>
      </c>
      <c r="BM1147">
        <v>10.75</v>
      </c>
      <c r="BN1147">
        <v>82.44</v>
      </c>
      <c r="BO1147">
        <v>82.44</v>
      </c>
      <c r="BQ1147" t="s">
        <v>262</v>
      </c>
      <c r="BR1147" t="s">
        <v>84</v>
      </c>
      <c r="BS1147" s="3">
        <v>45880</v>
      </c>
      <c r="BT1147" s="4">
        <v>0.41249999999999998</v>
      </c>
      <c r="BU1147" t="s">
        <v>263</v>
      </c>
      <c r="BV1147" t="s">
        <v>86</v>
      </c>
      <c r="BY1147">
        <v>8512</v>
      </c>
      <c r="CA1147" t="s">
        <v>264</v>
      </c>
      <c r="CC1147" t="s">
        <v>138</v>
      </c>
      <c r="CD1147">
        <v>3608</v>
      </c>
      <c r="CE1147" t="s">
        <v>147</v>
      </c>
      <c r="CF1147" s="3">
        <v>45881</v>
      </c>
      <c r="CI1147">
        <v>1</v>
      </c>
      <c r="CJ1147">
        <v>1</v>
      </c>
      <c r="CK1147">
        <v>21</v>
      </c>
      <c r="CL1147" t="s">
        <v>90</v>
      </c>
    </row>
    <row r="1148" spans="1:90" x14ac:dyDescent="0.3">
      <c r="A1148" t="s">
        <v>72</v>
      </c>
      <c r="B1148" t="s">
        <v>73</v>
      </c>
      <c r="C1148" t="s">
        <v>74</v>
      </c>
      <c r="E1148" t="str">
        <f>"080067113764"</f>
        <v>080067113764</v>
      </c>
      <c r="F1148" s="3">
        <v>45877</v>
      </c>
      <c r="G1148">
        <v>202605</v>
      </c>
      <c r="H1148" t="s">
        <v>75</v>
      </c>
      <c r="I1148" t="s">
        <v>76</v>
      </c>
      <c r="J1148" t="s">
        <v>77</v>
      </c>
      <c r="K1148" t="s">
        <v>78</v>
      </c>
      <c r="L1148" t="s">
        <v>303</v>
      </c>
      <c r="M1148" t="s">
        <v>304</v>
      </c>
      <c r="N1148" t="s">
        <v>1923</v>
      </c>
      <c r="O1148" t="s">
        <v>82</v>
      </c>
      <c r="P1148" t="str">
        <f>"4170053705                    "</f>
        <v xml:space="preserve">4170053705                    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44.73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</v>
      </c>
      <c r="AX1148">
        <v>0</v>
      </c>
      <c r="AY1148">
        <v>0</v>
      </c>
      <c r="AZ1148">
        <v>0</v>
      </c>
      <c r="BA1148">
        <v>0</v>
      </c>
      <c r="BB1148">
        <v>0</v>
      </c>
      <c r="BC1148">
        <v>0</v>
      </c>
      <c r="BD1148">
        <v>0</v>
      </c>
      <c r="BE1148">
        <v>0</v>
      </c>
      <c r="BF1148">
        <v>0</v>
      </c>
      <c r="BG1148">
        <v>0</v>
      </c>
      <c r="BH1148">
        <v>1</v>
      </c>
      <c r="BI1148">
        <v>1</v>
      </c>
      <c r="BJ1148">
        <v>0.2</v>
      </c>
      <c r="BK1148">
        <v>1</v>
      </c>
      <c r="BL1148">
        <v>138.88999999999999</v>
      </c>
      <c r="BM1148">
        <v>20.83</v>
      </c>
      <c r="BN1148">
        <v>159.72</v>
      </c>
      <c r="BO1148">
        <v>159.72</v>
      </c>
      <c r="BQ1148" t="s">
        <v>1924</v>
      </c>
      <c r="BR1148" t="s">
        <v>84</v>
      </c>
      <c r="BS1148" s="3">
        <v>45880</v>
      </c>
      <c r="BT1148" s="4">
        <v>0.44444444444444442</v>
      </c>
      <c r="BU1148" t="s">
        <v>1925</v>
      </c>
      <c r="BV1148" t="s">
        <v>86</v>
      </c>
      <c r="BY1148">
        <v>1200</v>
      </c>
      <c r="CA1148" t="s">
        <v>308</v>
      </c>
      <c r="CC1148" t="s">
        <v>304</v>
      </c>
      <c r="CD1148">
        <v>7130</v>
      </c>
      <c r="CE1148" t="s">
        <v>109</v>
      </c>
      <c r="CF1148" s="3">
        <v>45881</v>
      </c>
      <c r="CI1148">
        <v>1</v>
      </c>
      <c r="CJ1148">
        <v>1</v>
      </c>
      <c r="CK1148">
        <v>23</v>
      </c>
      <c r="CL1148" t="s">
        <v>90</v>
      </c>
    </row>
    <row r="1149" spans="1:90" x14ac:dyDescent="0.3">
      <c r="A1149" t="s">
        <v>72</v>
      </c>
      <c r="B1149" t="s">
        <v>73</v>
      </c>
      <c r="C1149" t="s">
        <v>74</v>
      </c>
      <c r="E1149" t="str">
        <f>"080067113789"</f>
        <v>080067113789</v>
      </c>
      <c r="F1149" s="3">
        <v>45877</v>
      </c>
      <c r="G1149">
        <v>202605</v>
      </c>
      <c r="H1149" t="s">
        <v>75</v>
      </c>
      <c r="I1149" t="s">
        <v>76</v>
      </c>
      <c r="J1149" t="s">
        <v>77</v>
      </c>
      <c r="K1149" t="s">
        <v>78</v>
      </c>
      <c r="L1149" t="s">
        <v>118</v>
      </c>
      <c r="M1149" t="s">
        <v>118</v>
      </c>
      <c r="N1149" t="s">
        <v>213</v>
      </c>
      <c r="O1149" t="s">
        <v>82</v>
      </c>
      <c r="P1149" t="str">
        <f>"4170053724                    "</f>
        <v xml:space="preserve">4170053724                    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44.73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  <c r="AX1149">
        <v>0</v>
      </c>
      <c r="AY1149">
        <v>0</v>
      </c>
      <c r="AZ1149">
        <v>0</v>
      </c>
      <c r="BA1149">
        <v>0</v>
      </c>
      <c r="BB1149">
        <v>0</v>
      </c>
      <c r="BC1149">
        <v>0</v>
      </c>
      <c r="BD1149">
        <v>0</v>
      </c>
      <c r="BE1149">
        <v>0</v>
      </c>
      <c r="BF1149">
        <v>0</v>
      </c>
      <c r="BG1149">
        <v>0</v>
      </c>
      <c r="BH1149">
        <v>1</v>
      </c>
      <c r="BI1149">
        <v>1</v>
      </c>
      <c r="BJ1149">
        <v>0.2</v>
      </c>
      <c r="BK1149">
        <v>1</v>
      </c>
      <c r="BL1149">
        <v>138.88999999999999</v>
      </c>
      <c r="BM1149">
        <v>20.83</v>
      </c>
      <c r="BN1149">
        <v>159.72</v>
      </c>
      <c r="BO1149">
        <v>159.72</v>
      </c>
      <c r="BQ1149" t="s">
        <v>214</v>
      </c>
      <c r="BR1149" t="s">
        <v>84</v>
      </c>
      <c r="BS1149" s="3">
        <v>45880</v>
      </c>
      <c r="BT1149" s="4">
        <v>0.51736111111111116</v>
      </c>
      <c r="BU1149" t="s">
        <v>215</v>
      </c>
      <c r="BV1149" t="s">
        <v>86</v>
      </c>
      <c r="BY1149">
        <v>1200</v>
      </c>
      <c r="CA1149" t="s">
        <v>122</v>
      </c>
      <c r="CC1149" t="s">
        <v>118</v>
      </c>
      <c r="CD1149">
        <v>7654</v>
      </c>
      <c r="CE1149" t="s">
        <v>109</v>
      </c>
      <c r="CF1149" s="3">
        <v>45881</v>
      </c>
      <c r="CI1149">
        <v>1</v>
      </c>
      <c r="CJ1149">
        <v>1</v>
      </c>
      <c r="CK1149">
        <v>23</v>
      </c>
      <c r="CL1149" t="s">
        <v>90</v>
      </c>
    </row>
    <row r="1150" spans="1:90" x14ac:dyDescent="0.3">
      <c r="A1150" t="s">
        <v>72</v>
      </c>
      <c r="B1150" t="s">
        <v>73</v>
      </c>
      <c r="C1150" t="s">
        <v>74</v>
      </c>
      <c r="E1150" t="str">
        <f>"080067113816"</f>
        <v>080067113816</v>
      </c>
      <c r="F1150" s="3">
        <v>45877</v>
      </c>
      <c r="G1150">
        <v>202605</v>
      </c>
      <c r="H1150" t="s">
        <v>75</v>
      </c>
      <c r="I1150" t="s">
        <v>76</v>
      </c>
      <c r="J1150" t="s">
        <v>77</v>
      </c>
      <c r="K1150" t="s">
        <v>78</v>
      </c>
      <c r="L1150" t="s">
        <v>123</v>
      </c>
      <c r="M1150" t="s">
        <v>124</v>
      </c>
      <c r="N1150" t="s">
        <v>406</v>
      </c>
      <c r="O1150" t="s">
        <v>82</v>
      </c>
      <c r="P1150" t="str">
        <f>"4170053784                    "</f>
        <v xml:space="preserve">4170053784                    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23.09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</v>
      </c>
      <c r="AX1150">
        <v>0</v>
      </c>
      <c r="AY1150">
        <v>0</v>
      </c>
      <c r="AZ1150">
        <v>0</v>
      </c>
      <c r="BA1150">
        <v>0</v>
      </c>
      <c r="BB1150">
        <v>0</v>
      </c>
      <c r="BC1150">
        <v>0</v>
      </c>
      <c r="BD1150">
        <v>0</v>
      </c>
      <c r="BE1150">
        <v>0</v>
      </c>
      <c r="BF1150">
        <v>0</v>
      </c>
      <c r="BG1150">
        <v>0</v>
      </c>
      <c r="BH1150">
        <v>1</v>
      </c>
      <c r="BI1150">
        <v>1</v>
      </c>
      <c r="BJ1150">
        <v>0.2</v>
      </c>
      <c r="BK1150">
        <v>1</v>
      </c>
      <c r="BL1150">
        <v>71.69</v>
      </c>
      <c r="BM1150">
        <v>10.75</v>
      </c>
      <c r="BN1150">
        <v>82.44</v>
      </c>
      <c r="BO1150">
        <v>82.44</v>
      </c>
      <c r="BQ1150" t="s">
        <v>407</v>
      </c>
      <c r="BR1150" t="s">
        <v>84</v>
      </c>
      <c r="BS1150" s="3">
        <v>45880</v>
      </c>
      <c r="BT1150" s="4">
        <v>0.40763888888888888</v>
      </c>
      <c r="BU1150" t="s">
        <v>408</v>
      </c>
      <c r="BV1150" t="s">
        <v>86</v>
      </c>
      <c r="BY1150">
        <v>1200</v>
      </c>
      <c r="CA1150" t="s">
        <v>192</v>
      </c>
      <c r="CC1150" t="s">
        <v>124</v>
      </c>
      <c r="CD1150">
        <v>7441</v>
      </c>
      <c r="CE1150" t="s">
        <v>109</v>
      </c>
      <c r="CF1150" s="3">
        <v>45881</v>
      </c>
      <c r="CI1150">
        <v>1</v>
      </c>
      <c r="CJ1150">
        <v>1</v>
      </c>
      <c r="CK1150">
        <v>21</v>
      </c>
      <c r="CL1150" t="s">
        <v>90</v>
      </c>
    </row>
    <row r="1151" spans="1:90" x14ac:dyDescent="0.3">
      <c r="A1151" t="s">
        <v>72</v>
      </c>
      <c r="B1151" t="s">
        <v>73</v>
      </c>
      <c r="C1151" t="s">
        <v>74</v>
      </c>
      <c r="E1151" t="str">
        <f>"080067113835"</f>
        <v>080067113835</v>
      </c>
      <c r="F1151" s="3">
        <v>45877</v>
      </c>
      <c r="G1151">
        <v>202605</v>
      </c>
      <c r="H1151" t="s">
        <v>75</v>
      </c>
      <c r="I1151" t="s">
        <v>76</v>
      </c>
      <c r="J1151" t="s">
        <v>77</v>
      </c>
      <c r="K1151" t="s">
        <v>78</v>
      </c>
      <c r="L1151" t="s">
        <v>400</v>
      </c>
      <c r="M1151" t="s">
        <v>401</v>
      </c>
      <c r="N1151" t="s">
        <v>788</v>
      </c>
      <c r="O1151" t="s">
        <v>82</v>
      </c>
      <c r="P1151" t="str">
        <f>"4170053748                    "</f>
        <v xml:space="preserve">4170053748                    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23.09</v>
      </c>
      <c r="AR1151">
        <v>0</v>
      </c>
      <c r="AS1151">
        <v>0</v>
      </c>
      <c r="AT1151">
        <v>0</v>
      </c>
      <c r="AU1151">
        <v>0</v>
      </c>
      <c r="AV1151">
        <v>0</v>
      </c>
      <c r="AW1151">
        <v>0</v>
      </c>
      <c r="AX1151">
        <v>0</v>
      </c>
      <c r="AY1151">
        <v>0</v>
      </c>
      <c r="AZ1151">
        <v>0</v>
      </c>
      <c r="BA1151">
        <v>0</v>
      </c>
      <c r="BB1151">
        <v>0</v>
      </c>
      <c r="BC1151">
        <v>0</v>
      </c>
      <c r="BD1151">
        <v>0</v>
      </c>
      <c r="BE1151">
        <v>0</v>
      </c>
      <c r="BF1151">
        <v>0</v>
      </c>
      <c r="BG1151">
        <v>0</v>
      </c>
      <c r="BH1151">
        <v>1</v>
      </c>
      <c r="BI1151">
        <v>1</v>
      </c>
      <c r="BJ1151">
        <v>0.2</v>
      </c>
      <c r="BK1151">
        <v>1</v>
      </c>
      <c r="BL1151">
        <v>71.69</v>
      </c>
      <c r="BM1151">
        <v>10.75</v>
      </c>
      <c r="BN1151">
        <v>82.44</v>
      </c>
      <c r="BO1151">
        <v>82.44</v>
      </c>
      <c r="BQ1151" t="s">
        <v>789</v>
      </c>
      <c r="BR1151" t="s">
        <v>84</v>
      </c>
      <c r="BS1151" s="3">
        <v>45881</v>
      </c>
      <c r="BT1151" s="4">
        <v>0.33333333333333331</v>
      </c>
      <c r="BU1151" t="s">
        <v>1926</v>
      </c>
      <c r="BV1151" t="s">
        <v>86</v>
      </c>
      <c r="BY1151">
        <v>1200</v>
      </c>
      <c r="CA1151" t="s">
        <v>405</v>
      </c>
      <c r="CC1151" t="s">
        <v>401</v>
      </c>
      <c r="CD1151">
        <v>6230</v>
      </c>
      <c r="CE1151" t="s">
        <v>178</v>
      </c>
      <c r="CF1151" s="3">
        <v>45881</v>
      </c>
      <c r="CI1151">
        <v>1</v>
      </c>
      <c r="CJ1151">
        <v>2</v>
      </c>
      <c r="CK1151">
        <v>21</v>
      </c>
      <c r="CL1151" t="s">
        <v>90</v>
      </c>
    </row>
    <row r="1152" spans="1:90" x14ac:dyDescent="0.3">
      <c r="A1152" t="s">
        <v>72</v>
      </c>
      <c r="B1152" t="s">
        <v>73</v>
      </c>
      <c r="C1152" t="s">
        <v>74</v>
      </c>
      <c r="E1152" t="str">
        <f>"080067113842"</f>
        <v>080067113842</v>
      </c>
      <c r="F1152" s="3">
        <v>45877</v>
      </c>
      <c r="G1152">
        <v>202605</v>
      </c>
      <c r="H1152" t="s">
        <v>75</v>
      </c>
      <c r="I1152" t="s">
        <v>76</v>
      </c>
      <c r="J1152" t="s">
        <v>77</v>
      </c>
      <c r="K1152" t="s">
        <v>78</v>
      </c>
      <c r="L1152" t="s">
        <v>223</v>
      </c>
      <c r="M1152" t="s">
        <v>224</v>
      </c>
      <c r="N1152" t="s">
        <v>498</v>
      </c>
      <c r="O1152" t="s">
        <v>82</v>
      </c>
      <c r="P1152" t="str">
        <f>"4170053719                    "</f>
        <v xml:space="preserve">4170053719                    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23.09</v>
      </c>
      <c r="AR1152">
        <v>0</v>
      </c>
      <c r="AS1152">
        <v>0</v>
      </c>
      <c r="AT1152">
        <v>0</v>
      </c>
      <c r="AU1152">
        <v>0</v>
      </c>
      <c r="AV1152">
        <v>0</v>
      </c>
      <c r="AW1152">
        <v>0</v>
      </c>
      <c r="AX1152">
        <v>0</v>
      </c>
      <c r="AY1152">
        <v>0</v>
      </c>
      <c r="AZ1152">
        <v>0</v>
      </c>
      <c r="BA1152">
        <v>0</v>
      </c>
      <c r="BB1152">
        <v>0</v>
      </c>
      <c r="BC1152">
        <v>0</v>
      </c>
      <c r="BD1152">
        <v>0</v>
      </c>
      <c r="BE1152">
        <v>0</v>
      </c>
      <c r="BF1152">
        <v>0</v>
      </c>
      <c r="BG1152">
        <v>0</v>
      </c>
      <c r="BH1152">
        <v>1</v>
      </c>
      <c r="BI1152">
        <v>1</v>
      </c>
      <c r="BJ1152">
        <v>0.2</v>
      </c>
      <c r="BK1152">
        <v>1</v>
      </c>
      <c r="BL1152">
        <v>71.69</v>
      </c>
      <c r="BM1152">
        <v>10.75</v>
      </c>
      <c r="BN1152">
        <v>82.44</v>
      </c>
      <c r="BO1152">
        <v>82.44</v>
      </c>
      <c r="BQ1152" t="s">
        <v>499</v>
      </c>
      <c r="BR1152" t="s">
        <v>84</v>
      </c>
      <c r="BS1152" s="3">
        <v>45880</v>
      </c>
      <c r="BT1152" s="4">
        <v>0.57430555555555551</v>
      </c>
      <c r="BU1152" t="s">
        <v>1927</v>
      </c>
      <c r="BV1152" t="s">
        <v>86</v>
      </c>
      <c r="BY1152">
        <v>1200</v>
      </c>
      <c r="CA1152" t="s">
        <v>268</v>
      </c>
      <c r="CC1152" t="s">
        <v>224</v>
      </c>
      <c r="CD1152">
        <v>5201</v>
      </c>
      <c r="CE1152" t="s">
        <v>178</v>
      </c>
      <c r="CF1152" s="3">
        <v>45881</v>
      </c>
      <c r="CI1152">
        <v>5</v>
      </c>
      <c r="CJ1152">
        <v>1</v>
      </c>
      <c r="CK1152">
        <v>21</v>
      </c>
      <c r="CL1152" t="s">
        <v>90</v>
      </c>
    </row>
    <row r="1153" spans="1:90" x14ac:dyDescent="0.3">
      <c r="A1153" t="s">
        <v>72</v>
      </c>
      <c r="B1153" t="s">
        <v>73</v>
      </c>
      <c r="C1153" t="s">
        <v>74</v>
      </c>
      <c r="E1153" t="str">
        <f>"080067113851"</f>
        <v>080067113851</v>
      </c>
      <c r="F1153" s="3">
        <v>45877</v>
      </c>
      <c r="G1153">
        <v>202605</v>
      </c>
      <c r="H1153" t="s">
        <v>75</v>
      </c>
      <c r="I1153" t="s">
        <v>76</v>
      </c>
      <c r="J1153" t="s">
        <v>77</v>
      </c>
      <c r="K1153" t="s">
        <v>78</v>
      </c>
      <c r="L1153" t="s">
        <v>110</v>
      </c>
      <c r="M1153" t="s">
        <v>111</v>
      </c>
      <c r="N1153" t="s">
        <v>309</v>
      </c>
      <c r="O1153" t="s">
        <v>82</v>
      </c>
      <c r="P1153" t="str">
        <f>"4170053781                    "</f>
        <v xml:space="preserve">4170053781                    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18.03</v>
      </c>
      <c r="AR1153">
        <v>0</v>
      </c>
      <c r="AS1153">
        <v>0</v>
      </c>
      <c r="AT1153">
        <v>0</v>
      </c>
      <c r="AU1153">
        <v>0</v>
      </c>
      <c r="AV1153">
        <v>0</v>
      </c>
      <c r="AW1153">
        <v>0</v>
      </c>
      <c r="AX1153">
        <v>0</v>
      </c>
      <c r="AY1153">
        <v>0</v>
      </c>
      <c r="AZ1153">
        <v>0</v>
      </c>
      <c r="BA1153">
        <v>0</v>
      </c>
      <c r="BB1153">
        <v>0</v>
      </c>
      <c r="BC1153">
        <v>0</v>
      </c>
      <c r="BD1153">
        <v>0</v>
      </c>
      <c r="BE1153">
        <v>0</v>
      </c>
      <c r="BF1153">
        <v>0</v>
      </c>
      <c r="BG1153">
        <v>0</v>
      </c>
      <c r="BH1153">
        <v>1</v>
      </c>
      <c r="BI1153">
        <v>1</v>
      </c>
      <c r="BJ1153">
        <v>0.2</v>
      </c>
      <c r="BK1153">
        <v>1</v>
      </c>
      <c r="BL1153">
        <v>55.99</v>
      </c>
      <c r="BM1153">
        <v>8.4</v>
      </c>
      <c r="BN1153">
        <v>64.39</v>
      </c>
      <c r="BO1153">
        <v>64.39</v>
      </c>
      <c r="BQ1153" t="s">
        <v>310</v>
      </c>
      <c r="BR1153" t="s">
        <v>84</v>
      </c>
      <c r="BS1153" s="3">
        <v>45880</v>
      </c>
      <c r="BT1153" s="4">
        <v>0.42569444444444443</v>
      </c>
      <c r="BU1153" t="s">
        <v>954</v>
      </c>
      <c r="BV1153" t="s">
        <v>86</v>
      </c>
      <c r="BY1153">
        <v>1200</v>
      </c>
      <c r="CA1153" t="s">
        <v>312</v>
      </c>
      <c r="CC1153" t="s">
        <v>111</v>
      </c>
      <c r="CD1153">
        <v>2163</v>
      </c>
      <c r="CE1153" t="s">
        <v>178</v>
      </c>
      <c r="CF1153" s="3">
        <v>45881</v>
      </c>
      <c r="CI1153">
        <v>1</v>
      </c>
      <c r="CJ1153">
        <v>1</v>
      </c>
      <c r="CK1153">
        <v>22</v>
      </c>
      <c r="CL1153" t="s">
        <v>90</v>
      </c>
    </row>
    <row r="1154" spans="1:90" x14ac:dyDescent="0.3">
      <c r="A1154" t="s">
        <v>72</v>
      </c>
      <c r="B1154" t="s">
        <v>73</v>
      </c>
      <c r="C1154" t="s">
        <v>74</v>
      </c>
      <c r="E1154" t="str">
        <f>"080067113874"</f>
        <v>080067113874</v>
      </c>
      <c r="F1154" s="3">
        <v>45877</v>
      </c>
      <c r="G1154">
        <v>202605</v>
      </c>
      <c r="H1154" t="s">
        <v>75</v>
      </c>
      <c r="I1154" t="s">
        <v>76</v>
      </c>
      <c r="J1154" t="s">
        <v>77</v>
      </c>
      <c r="K1154" t="s">
        <v>78</v>
      </c>
      <c r="L1154" t="s">
        <v>359</v>
      </c>
      <c r="M1154" t="s">
        <v>360</v>
      </c>
      <c r="N1154" t="s">
        <v>361</v>
      </c>
      <c r="O1154" t="s">
        <v>82</v>
      </c>
      <c r="P1154" t="str">
        <f>"4170053801                    "</f>
        <v xml:space="preserve">4170053801                    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44.73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</v>
      </c>
      <c r="AX1154">
        <v>0</v>
      </c>
      <c r="AY1154">
        <v>0</v>
      </c>
      <c r="AZ1154">
        <v>0</v>
      </c>
      <c r="BA1154">
        <v>0</v>
      </c>
      <c r="BB1154">
        <v>0</v>
      </c>
      <c r="BC1154">
        <v>0</v>
      </c>
      <c r="BD1154">
        <v>0</v>
      </c>
      <c r="BE1154">
        <v>0</v>
      </c>
      <c r="BF1154">
        <v>0</v>
      </c>
      <c r="BG1154">
        <v>0</v>
      </c>
      <c r="BH1154">
        <v>1</v>
      </c>
      <c r="BI1154">
        <v>1</v>
      </c>
      <c r="BJ1154">
        <v>0.2</v>
      </c>
      <c r="BK1154">
        <v>1</v>
      </c>
      <c r="BL1154">
        <v>138.88999999999999</v>
      </c>
      <c r="BM1154">
        <v>20.83</v>
      </c>
      <c r="BN1154">
        <v>159.72</v>
      </c>
      <c r="BO1154">
        <v>159.72</v>
      </c>
      <c r="BQ1154" t="s">
        <v>362</v>
      </c>
      <c r="BR1154" t="s">
        <v>84</v>
      </c>
      <c r="BS1154" s="3">
        <v>45880</v>
      </c>
      <c r="BT1154" s="4">
        <v>0.49930555555555556</v>
      </c>
      <c r="BU1154" t="s">
        <v>1928</v>
      </c>
      <c r="BV1154" t="s">
        <v>86</v>
      </c>
      <c r="BY1154">
        <v>1200</v>
      </c>
      <c r="CA1154" t="s">
        <v>1929</v>
      </c>
      <c r="CC1154" t="s">
        <v>360</v>
      </c>
      <c r="CD1154" s="5" t="s">
        <v>367</v>
      </c>
      <c r="CE1154" t="s">
        <v>178</v>
      </c>
      <c r="CF1154" s="3">
        <v>45880</v>
      </c>
      <c r="CI1154">
        <v>1</v>
      </c>
      <c r="CJ1154">
        <v>1</v>
      </c>
      <c r="CK1154">
        <v>23</v>
      </c>
      <c r="CL1154" t="s">
        <v>90</v>
      </c>
    </row>
    <row r="1155" spans="1:90" x14ac:dyDescent="0.3">
      <c r="A1155" t="s">
        <v>72</v>
      </c>
      <c r="B1155" t="s">
        <v>73</v>
      </c>
      <c r="C1155" t="s">
        <v>74</v>
      </c>
      <c r="E1155" t="str">
        <f>"080067113891"</f>
        <v>080067113891</v>
      </c>
      <c r="F1155" s="3">
        <v>45877</v>
      </c>
      <c r="G1155">
        <v>202605</v>
      </c>
      <c r="H1155" t="s">
        <v>75</v>
      </c>
      <c r="I1155" t="s">
        <v>76</v>
      </c>
      <c r="J1155" t="s">
        <v>77</v>
      </c>
      <c r="K1155" t="s">
        <v>78</v>
      </c>
      <c r="L1155" t="s">
        <v>234</v>
      </c>
      <c r="M1155" t="s">
        <v>235</v>
      </c>
      <c r="N1155" t="s">
        <v>236</v>
      </c>
      <c r="O1155" t="s">
        <v>82</v>
      </c>
      <c r="P1155" t="str">
        <f>"4170053908                    "</f>
        <v xml:space="preserve">4170053908                    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23.09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  <c r="AX1155">
        <v>0</v>
      </c>
      <c r="AY1155">
        <v>0</v>
      </c>
      <c r="AZ1155">
        <v>0</v>
      </c>
      <c r="BA1155">
        <v>0</v>
      </c>
      <c r="BB1155">
        <v>0</v>
      </c>
      <c r="BC1155">
        <v>0</v>
      </c>
      <c r="BD1155">
        <v>0</v>
      </c>
      <c r="BE1155">
        <v>0</v>
      </c>
      <c r="BF1155">
        <v>0</v>
      </c>
      <c r="BG1155">
        <v>0</v>
      </c>
      <c r="BH1155">
        <v>1</v>
      </c>
      <c r="BI1155">
        <v>1</v>
      </c>
      <c r="BJ1155">
        <v>0.2</v>
      </c>
      <c r="BK1155">
        <v>1</v>
      </c>
      <c r="BL1155">
        <v>71.69</v>
      </c>
      <c r="BM1155">
        <v>10.75</v>
      </c>
      <c r="BN1155">
        <v>82.44</v>
      </c>
      <c r="BO1155">
        <v>82.44</v>
      </c>
      <c r="BQ1155" t="s">
        <v>237</v>
      </c>
      <c r="BR1155" t="s">
        <v>84</v>
      </c>
      <c r="BS1155" s="3">
        <v>45880</v>
      </c>
      <c r="BT1155" s="4">
        <v>0.37708333333333333</v>
      </c>
      <c r="BU1155" t="s">
        <v>650</v>
      </c>
      <c r="BV1155" t="s">
        <v>86</v>
      </c>
      <c r="BY1155">
        <v>1200</v>
      </c>
      <c r="CA1155" t="s">
        <v>239</v>
      </c>
      <c r="CC1155" t="s">
        <v>235</v>
      </c>
      <c r="CD1155" s="5" t="s">
        <v>240</v>
      </c>
      <c r="CE1155" t="s">
        <v>178</v>
      </c>
      <c r="CF1155" s="3">
        <v>45880</v>
      </c>
      <c r="CI1155">
        <v>1</v>
      </c>
      <c r="CJ1155">
        <v>1</v>
      </c>
      <c r="CK1155">
        <v>21</v>
      </c>
      <c r="CL1155" t="s">
        <v>90</v>
      </c>
    </row>
    <row r="1156" spans="1:90" x14ac:dyDescent="0.3">
      <c r="A1156" t="s">
        <v>72</v>
      </c>
      <c r="B1156" t="s">
        <v>73</v>
      </c>
      <c r="C1156" t="s">
        <v>74</v>
      </c>
      <c r="E1156" t="str">
        <f>"080067113902"</f>
        <v>080067113902</v>
      </c>
      <c r="F1156" s="3">
        <v>45877</v>
      </c>
      <c r="G1156">
        <v>202605</v>
      </c>
      <c r="H1156" t="s">
        <v>75</v>
      </c>
      <c r="I1156" t="s">
        <v>76</v>
      </c>
      <c r="J1156" t="s">
        <v>77</v>
      </c>
      <c r="K1156" t="s">
        <v>78</v>
      </c>
      <c r="L1156" t="s">
        <v>123</v>
      </c>
      <c r="M1156" t="s">
        <v>124</v>
      </c>
      <c r="N1156" t="s">
        <v>1930</v>
      </c>
      <c r="O1156" t="s">
        <v>82</v>
      </c>
      <c r="P1156" t="str">
        <f>"4170053710                    "</f>
        <v xml:space="preserve">4170053710                    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23.09</v>
      </c>
      <c r="AR1156">
        <v>0</v>
      </c>
      <c r="AS1156">
        <v>0</v>
      </c>
      <c r="AT1156">
        <v>0</v>
      </c>
      <c r="AU1156">
        <v>0</v>
      </c>
      <c r="AV1156">
        <v>0</v>
      </c>
      <c r="AW1156">
        <v>0</v>
      </c>
      <c r="AX1156">
        <v>0</v>
      </c>
      <c r="AY1156">
        <v>0</v>
      </c>
      <c r="AZ1156">
        <v>0</v>
      </c>
      <c r="BA1156">
        <v>0</v>
      </c>
      <c r="BB1156">
        <v>0</v>
      </c>
      <c r="BC1156">
        <v>0</v>
      </c>
      <c r="BD1156">
        <v>0</v>
      </c>
      <c r="BE1156">
        <v>0</v>
      </c>
      <c r="BF1156">
        <v>0</v>
      </c>
      <c r="BG1156">
        <v>0</v>
      </c>
      <c r="BH1156">
        <v>1</v>
      </c>
      <c r="BI1156">
        <v>1</v>
      </c>
      <c r="BJ1156">
        <v>0.2</v>
      </c>
      <c r="BK1156">
        <v>1</v>
      </c>
      <c r="BL1156">
        <v>71.69</v>
      </c>
      <c r="BM1156">
        <v>10.75</v>
      </c>
      <c r="BN1156">
        <v>82.44</v>
      </c>
      <c r="BO1156">
        <v>82.44</v>
      </c>
      <c r="BQ1156" t="s">
        <v>1931</v>
      </c>
      <c r="BR1156" t="s">
        <v>84</v>
      </c>
      <c r="BS1156" s="3">
        <v>45880</v>
      </c>
      <c r="BT1156" s="4">
        <v>0.43402777777777779</v>
      </c>
      <c r="BU1156" t="s">
        <v>1932</v>
      </c>
      <c r="BV1156" t="s">
        <v>86</v>
      </c>
      <c r="BY1156">
        <v>1200</v>
      </c>
      <c r="CA1156" t="s">
        <v>171</v>
      </c>
      <c r="CC1156" t="s">
        <v>124</v>
      </c>
      <c r="CD1156">
        <v>7530</v>
      </c>
      <c r="CE1156" t="s">
        <v>178</v>
      </c>
      <c r="CF1156" s="3">
        <v>45881</v>
      </c>
      <c r="CI1156">
        <v>1</v>
      </c>
      <c r="CJ1156">
        <v>1</v>
      </c>
      <c r="CK1156">
        <v>21</v>
      </c>
      <c r="CL1156" t="s">
        <v>90</v>
      </c>
    </row>
    <row r="1157" spans="1:90" x14ac:dyDescent="0.3">
      <c r="A1157" t="s">
        <v>72</v>
      </c>
      <c r="B1157" t="s">
        <v>73</v>
      </c>
      <c r="C1157" t="s">
        <v>74</v>
      </c>
      <c r="E1157" t="str">
        <f>"080067113919"</f>
        <v>080067113919</v>
      </c>
      <c r="F1157" s="3">
        <v>45877</v>
      </c>
      <c r="G1157">
        <v>202605</v>
      </c>
      <c r="H1157" t="s">
        <v>75</v>
      </c>
      <c r="I1157" t="s">
        <v>76</v>
      </c>
      <c r="J1157" t="s">
        <v>77</v>
      </c>
      <c r="K1157" t="s">
        <v>78</v>
      </c>
      <c r="L1157" t="s">
        <v>75</v>
      </c>
      <c r="M1157" t="s">
        <v>76</v>
      </c>
      <c r="N1157" t="s">
        <v>537</v>
      </c>
      <c r="O1157" t="s">
        <v>82</v>
      </c>
      <c r="P1157" t="str">
        <f>"4170053716                    "</f>
        <v xml:space="preserve">4170053716                    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18.03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</v>
      </c>
      <c r="AX1157">
        <v>0</v>
      </c>
      <c r="AY1157">
        <v>0</v>
      </c>
      <c r="AZ1157">
        <v>0</v>
      </c>
      <c r="BA1157">
        <v>0</v>
      </c>
      <c r="BB1157">
        <v>0</v>
      </c>
      <c r="BC1157">
        <v>0</v>
      </c>
      <c r="BD1157">
        <v>0</v>
      </c>
      <c r="BE1157">
        <v>0</v>
      </c>
      <c r="BF1157">
        <v>0</v>
      </c>
      <c r="BG1157">
        <v>0</v>
      </c>
      <c r="BH1157">
        <v>1</v>
      </c>
      <c r="BI1157">
        <v>1</v>
      </c>
      <c r="BJ1157">
        <v>0.2</v>
      </c>
      <c r="BK1157">
        <v>1</v>
      </c>
      <c r="BL1157">
        <v>55.99</v>
      </c>
      <c r="BM1157">
        <v>8.4</v>
      </c>
      <c r="BN1157">
        <v>64.39</v>
      </c>
      <c r="BO1157">
        <v>64.39</v>
      </c>
      <c r="BQ1157" t="s">
        <v>538</v>
      </c>
      <c r="BR1157" t="s">
        <v>84</v>
      </c>
      <c r="BS1157" s="3">
        <v>45880</v>
      </c>
      <c r="BT1157" s="4">
        <v>0.4236111111111111</v>
      </c>
      <c r="BU1157" t="s">
        <v>738</v>
      </c>
      <c r="BV1157" t="s">
        <v>86</v>
      </c>
      <c r="BY1157">
        <v>1200</v>
      </c>
      <c r="CA1157" t="s">
        <v>739</v>
      </c>
      <c r="CC1157" t="s">
        <v>76</v>
      </c>
      <c r="CD1157">
        <v>1619</v>
      </c>
      <c r="CE1157" t="s">
        <v>178</v>
      </c>
      <c r="CF1157" s="3">
        <v>45880</v>
      </c>
      <c r="CI1157">
        <v>1</v>
      </c>
      <c r="CJ1157">
        <v>1</v>
      </c>
      <c r="CK1157">
        <v>22</v>
      </c>
      <c r="CL1157" t="s">
        <v>90</v>
      </c>
    </row>
    <row r="1158" spans="1:90" x14ac:dyDescent="0.3">
      <c r="A1158" t="s">
        <v>72</v>
      </c>
      <c r="B1158" t="s">
        <v>73</v>
      </c>
      <c r="C1158" t="s">
        <v>74</v>
      </c>
      <c r="E1158" t="str">
        <f>"080067113977"</f>
        <v>080067113977</v>
      </c>
      <c r="F1158" s="3">
        <v>45877</v>
      </c>
      <c r="G1158">
        <v>202605</v>
      </c>
      <c r="H1158" t="s">
        <v>75</v>
      </c>
      <c r="I1158" t="s">
        <v>76</v>
      </c>
      <c r="J1158" t="s">
        <v>77</v>
      </c>
      <c r="K1158" t="s">
        <v>78</v>
      </c>
      <c r="L1158" t="s">
        <v>234</v>
      </c>
      <c r="M1158" t="s">
        <v>235</v>
      </c>
      <c r="N1158" t="s">
        <v>236</v>
      </c>
      <c r="O1158" t="s">
        <v>82</v>
      </c>
      <c r="P1158" t="str">
        <f>"4170053906                    "</f>
        <v xml:space="preserve">4170053906                    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23.09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0</v>
      </c>
      <c r="AY1158">
        <v>0</v>
      </c>
      <c r="AZ1158">
        <v>0</v>
      </c>
      <c r="BA1158">
        <v>0</v>
      </c>
      <c r="BB1158">
        <v>0</v>
      </c>
      <c r="BC1158">
        <v>0</v>
      </c>
      <c r="BD1158">
        <v>0</v>
      </c>
      <c r="BE1158">
        <v>0</v>
      </c>
      <c r="BF1158">
        <v>0</v>
      </c>
      <c r="BG1158">
        <v>0</v>
      </c>
      <c r="BH1158">
        <v>1</v>
      </c>
      <c r="BI1158">
        <v>1</v>
      </c>
      <c r="BJ1158">
        <v>0.2</v>
      </c>
      <c r="BK1158">
        <v>1</v>
      </c>
      <c r="BL1158">
        <v>71.69</v>
      </c>
      <c r="BM1158">
        <v>10.75</v>
      </c>
      <c r="BN1158">
        <v>82.44</v>
      </c>
      <c r="BO1158">
        <v>82.44</v>
      </c>
      <c r="BQ1158" t="s">
        <v>237</v>
      </c>
      <c r="BR1158" t="s">
        <v>84</v>
      </c>
      <c r="BS1158" s="3">
        <v>45880</v>
      </c>
      <c r="BT1158" s="4">
        <v>0.37777777777777777</v>
      </c>
      <c r="BU1158" t="s">
        <v>650</v>
      </c>
      <c r="BV1158" t="s">
        <v>86</v>
      </c>
      <c r="BY1158">
        <v>1200</v>
      </c>
      <c r="CA1158" t="s">
        <v>239</v>
      </c>
      <c r="CC1158" t="s">
        <v>235</v>
      </c>
      <c r="CD1158" s="5" t="s">
        <v>240</v>
      </c>
      <c r="CE1158" t="s">
        <v>178</v>
      </c>
      <c r="CF1158" s="3">
        <v>45880</v>
      </c>
      <c r="CI1158">
        <v>1</v>
      </c>
      <c r="CJ1158">
        <v>1</v>
      </c>
      <c r="CK1158">
        <v>21</v>
      </c>
      <c r="CL1158" t="s">
        <v>90</v>
      </c>
    </row>
    <row r="1159" spans="1:90" x14ac:dyDescent="0.3">
      <c r="A1159" t="s">
        <v>72</v>
      </c>
      <c r="B1159" t="s">
        <v>73</v>
      </c>
      <c r="C1159" t="s">
        <v>74</v>
      </c>
      <c r="E1159" t="str">
        <f>"080067114252"</f>
        <v>080067114252</v>
      </c>
      <c r="F1159" s="3">
        <v>45877</v>
      </c>
      <c r="G1159">
        <v>202605</v>
      </c>
      <c r="H1159" t="s">
        <v>75</v>
      </c>
      <c r="I1159" t="s">
        <v>76</v>
      </c>
      <c r="J1159" t="s">
        <v>77</v>
      </c>
      <c r="K1159" t="s">
        <v>78</v>
      </c>
      <c r="L1159" t="s">
        <v>198</v>
      </c>
      <c r="M1159" t="s">
        <v>199</v>
      </c>
      <c r="N1159" t="s">
        <v>920</v>
      </c>
      <c r="O1159" t="s">
        <v>82</v>
      </c>
      <c r="P1159" t="str">
        <f>"4170053717                    "</f>
        <v xml:space="preserve">4170053717                    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23.09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</v>
      </c>
      <c r="AX1159">
        <v>0</v>
      </c>
      <c r="AY1159">
        <v>0</v>
      </c>
      <c r="AZ1159">
        <v>0</v>
      </c>
      <c r="BA1159">
        <v>0</v>
      </c>
      <c r="BB1159">
        <v>0</v>
      </c>
      <c r="BC1159">
        <v>0</v>
      </c>
      <c r="BD1159">
        <v>0</v>
      </c>
      <c r="BE1159">
        <v>0</v>
      </c>
      <c r="BF1159">
        <v>0</v>
      </c>
      <c r="BG1159">
        <v>0</v>
      </c>
      <c r="BH1159">
        <v>1</v>
      </c>
      <c r="BI1159">
        <v>1</v>
      </c>
      <c r="BJ1159">
        <v>0.2</v>
      </c>
      <c r="BK1159">
        <v>1</v>
      </c>
      <c r="BL1159">
        <v>71.69</v>
      </c>
      <c r="BM1159">
        <v>10.75</v>
      </c>
      <c r="BN1159">
        <v>82.44</v>
      </c>
      <c r="BO1159">
        <v>82.44</v>
      </c>
      <c r="BQ1159" t="s">
        <v>921</v>
      </c>
      <c r="BR1159" t="s">
        <v>84</v>
      </c>
      <c r="BS1159" s="3">
        <v>45880</v>
      </c>
      <c r="BT1159" s="4">
        <v>0.41805555555555557</v>
      </c>
      <c r="BU1159" t="s">
        <v>1392</v>
      </c>
      <c r="BV1159" t="s">
        <v>86</v>
      </c>
      <c r="BY1159">
        <v>1200</v>
      </c>
      <c r="CA1159" t="s">
        <v>413</v>
      </c>
      <c r="CC1159" t="s">
        <v>199</v>
      </c>
      <c r="CD1159">
        <v>6056</v>
      </c>
      <c r="CE1159" t="s">
        <v>109</v>
      </c>
      <c r="CF1159" s="3">
        <v>45880</v>
      </c>
      <c r="CI1159">
        <v>1</v>
      </c>
      <c r="CJ1159">
        <v>1</v>
      </c>
      <c r="CK1159">
        <v>21</v>
      </c>
      <c r="CL1159" t="s">
        <v>90</v>
      </c>
    </row>
    <row r="1160" spans="1:90" x14ac:dyDescent="0.3">
      <c r="A1160" t="s">
        <v>72</v>
      </c>
      <c r="B1160" t="s">
        <v>73</v>
      </c>
      <c r="C1160" t="s">
        <v>74</v>
      </c>
      <c r="E1160" t="str">
        <f>"080067114268"</f>
        <v>080067114268</v>
      </c>
      <c r="F1160" s="3">
        <v>45877</v>
      </c>
      <c r="G1160">
        <v>202605</v>
      </c>
      <c r="H1160" t="s">
        <v>75</v>
      </c>
      <c r="I1160" t="s">
        <v>76</v>
      </c>
      <c r="J1160" t="s">
        <v>77</v>
      </c>
      <c r="K1160" t="s">
        <v>78</v>
      </c>
      <c r="L1160" t="s">
        <v>1087</v>
      </c>
      <c r="M1160" t="s">
        <v>1088</v>
      </c>
      <c r="N1160" t="s">
        <v>1089</v>
      </c>
      <c r="O1160" t="s">
        <v>82</v>
      </c>
      <c r="P1160" t="str">
        <f>"4170053742                    "</f>
        <v xml:space="preserve">4170053742                    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85.12</v>
      </c>
      <c r="AR1160">
        <v>0</v>
      </c>
      <c r="AS1160">
        <v>0</v>
      </c>
      <c r="AT1160">
        <v>0</v>
      </c>
      <c r="AU1160">
        <v>0</v>
      </c>
      <c r="AV1160">
        <v>0</v>
      </c>
      <c r="AW1160">
        <v>0</v>
      </c>
      <c r="AX1160">
        <v>0</v>
      </c>
      <c r="AY1160">
        <v>0</v>
      </c>
      <c r="AZ1160">
        <v>0</v>
      </c>
      <c r="BA1160">
        <v>0</v>
      </c>
      <c r="BB1160">
        <v>0</v>
      </c>
      <c r="BC1160">
        <v>0</v>
      </c>
      <c r="BD1160">
        <v>0</v>
      </c>
      <c r="BE1160">
        <v>0</v>
      </c>
      <c r="BF1160">
        <v>0</v>
      </c>
      <c r="BG1160">
        <v>0</v>
      </c>
      <c r="BH1160">
        <v>1</v>
      </c>
      <c r="BI1160">
        <v>4</v>
      </c>
      <c r="BJ1160">
        <v>2.1</v>
      </c>
      <c r="BK1160">
        <v>4</v>
      </c>
      <c r="BL1160">
        <v>264.32</v>
      </c>
      <c r="BM1160">
        <v>39.65</v>
      </c>
      <c r="BN1160">
        <v>303.97000000000003</v>
      </c>
      <c r="BO1160">
        <v>303.97000000000003</v>
      </c>
      <c r="BQ1160" t="s">
        <v>1090</v>
      </c>
      <c r="BR1160" t="s">
        <v>84</v>
      </c>
      <c r="BS1160" s="3">
        <v>45880</v>
      </c>
      <c r="BT1160" s="4">
        <v>0.5805555555555556</v>
      </c>
      <c r="BU1160" t="s">
        <v>1091</v>
      </c>
      <c r="BV1160" t="s">
        <v>86</v>
      </c>
      <c r="BY1160">
        <v>10368</v>
      </c>
      <c r="CA1160" t="s">
        <v>1092</v>
      </c>
      <c r="CC1160" t="s">
        <v>1088</v>
      </c>
      <c r="CD1160">
        <v>6500</v>
      </c>
      <c r="CE1160" t="s">
        <v>117</v>
      </c>
      <c r="CF1160" s="3">
        <v>45880</v>
      </c>
      <c r="CI1160">
        <v>1</v>
      </c>
      <c r="CJ1160">
        <v>1</v>
      </c>
      <c r="CK1160">
        <v>23</v>
      </c>
      <c r="CL1160" t="s">
        <v>90</v>
      </c>
    </row>
    <row r="1161" spans="1:90" x14ac:dyDescent="0.3">
      <c r="A1161" t="s">
        <v>72</v>
      </c>
      <c r="B1161" t="s">
        <v>73</v>
      </c>
      <c r="C1161" t="s">
        <v>74</v>
      </c>
      <c r="E1161" t="str">
        <f>"080067114289"</f>
        <v>080067114289</v>
      </c>
      <c r="F1161" s="3">
        <v>45877</v>
      </c>
      <c r="G1161">
        <v>202605</v>
      </c>
      <c r="H1161" t="s">
        <v>75</v>
      </c>
      <c r="I1161" t="s">
        <v>76</v>
      </c>
      <c r="J1161" t="s">
        <v>77</v>
      </c>
      <c r="K1161" t="s">
        <v>78</v>
      </c>
      <c r="L1161" t="s">
        <v>335</v>
      </c>
      <c r="M1161" t="s">
        <v>336</v>
      </c>
      <c r="N1161" t="s">
        <v>727</v>
      </c>
      <c r="O1161" t="s">
        <v>82</v>
      </c>
      <c r="P1161" t="str">
        <f>"4170053737                    "</f>
        <v xml:space="preserve">4170053737                    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44.73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</v>
      </c>
      <c r="AX1161">
        <v>0</v>
      </c>
      <c r="AY1161">
        <v>0</v>
      </c>
      <c r="AZ1161">
        <v>0</v>
      </c>
      <c r="BA1161">
        <v>0</v>
      </c>
      <c r="BB1161">
        <v>0</v>
      </c>
      <c r="BC1161">
        <v>0</v>
      </c>
      <c r="BD1161">
        <v>0</v>
      </c>
      <c r="BE1161">
        <v>0</v>
      </c>
      <c r="BF1161">
        <v>0</v>
      </c>
      <c r="BG1161">
        <v>0</v>
      </c>
      <c r="BH1161">
        <v>1</v>
      </c>
      <c r="BI1161">
        <v>1</v>
      </c>
      <c r="BJ1161">
        <v>1.1000000000000001</v>
      </c>
      <c r="BK1161">
        <v>1.5</v>
      </c>
      <c r="BL1161">
        <v>138.88999999999999</v>
      </c>
      <c r="BM1161">
        <v>20.83</v>
      </c>
      <c r="BN1161">
        <v>159.72</v>
      </c>
      <c r="BO1161">
        <v>159.72</v>
      </c>
      <c r="BQ1161" t="s">
        <v>728</v>
      </c>
      <c r="BR1161" t="s">
        <v>84</v>
      </c>
      <c r="BS1161" s="3">
        <v>45880</v>
      </c>
      <c r="BT1161" s="4">
        <v>0.43541666666666667</v>
      </c>
      <c r="BU1161" t="s">
        <v>1587</v>
      </c>
      <c r="BV1161" t="s">
        <v>86</v>
      </c>
      <c r="BY1161">
        <v>5320</v>
      </c>
      <c r="CA1161" t="s">
        <v>730</v>
      </c>
      <c r="CC1161" t="s">
        <v>336</v>
      </c>
      <c r="CD1161" s="5" t="s">
        <v>341</v>
      </c>
      <c r="CE1161" t="s">
        <v>147</v>
      </c>
      <c r="CF1161" s="3">
        <v>45881</v>
      </c>
      <c r="CI1161">
        <v>1</v>
      </c>
      <c r="CJ1161">
        <v>1</v>
      </c>
      <c r="CK1161">
        <v>23</v>
      </c>
      <c r="CL1161" t="s">
        <v>90</v>
      </c>
    </row>
    <row r="1162" spans="1:90" x14ac:dyDescent="0.3">
      <c r="A1162" t="s">
        <v>72</v>
      </c>
      <c r="B1162" t="s">
        <v>73</v>
      </c>
      <c r="C1162" t="s">
        <v>74</v>
      </c>
      <c r="E1162" t="str">
        <f>"080067114313"</f>
        <v>080067114313</v>
      </c>
      <c r="F1162" s="3">
        <v>45877</v>
      </c>
      <c r="G1162">
        <v>202605</v>
      </c>
      <c r="H1162" t="s">
        <v>75</v>
      </c>
      <c r="I1162" t="s">
        <v>76</v>
      </c>
      <c r="J1162" t="s">
        <v>77</v>
      </c>
      <c r="K1162" t="s">
        <v>78</v>
      </c>
      <c r="L1162" t="s">
        <v>198</v>
      </c>
      <c r="M1162" t="s">
        <v>199</v>
      </c>
      <c r="N1162" t="s">
        <v>1933</v>
      </c>
      <c r="O1162" t="s">
        <v>82</v>
      </c>
      <c r="P1162" t="str">
        <f>"4170053697                    "</f>
        <v xml:space="preserve">4170053697                    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23.09</v>
      </c>
      <c r="AR1162">
        <v>0</v>
      </c>
      <c r="AS1162">
        <v>0</v>
      </c>
      <c r="AT1162">
        <v>0</v>
      </c>
      <c r="AU1162">
        <v>0</v>
      </c>
      <c r="AV1162">
        <v>0</v>
      </c>
      <c r="AW1162">
        <v>0</v>
      </c>
      <c r="AX1162">
        <v>0</v>
      </c>
      <c r="AY1162">
        <v>0</v>
      </c>
      <c r="AZ1162">
        <v>0</v>
      </c>
      <c r="BA1162">
        <v>0</v>
      </c>
      <c r="BB1162">
        <v>0</v>
      </c>
      <c r="BC1162">
        <v>0</v>
      </c>
      <c r="BD1162">
        <v>0</v>
      </c>
      <c r="BE1162">
        <v>0</v>
      </c>
      <c r="BF1162">
        <v>0</v>
      </c>
      <c r="BG1162">
        <v>0</v>
      </c>
      <c r="BH1162">
        <v>1</v>
      </c>
      <c r="BI1162">
        <v>1</v>
      </c>
      <c r="BJ1162">
        <v>1.4</v>
      </c>
      <c r="BK1162">
        <v>1.5</v>
      </c>
      <c r="BL1162">
        <v>71.69</v>
      </c>
      <c r="BM1162">
        <v>10.75</v>
      </c>
      <c r="BN1162">
        <v>82.44</v>
      </c>
      <c r="BO1162">
        <v>82.44</v>
      </c>
      <c r="BQ1162" t="s">
        <v>1934</v>
      </c>
      <c r="BR1162" t="s">
        <v>84</v>
      </c>
      <c r="BS1162" s="3">
        <v>45880</v>
      </c>
      <c r="BT1162" s="4">
        <v>0.38750000000000001</v>
      </c>
      <c r="BU1162" t="s">
        <v>317</v>
      </c>
      <c r="BV1162" t="s">
        <v>86</v>
      </c>
      <c r="BY1162">
        <v>7000</v>
      </c>
      <c r="CA1162" t="s">
        <v>1570</v>
      </c>
      <c r="CC1162" t="s">
        <v>199</v>
      </c>
      <c r="CD1162">
        <v>6001</v>
      </c>
      <c r="CE1162" t="s">
        <v>147</v>
      </c>
      <c r="CF1162" s="3">
        <v>45880</v>
      </c>
      <c r="CI1162">
        <v>1</v>
      </c>
      <c r="CJ1162">
        <v>1</v>
      </c>
      <c r="CK1162">
        <v>21</v>
      </c>
      <c r="CL1162" t="s">
        <v>90</v>
      </c>
    </row>
    <row r="1163" spans="1:90" x14ac:dyDescent="0.3">
      <c r="A1163" t="s">
        <v>72</v>
      </c>
      <c r="B1163" t="s">
        <v>73</v>
      </c>
      <c r="C1163" t="s">
        <v>74</v>
      </c>
      <c r="E1163" t="str">
        <f>"080067114342"</f>
        <v>080067114342</v>
      </c>
      <c r="F1163" s="3">
        <v>45877</v>
      </c>
      <c r="G1163">
        <v>202605</v>
      </c>
      <c r="H1163" t="s">
        <v>75</v>
      </c>
      <c r="I1163" t="s">
        <v>76</v>
      </c>
      <c r="J1163" t="s">
        <v>77</v>
      </c>
      <c r="K1163" t="s">
        <v>78</v>
      </c>
      <c r="L1163" t="s">
        <v>520</v>
      </c>
      <c r="M1163" t="s">
        <v>521</v>
      </c>
      <c r="N1163" t="s">
        <v>1826</v>
      </c>
      <c r="O1163" t="s">
        <v>113</v>
      </c>
      <c r="P1163" t="str">
        <f>"4170053733                    "</f>
        <v xml:space="preserve">4170053733                    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91.62</v>
      </c>
      <c r="AR1163">
        <v>0</v>
      </c>
      <c r="AS1163">
        <v>0</v>
      </c>
      <c r="AT1163">
        <v>0</v>
      </c>
      <c r="AU1163">
        <v>0</v>
      </c>
      <c r="AV1163">
        <v>0</v>
      </c>
      <c r="AW1163">
        <v>0</v>
      </c>
      <c r="AX1163">
        <v>0</v>
      </c>
      <c r="AY1163">
        <v>0</v>
      </c>
      <c r="AZ1163">
        <v>0</v>
      </c>
      <c r="BA1163">
        <v>0</v>
      </c>
      <c r="BB1163">
        <v>0</v>
      </c>
      <c r="BC1163">
        <v>0</v>
      </c>
      <c r="BD1163">
        <v>0</v>
      </c>
      <c r="BE1163">
        <v>0</v>
      </c>
      <c r="BF1163">
        <v>0</v>
      </c>
      <c r="BG1163">
        <v>0</v>
      </c>
      <c r="BH1163">
        <v>1</v>
      </c>
      <c r="BI1163">
        <v>3</v>
      </c>
      <c r="BJ1163">
        <v>3.8</v>
      </c>
      <c r="BK1163">
        <v>4</v>
      </c>
      <c r="BL1163">
        <v>284.5</v>
      </c>
      <c r="BM1163">
        <v>42.68</v>
      </c>
      <c r="BN1163">
        <v>327.18</v>
      </c>
      <c r="BO1163">
        <v>327.18</v>
      </c>
      <c r="BQ1163" t="s">
        <v>1827</v>
      </c>
      <c r="BR1163" t="s">
        <v>84</v>
      </c>
      <c r="BS1163" s="3">
        <v>45880</v>
      </c>
      <c r="BT1163" s="4">
        <v>0.4375</v>
      </c>
      <c r="BU1163" t="s">
        <v>1828</v>
      </c>
      <c r="BV1163" t="s">
        <v>86</v>
      </c>
      <c r="BY1163">
        <v>19152</v>
      </c>
      <c r="CA1163" t="s">
        <v>525</v>
      </c>
      <c r="CC1163" t="s">
        <v>521</v>
      </c>
      <c r="CD1163">
        <v>1961</v>
      </c>
      <c r="CE1163" t="s">
        <v>117</v>
      </c>
      <c r="CF1163" s="3">
        <v>45881</v>
      </c>
      <c r="CI1163">
        <v>1</v>
      </c>
      <c r="CJ1163">
        <v>1</v>
      </c>
      <c r="CK1163">
        <v>33</v>
      </c>
      <c r="CL1163" t="s">
        <v>90</v>
      </c>
    </row>
    <row r="1164" spans="1:90" x14ac:dyDescent="0.3">
      <c r="A1164" t="s">
        <v>72</v>
      </c>
      <c r="B1164" t="s">
        <v>73</v>
      </c>
      <c r="C1164" t="s">
        <v>74</v>
      </c>
      <c r="E1164" t="str">
        <f>"080067085048"</f>
        <v>080067085048</v>
      </c>
      <c r="F1164" s="3">
        <v>45876</v>
      </c>
      <c r="G1164">
        <v>202605</v>
      </c>
      <c r="H1164" t="s">
        <v>75</v>
      </c>
      <c r="I1164" t="s">
        <v>76</v>
      </c>
      <c r="J1164" t="s">
        <v>77</v>
      </c>
      <c r="K1164" t="s">
        <v>78</v>
      </c>
      <c r="L1164" t="s">
        <v>123</v>
      </c>
      <c r="M1164" t="s">
        <v>124</v>
      </c>
      <c r="N1164" t="s">
        <v>406</v>
      </c>
      <c r="O1164" t="s">
        <v>82</v>
      </c>
      <c r="P1164" t="str">
        <f>"4170053481                    "</f>
        <v xml:space="preserve">4170053481                    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23.09</v>
      </c>
      <c r="AR1164">
        <v>0</v>
      </c>
      <c r="AS1164">
        <v>0</v>
      </c>
      <c r="AT1164">
        <v>0</v>
      </c>
      <c r="AU1164">
        <v>0</v>
      </c>
      <c r="AV1164">
        <v>0</v>
      </c>
      <c r="AW1164">
        <v>0</v>
      </c>
      <c r="AX1164">
        <v>0</v>
      </c>
      <c r="AY1164">
        <v>0</v>
      </c>
      <c r="AZ1164">
        <v>0</v>
      </c>
      <c r="BA1164">
        <v>0</v>
      </c>
      <c r="BB1164">
        <v>0</v>
      </c>
      <c r="BC1164">
        <v>0</v>
      </c>
      <c r="BD1164">
        <v>0</v>
      </c>
      <c r="BE1164">
        <v>0</v>
      </c>
      <c r="BF1164">
        <v>0</v>
      </c>
      <c r="BG1164">
        <v>0</v>
      </c>
      <c r="BH1164">
        <v>1</v>
      </c>
      <c r="BI1164">
        <v>1</v>
      </c>
      <c r="BJ1164">
        <v>0.2</v>
      </c>
      <c r="BK1164">
        <v>1</v>
      </c>
      <c r="BL1164">
        <v>71.69</v>
      </c>
      <c r="BM1164">
        <v>10.75</v>
      </c>
      <c r="BN1164">
        <v>82.44</v>
      </c>
      <c r="BO1164">
        <v>82.44</v>
      </c>
      <c r="BQ1164" t="s">
        <v>407</v>
      </c>
      <c r="BR1164" t="s">
        <v>84</v>
      </c>
      <c r="BS1164" s="3">
        <v>45877</v>
      </c>
      <c r="BT1164" s="4">
        <v>0.4375</v>
      </c>
      <c r="BU1164" t="s">
        <v>408</v>
      </c>
      <c r="BV1164" t="s">
        <v>86</v>
      </c>
      <c r="BY1164">
        <v>1200</v>
      </c>
      <c r="BZ1164" t="s">
        <v>330</v>
      </c>
      <c r="CA1164" t="s">
        <v>192</v>
      </c>
      <c r="CC1164" t="s">
        <v>124</v>
      </c>
      <c r="CD1164">
        <v>7441</v>
      </c>
      <c r="CE1164" t="s">
        <v>109</v>
      </c>
      <c r="CF1164" s="3">
        <v>45880</v>
      </c>
      <c r="CI1164">
        <v>1</v>
      </c>
      <c r="CJ1164">
        <v>1</v>
      </c>
      <c r="CK1164">
        <v>21</v>
      </c>
      <c r="CL1164" t="s">
        <v>90</v>
      </c>
    </row>
    <row r="1165" spans="1:90" x14ac:dyDescent="0.3">
      <c r="A1165" t="s">
        <v>72</v>
      </c>
      <c r="B1165" t="s">
        <v>73</v>
      </c>
      <c r="C1165" t="s">
        <v>74</v>
      </c>
      <c r="E1165" t="str">
        <f>"080011589415"</f>
        <v>080011589415</v>
      </c>
      <c r="F1165" s="3">
        <v>45877</v>
      </c>
      <c r="G1165">
        <v>202605</v>
      </c>
      <c r="H1165" t="s">
        <v>234</v>
      </c>
      <c r="I1165" t="s">
        <v>235</v>
      </c>
      <c r="J1165" t="s">
        <v>1935</v>
      </c>
      <c r="K1165" t="s">
        <v>78</v>
      </c>
      <c r="L1165" t="s">
        <v>75</v>
      </c>
      <c r="M1165" t="s">
        <v>76</v>
      </c>
      <c r="N1165" t="s">
        <v>94</v>
      </c>
      <c r="O1165" t="s">
        <v>82</v>
      </c>
      <c r="P1165" t="str">
        <f>"Za1001402519                  "</f>
        <v xml:space="preserve">Za1001402519                  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115.35</v>
      </c>
      <c r="AR1165">
        <v>0</v>
      </c>
      <c r="AS1165">
        <v>0</v>
      </c>
      <c r="AT1165">
        <v>0</v>
      </c>
      <c r="AU1165">
        <v>0</v>
      </c>
      <c r="AV1165">
        <v>0</v>
      </c>
      <c r="AW1165">
        <v>0</v>
      </c>
      <c r="AX1165">
        <v>0</v>
      </c>
      <c r="AY1165">
        <v>0</v>
      </c>
      <c r="AZ1165">
        <v>0</v>
      </c>
      <c r="BA1165">
        <v>0</v>
      </c>
      <c r="BB1165">
        <v>0</v>
      </c>
      <c r="BC1165">
        <v>0</v>
      </c>
      <c r="BD1165">
        <v>0</v>
      </c>
      <c r="BE1165">
        <v>0</v>
      </c>
      <c r="BF1165">
        <v>0</v>
      </c>
      <c r="BG1165">
        <v>0</v>
      </c>
      <c r="BH1165">
        <v>1</v>
      </c>
      <c r="BI1165">
        <v>5</v>
      </c>
      <c r="BJ1165">
        <v>9.6</v>
      </c>
      <c r="BK1165">
        <v>10</v>
      </c>
      <c r="BL1165">
        <v>358.19</v>
      </c>
      <c r="BM1165">
        <v>53.73</v>
      </c>
      <c r="BN1165">
        <v>411.92</v>
      </c>
      <c r="BO1165">
        <v>411.92</v>
      </c>
      <c r="BP1165" t="s">
        <v>96</v>
      </c>
      <c r="BQ1165" t="s">
        <v>97</v>
      </c>
      <c r="BR1165" t="s">
        <v>1936</v>
      </c>
      <c r="BS1165" s="3">
        <v>45880</v>
      </c>
      <c r="BT1165" s="4">
        <v>0.38611111111111113</v>
      </c>
      <c r="BU1165" t="s">
        <v>245</v>
      </c>
      <c r="BV1165" t="s">
        <v>86</v>
      </c>
      <c r="BY1165">
        <v>48000</v>
      </c>
      <c r="BZ1165" t="s">
        <v>330</v>
      </c>
      <c r="CA1165" t="s">
        <v>1743</v>
      </c>
      <c r="CC1165" t="s">
        <v>76</v>
      </c>
      <c r="CD1165">
        <v>1619</v>
      </c>
      <c r="CE1165" t="s">
        <v>102</v>
      </c>
      <c r="CF1165" s="3">
        <v>45880</v>
      </c>
      <c r="CI1165">
        <v>1</v>
      </c>
      <c r="CJ1165">
        <v>1</v>
      </c>
      <c r="CK1165">
        <v>21</v>
      </c>
      <c r="CL1165" t="s">
        <v>90</v>
      </c>
    </row>
    <row r="1166" spans="1:90" x14ac:dyDescent="0.3">
      <c r="A1166" t="s">
        <v>72</v>
      </c>
      <c r="B1166" t="s">
        <v>73</v>
      </c>
      <c r="C1166" t="s">
        <v>74</v>
      </c>
      <c r="E1166" t="str">
        <f>"080011590375"</f>
        <v>080011590375</v>
      </c>
      <c r="F1166" s="3">
        <v>45877</v>
      </c>
      <c r="G1166">
        <v>202605</v>
      </c>
      <c r="H1166" t="s">
        <v>278</v>
      </c>
      <c r="I1166" t="s">
        <v>279</v>
      </c>
      <c r="J1166" t="s">
        <v>1937</v>
      </c>
      <c r="K1166" t="s">
        <v>78</v>
      </c>
      <c r="L1166" t="s">
        <v>75</v>
      </c>
      <c r="M1166" t="s">
        <v>76</v>
      </c>
      <c r="N1166" t="s">
        <v>94</v>
      </c>
      <c r="O1166" t="s">
        <v>95</v>
      </c>
      <c r="P1166" t="str">
        <f>"ZA1001402396                  "</f>
        <v xml:space="preserve">ZA1001402396                  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44.64</v>
      </c>
      <c r="AR1166">
        <v>0</v>
      </c>
      <c r="AS1166">
        <v>0</v>
      </c>
      <c r="AT1166">
        <v>0</v>
      </c>
      <c r="AU1166">
        <v>0</v>
      </c>
      <c r="AV1166">
        <v>0</v>
      </c>
      <c r="AW1166">
        <v>0</v>
      </c>
      <c r="AX1166">
        <v>0</v>
      </c>
      <c r="AY1166">
        <v>0</v>
      </c>
      <c r="AZ1166">
        <v>0</v>
      </c>
      <c r="BA1166">
        <v>0</v>
      </c>
      <c r="BB1166">
        <v>0</v>
      </c>
      <c r="BC1166">
        <v>0</v>
      </c>
      <c r="BD1166">
        <v>0</v>
      </c>
      <c r="BE1166">
        <v>0</v>
      </c>
      <c r="BF1166">
        <v>0</v>
      </c>
      <c r="BG1166">
        <v>0</v>
      </c>
      <c r="BH1166">
        <v>1</v>
      </c>
      <c r="BI1166">
        <v>1</v>
      </c>
      <c r="BJ1166">
        <v>0.2</v>
      </c>
      <c r="BK1166">
        <v>1</v>
      </c>
      <c r="BL1166">
        <v>144.49</v>
      </c>
      <c r="BM1166">
        <v>21.67</v>
      </c>
      <c r="BN1166">
        <v>166.16</v>
      </c>
      <c r="BO1166">
        <v>166.16</v>
      </c>
      <c r="BP1166" t="s">
        <v>96</v>
      </c>
      <c r="BQ1166" t="s">
        <v>97</v>
      </c>
      <c r="BR1166" t="s">
        <v>1938</v>
      </c>
      <c r="BS1166" s="3">
        <v>45880</v>
      </c>
      <c r="BT1166" s="4">
        <v>0.34305555555555556</v>
      </c>
      <c r="BU1166" t="s">
        <v>245</v>
      </c>
      <c r="BV1166" t="s">
        <v>86</v>
      </c>
      <c r="BY1166">
        <v>1200</v>
      </c>
      <c r="BZ1166" t="s">
        <v>100</v>
      </c>
      <c r="CA1166" t="s">
        <v>1743</v>
      </c>
      <c r="CC1166" t="s">
        <v>76</v>
      </c>
      <c r="CD1166">
        <v>1619</v>
      </c>
      <c r="CE1166" t="s">
        <v>102</v>
      </c>
      <c r="CF1166" s="3">
        <v>45880</v>
      </c>
      <c r="CI1166">
        <v>1</v>
      </c>
      <c r="CJ1166">
        <v>1</v>
      </c>
      <c r="CK1166">
        <v>41</v>
      </c>
      <c r="CL1166" t="s">
        <v>90</v>
      </c>
    </row>
    <row r="1167" spans="1:90" x14ac:dyDescent="0.3">
      <c r="A1167" t="s">
        <v>72</v>
      </c>
      <c r="B1167" t="s">
        <v>73</v>
      </c>
      <c r="C1167" t="s">
        <v>74</v>
      </c>
      <c r="E1167" t="str">
        <f>"080067114436"</f>
        <v>080067114436</v>
      </c>
      <c r="F1167" s="3">
        <v>45877</v>
      </c>
      <c r="G1167">
        <v>202605</v>
      </c>
      <c r="H1167" t="s">
        <v>75</v>
      </c>
      <c r="I1167" t="s">
        <v>76</v>
      </c>
      <c r="J1167" t="s">
        <v>77</v>
      </c>
      <c r="K1167" t="s">
        <v>78</v>
      </c>
      <c r="L1167" t="s">
        <v>255</v>
      </c>
      <c r="M1167" t="s">
        <v>256</v>
      </c>
      <c r="N1167" t="s">
        <v>884</v>
      </c>
      <c r="O1167" t="s">
        <v>95</v>
      </c>
      <c r="P1167" t="str">
        <f>"4170053943                    "</f>
        <v xml:space="preserve">4170053943                    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66.67</v>
      </c>
      <c r="AR1167">
        <v>0</v>
      </c>
      <c r="AS1167">
        <v>0</v>
      </c>
      <c r="AT1167">
        <v>0</v>
      </c>
      <c r="AU1167">
        <v>0</v>
      </c>
      <c r="AV1167">
        <v>0</v>
      </c>
      <c r="AW1167">
        <v>0</v>
      </c>
      <c r="AX1167">
        <v>0</v>
      </c>
      <c r="AY1167">
        <v>0</v>
      </c>
      <c r="AZ1167">
        <v>0</v>
      </c>
      <c r="BA1167">
        <v>0</v>
      </c>
      <c r="BB1167">
        <v>0</v>
      </c>
      <c r="BC1167">
        <v>0</v>
      </c>
      <c r="BD1167">
        <v>0</v>
      </c>
      <c r="BE1167">
        <v>0</v>
      </c>
      <c r="BF1167">
        <v>0</v>
      </c>
      <c r="BG1167">
        <v>0</v>
      </c>
      <c r="BH1167">
        <v>1</v>
      </c>
      <c r="BI1167">
        <v>47</v>
      </c>
      <c r="BJ1167">
        <v>38.4</v>
      </c>
      <c r="BK1167">
        <v>47</v>
      </c>
      <c r="BL1167">
        <v>212.9</v>
      </c>
      <c r="BM1167">
        <v>31.94</v>
      </c>
      <c r="BN1167">
        <v>244.84</v>
      </c>
      <c r="BO1167">
        <v>244.84</v>
      </c>
      <c r="BQ1167" t="s">
        <v>885</v>
      </c>
      <c r="BR1167" t="s">
        <v>84</v>
      </c>
      <c r="BS1167" s="3">
        <v>45880</v>
      </c>
      <c r="BT1167" s="4">
        <v>0.39166666666666666</v>
      </c>
      <c r="BU1167" t="s">
        <v>1688</v>
      </c>
      <c r="BV1167" t="s">
        <v>86</v>
      </c>
      <c r="BY1167">
        <v>192000</v>
      </c>
      <c r="CA1167" t="s">
        <v>1939</v>
      </c>
      <c r="CC1167" t="s">
        <v>256</v>
      </c>
      <c r="CD1167">
        <v>1502</v>
      </c>
      <c r="CE1167" t="s">
        <v>178</v>
      </c>
      <c r="CF1167" s="3">
        <v>45881</v>
      </c>
      <c r="CI1167">
        <v>1</v>
      </c>
      <c r="CJ1167">
        <v>1</v>
      </c>
      <c r="CK1167">
        <v>42</v>
      </c>
      <c r="CL1167" t="s">
        <v>90</v>
      </c>
    </row>
    <row r="1168" spans="1:90" x14ac:dyDescent="0.3">
      <c r="A1168" t="s">
        <v>72</v>
      </c>
      <c r="B1168" t="s">
        <v>73</v>
      </c>
      <c r="C1168" t="s">
        <v>74</v>
      </c>
      <c r="E1168" t="str">
        <f>"080067114515"</f>
        <v>080067114515</v>
      </c>
      <c r="F1168" s="3">
        <v>45877</v>
      </c>
      <c r="G1168">
        <v>202605</v>
      </c>
      <c r="H1168" t="s">
        <v>75</v>
      </c>
      <c r="I1168" t="s">
        <v>76</v>
      </c>
      <c r="J1168" t="s">
        <v>77</v>
      </c>
      <c r="K1168" t="s">
        <v>78</v>
      </c>
      <c r="L1168" t="s">
        <v>118</v>
      </c>
      <c r="M1168" t="s">
        <v>118</v>
      </c>
      <c r="N1168" t="s">
        <v>833</v>
      </c>
      <c r="O1168" t="s">
        <v>82</v>
      </c>
      <c r="P1168" t="str">
        <f>"4170053749                    "</f>
        <v xml:space="preserve">4170053749                    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44.73</v>
      </c>
      <c r="AR1168">
        <v>0</v>
      </c>
      <c r="AS1168">
        <v>0</v>
      </c>
      <c r="AT1168">
        <v>0</v>
      </c>
      <c r="AU1168">
        <v>0</v>
      </c>
      <c r="AV1168">
        <v>0</v>
      </c>
      <c r="AW1168">
        <v>0</v>
      </c>
      <c r="AX1168">
        <v>0</v>
      </c>
      <c r="AY1168">
        <v>0</v>
      </c>
      <c r="AZ1168">
        <v>0</v>
      </c>
      <c r="BA1168">
        <v>0</v>
      </c>
      <c r="BB1168">
        <v>0</v>
      </c>
      <c r="BC1168">
        <v>0</v>
      </c>
      <c r="BD1168">
        <v>0</v>
      </c>
      <c r="BE1168">
        <v>0</v>
      </c>
      <c r="BF1168">
        <v>0</v>
      </c>
      <c r="BG1168">
        <v>0</v>
      </c>
      <c r="BH1168">
        <v>1</v>
      </c>
      <c r="BI1168">
        <v>1</v>
      </c>
      <c r="BJ1168">
        <v>1.1000000000000001</v>
      </c>
      <c r="BK1168">
        <v>1.5</v>
      </c>
      <c r="BL1168">
        <v>138.88999999999999</v>
      </c>
      <c r="BM1168">
        <v>20.83</v>
      </c>
      <c r="BN1168">
        <v>159.72</v>
      </c>
      <c r="BO1168">
        <v>159.72</v>
      </c>
      <c r="BQ1168" t="s">
        <v>834</v>
      </c>
      <c r="BR1168" t="s">
        <v>84</v>
      </c>
      <c r="BS1168" s="3">
        <v>45880</v>
      </c>
      <c r="BT1168" s="4">
        <v>0.50277777777777777</v>
      </c>
      <c r="BU1168" t="s">
        <v>835</v>
      </c>
      <c r="BV1168" t="s">
        <v>86</v>
      </c>
      <c r="BY1168">
        <v>5320</v>
      </c>
      <c r="CA1168" t="s">
        <v>122</v>
      </c>
      <c r="CC1168" t="s">
        <v>118</v>
      </c>
      <c r="CD1168">
        <v>7646</v>
      </c>
      <c r="CE1168" t="s">
        <v>147</v>
      </c>
      <c r="CF1168" s="3">
        <v>45881</v>
      </c>
      <c r="CI1168">
        <v>1</v>
      </c>
      <c r="CJ1168">
        <v>1</v>
      </c>
      <c r="CK1168">
        <v>23</v>
      </c>
      <c r="CL1168" t="s">
        <v>90</v>
      </c>
    </row>
    <row r="1169" spans="1:90" x14ac:dyDescent="0.3">
      <c r="A1169" t="s">
        <v>72</v>
      </c>
      <c r="B1169" t="s">
        <v>73</v>
      </c>
      <c r="C1169" t="s">
        <v>74</v>
      </c>
      <c r="E1169" t="str">
        <f>"080067114534"</f>
        <v>080067114534</v>
      </c>
      <c r="F1169" s="3">
        <v>45877</v>
      </c>
      <c r="G1169">
        <v>202605</v>
      </c>
      <c r="H1169" t="s">
        <v>75</v>
      </c>
      <c r="I1169" t="s">
        <v>76</v>
      </c>
      <c r="J1169" t="s">
        <v>77</v>
      </c>
      <c r="K1169" t="s">
        <v>78</v>
      </c>
      <c r="L1169" t="s">
        <v>325</v>
      </c>
      <c r="M1169" t="s">
        <v>326</v>
      </c>
      <c r="N1169" t="s">
        <v>1940</v>
      </c>
      <c r="O1169" t="s">
        <v>82</v>
      </c>
      <c r="P1169" t="str">
        <f>"4170053758                    "</f>
        <v xml:space="preserve">4170053758                    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18.03</v>
      </c>
      <c r="AR1169">
        <v>0</v>
      </c>
      <c r="AS1169">
        <v>0</v>
      </c>
      <c r="AT1169">
        <v>0</v>
      </c>
      <c r="AU1169">
        <v>0</v>
      </c>
      <c r="AV1169">
        <v>0</v>
      </c>
      <c r="AW1169">
        <v>0</v>
      </c>
      <c r="AX1169">
        <v>0</v>
      </c>
      <c r="AY1169">
        <v>0</v>
      </c>
      <c r="AZ1169">
        <v>0</v>
      </c>
      <c r="BA1169">
        <v>0</v>
      </c>
      <c r="BB1169">
        <v>0</v>
      </c>
      <c r="BC1169">
        <v>0</v>
      </c>
      <c r="BD1169">
        <v>0</v>
      </c>
      <c r="BE1169">
        <v>0</v>
      </c>
      <c r="BF1169">
        <v>0</v>
      </c>
      <c r="BG1169">
        <v>0</v>
      </c>
      <c r="BH1169">
        <v>1</v>
      </c>
      <c r="BI1169">
        <v>2</v>
      </c>
      <c r="BJ1169">
        <v>3.4</v>
      </c>
      <c r="BK1169">
        <v>4</v>
      </c>
      <c r="BL1169">
        <v>55.99</v>
      </c>
      <c r="BM1169">
        <v>8.4</v>
      </c>
      <c r="BN1169">
        <v>64.39</v>
      </c>
      <c r="BO1169">
        <v>64.39</v>
      </c>
      <c r="BQ1169" t="s">
        <v>1941</v>
      </c>
      <c r="BR1169" t="s">
        <v>84</v>
      </c>
      <c r="BS1169" s="3">
        <v>45880</v>
      </c>
      <c r="BT1169" s="4">
        <v>0.3263888888888889</v>
      </c>
      <c r="BU1169" t="s">
        <v>1942</v>
      </c>
      <c r="BV1169" t="s">
        <v>86</v>
      </c>
      <c r="BY1169">
        <v>16965</v>
      </c>
      <c r="CA1169" t="s">
        <v>331</v>
      </c>
      <c r="CC1169" t="s">
        <v>326</v>
      </c>
      <c r="CD1169">
        <v>2001</v>
      </c>
      <c r="CE1169" t="s">
        <v>147</v>
      </c>
      <c r="CF1169" s="3">
        <v>45881</v>
      </c>
      <c r="CI1169">
        <v>1</v>
      </c>
      <c r="CJ1169">
        <v>1</v>
      </c>
      <c r="CK1169">
        <v>22</v>
      </c>
      <c r="CL1169" t="s">
        <v>90</v>
      </c>
    </row>
    <row r="1170" spans="1:90" x14ac:dyDescent="0.3">
      <c r="A1170" t="s">
        <v>72</v>
      </c>
      <c r="B1170" t="s">
        <v>73</v>
      </c>
      <c r="C1170" t="s">
        <v>74</v>
      </c>
      <c r="E1170" t="str">
        <f>"080067114552"</f>
        <v>080067114552</v>
      </c>
      <c r="F1170" s="3">
        <v>45877</v>
      </c>
      <c r="G1170">
        <v>202605</v>
      </c>
      <c r="H1170" t="s">
        <v>75</v>
      </c>
      <c r="I1170" t="s">
        <v>76</v>
      </c>
      <c r="J1170" t="s">
        <v>77</v>
      </c>
      <c r="K1170" t="s">
        <v>78</v>
      </c>
      <c r="L1170" t="s">
        <v>137</v>
      </c>
      <c r="M1170" t="s">
        <v>138</v>
      </c>
      <c r="N1170" t="s">
        <v>781</v>
      </c>
      <c r="O1170" t="s">
        <v>82</v>
      </c>
      <c r="P1170" t="str">
        <f>"4170053886                    "</f>
        <v xml:space="preserve">4170053886                    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23.09</v>
      </c>
      <c r="AR1170">
        <v>0</v>
      </c>
      <c r="AS1170">
        <v>0</v>
      </c>
      <c r="AT1170">
        <v>0</v>
      </c>
      <c r="AU1170">
        <v>0</v>
      </c>
      <c r="AV1170">
        <v>0</v>
      </c>
      <c r="AW1170">
        <v>0</v>
      </c>
      <c r="AX1170">
        <v>0</v>
      </c>
      <c r="AY1170">
        <v>0</v>
      </c>
      <c r="AZ1170">
        <v>0</v>
      </c>
      <c r="BA1170">
        <v>0</v>
      </c>
      <c r="BB1170">
        <v>0</v>
      </c>
      <c r="BC1170">
        <v>0</v>
      </c>
      <c r="BD1170">
        <v>0</v>
      </c>
      <c r="BE1170">
        <v>0</v>
      </c>
      <c r="BF1170">
        <v>0</v>
      </c>
      <c r="BG1170">
        <v>0</v>
      </c>
      <c r="BH1170">
        <v>1</v>
      </c>
      <c r="BI1170">
        <v>1</v>
      </c>
      <c r="BJ1170">
        <v>0.2</v>
      </c>
      <c r="BK1170">
        <v>1</v>
      </c>
      <c r="BL1170">
        <v>71.69</v>
      </c>
      <c r="BM1170">
        <v>10.75</v>
      </c>
      <c r="BN1170">
        <v>82.44</v>
      </c>
      <c r="BO1170">
        <v>82.44</v>
      </c>
      <c r="BQ1170" t="s">
        <v>782</v>
      </c>
      <c r="BR1170" t="s">
        <v>84</v>
      </c>
      <c r="BS1170" s="3">
        <v>45880</v>
      </c>
      <c r="BT1170" s="4">
        <v>0.4548611111111111</v>
      </c>
      <c r="BU1170" t="s">
        <v>952</v>
      </c>
      <c r="BV1170" t="s">
        <v>86</v>
      </c>
      <c r="BY1170">
        <v>1200</v>
      </c>
      <c r="CA1170" t="s">
        <v>953</v>
      </c>
      <c r="CC1170" t="s">
        <v>138</v>
      </c>
      <c r="CD1170">
        <v>3610</v>
      </c>
      <c r="CE1170" t="s">
        <v>109</v>
      </c>
      <c r="CF1170" s="3">
        <v>45881</v>
      </c>
      <c r="CI1170">
        <v>1</v>
      </c>
      <c r="CJ1170">
        <v>1</v>
      </c>
      <c r="CK1170">
        <v>21</v>
      </c>
      <c r="CL1170" t="s">
        <v>90</v>
      </c>
    </row>
    <row r="1171" spans="1:90" x14ac:dyDescent="0.3">
      <c r="A1171" t="s">
        <v>72</v>
      </c>
      <c r="B1171" t="s">
        <v>73</v>
      </c>
      <c r="C1171" t="s">
        <v>74</v>
      </c>
      <c r="E1171" t="str">
        <f>"080067114572"</f>
        <v>080067114572</v>
      </c>
      <c r="F1171" s="3">
        <v>45877</v>
      </c>
      <c r="G1171">
        <v>202605</v>
      </c>
      <c r="H1171" t="s">
        <v>75</v>
      </c>
      <c r="I1171" t="s">
        <v>76</v>
      </c>
      <c r="J1171" t="s">
        <v>77</v>
      </c>
      <c r="K1171" t="s">
        <v>78</v>
      </c>
      <c r="L1171" t="s">
        <v>118</v>
      </c>
      <c r="M1171" t="s">
        <v>118</v>
      </c>
      <c r="N1171" t="s">
        <v>466</v>
      </c>
      <c r="O1171" t="s">
        <v>82</v>
      </c>
      <c r="P1171" t="str">
        <f>"4170053793                    "</f>
        <v xml:space="preserve">4170053793                    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44.73</v>
      </c>
      <c r="AR1171">
        <v>0</v>
      </c>
      <c r="AS1171">
        <v>0</v>
      </c>
      <c r="AT1171">
        <v>0</v>
      </c>
      <c r="AU1171">
        <v>0</v>
      </c>
      <c r="AV1171">
        <v>0</v>
      </c>
      <c r="AW1171">
        <v>0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>
        <v>0</v>
      </c>
      <c r="BD1171">
        <v>0</v>
      </c>
      <c r="BE1171">
        <v>0</v>
      </c>
      <c r="BF1171">
        <v>0</v>
      </c>
      <c r="BG1171">
        <v>0</v>
      </c>
      <c r="BH1171">
        <v>1</v>
      </c>
      <c r="BI1171">
        <v>1</v>
      </c>
      <c r="BJ1171">
        <v>0.2</v>
      </c>
      <c r="BK1171">
        <v>1</v>
      </c>
      <c r="BL1171">
        <v>138.88999999999999</v>
      </c>
      <c r="BM1171">
        <v>20.83</v>
      </c>
      <c r="BN1171">
        <v>159.72</v>
      </c>
      <c r="BO1171">
        <v>159.72</v>
      </c>
      <c r="BQ1171" t="s">
        <v>467</v>
      </c>
      <c r="BR1171" t="s">
        <v>84</v>
      </c>
      <c r="BS1171" s="3">
        <v>45880</v>
      </c>
      <c r="BT1171" s="4">
        <v>0.48888888888888887</v>
      </c>
      <c r="BU1171" t="s">
        <v>1943</v>
      </c>
      <c r="BV1171" t="s">
        <v>86</v>
      </c>
      <c r="BY1171">
        <v>1200</v>
      </c>
      <c r="CC1171" t="s">
        <v>118</v>
      </c>
      <c r="CD1171">
        <v>7646</v>
      </c>
      <c r="CE1171" t="s">
        <v>109</v>
      </c>
      <c r="CF1171" s="3">
        <v>45881</v>
      </c>
      <c r="CI1171">
        <v>1</v>
      </c>
      <c r="CJ1171">
        <v>1</v>
      </c>
      <c r="CK1171">
        <v>23</v>
      </c>
      <c r="CL1171" t="s">
        <v>90</v>
      </c>
    </row>
    <row r="1172" spans="1:90" x14ac:dyDescent="0.3">
      <c r="A1172" t="s">
        <v>72</v>
      </c>
      <c r="B1172" t="s">
        <v>73</v>
      </c>
      <c r="C1172" t="s">
        <v>74</v>
      </c>
      <c r="E1172" t="str">
        <f>"080067114716"</f>
        <v>080067114716</v>
      </c>
      <c r="F1172" s="3">
        <v>45877</v>
      </c>
      <c r="G1172">
        <v>202605</v>
      </c>
      <c r="H1172" t="s">
        <v>75</v>
      </c>
      <c r="I1172" t="s">
        <v>76</v>
      </c>
      <c r="J1172" t="s">
        <v>77</v>
      </c>
      <c r="K1172" t="s">
        <v>78</v>
      </c>
      <c r="L1172" t="s">
        <v>314</v>
      </c>
      <c r="M1172" t="s">
        <v>314</v>
      </c>
      <c r="N1172" t="s">
        <v>1944</v>
      </c>
      <c r="O1172" t="s">
        <v>113</v>
      </c>
      <c r="P1172" t="str">
        <f>"4170053791                    "</f>
        <v xml:space="preserve">4170053791                    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90.92</v>
      </c>
      <c r="AR1172">
        <v>0</v>
      </c>
      <c r="AS1172">
        <v>0</v>
      </c>
      <c r="AT1172">
        <v>0</v>
      </c>
      <c r="AU1172">
        <v>0</v>
      </c>
      <c r="AV1172">
        <v>0</v>
      </c>
      <c r="AW1172">
        <v>0</v>
      </c>
      <c r="AX1172">
        <v>0</v>
      </c>
      <c r="AY1172">
        <v>0</v>
      </c>
      <c r="AZ1172">
        <v>0</v>
      </c>
      <c r="BA1172">
        <v>0</v>
      </c>
      <c r="BB1172">
        <v>0</v>
      </c>
      <c r="BC1172">
        <v>0</v>
      </c>
      <c r="BD1172">
        <v>0</v>
      </c>
      <c r="BE1172">
        <v>0</v>
      </c>
      <c r="BF1172">
        <v>0</v>
      </c>
      <c r="BG1172">
        <v>0</v>
      </c>
      <c r="BH1172">
        <v>1</v>
      </c>
      <c r="BI1172">
        <v>3</v>
      </c>
      <c r="BJ1172">
        <v>4.7</v>
      </c>
      <c r="BK1172">
        <v>5</v>
      </c>
      <c r="BL1172">
        <v>282.33</v>
      </c>
      <c r="BM1172">
        <v>42.35</v>
      </c>
      <c r="BN1172">
        <v>324.68</v>
      </c>
      <c r="BO1172">
        <v>324.68</v>
      </c>
      <c r="BQ1172" t="s">
        <v>1945</v>
      </c>
      <c r="BR1172" t="s">
        <v>84</v>
      </c>
      <c r="BS1172" s="3">
        <v>45880</v>
      </c>
      <c r="BT1172" s="4">
        <v>0.55486111111111114</v>
      </c>
      <c r="BU1172" t="s">
        <v>1946</v>
      </c>
      <c r="BV1172" t="s">
        <v>86</v>
      </c>
      <c r="BY1172">
        <v>23712</v>
      </c>
      <c r="CA1172" t="s">
        <v>1125</v>
      </c>
      <c r="CC1172" t="s">
        <v>314</v>
      </c>
      <c r="CD1172">
        <v>1491</v>
      </c>
      <c r="CE1172" t="s">
        <v>117</v>
      </c>
      <c r="CF1172" s="3">
        <v>45880</v>
      </c>
      <c r="CI1172">
        <v>1</v>
      </c>
      <c r="CJ1172">
        <v>1</v>
      </c>
      <c r="CK1172">
        <v>34</v>
      </c>
      <c r="CL1172" t="s">
        <v>90</v>
      </c>
    </row>
    <row r="1173" spans="1:90" x14ac:dyDescent="0.3">
      <c r="A1173" t="s">
        <v>72</v>
      </c>
      <c r="B1173" t="s">
        <v>73</v>
      </c>
      <c r="C1173" t="s">
        <v>74</v>
      </c>
      <c r="E1173" t="str">
        <f>"080067114741"</f>
        <v>080067114741</v>
      </c>
      <c r="F1173" s="3">
        <v>45877</v>
      </c>
      <c r="G1173">
        <v>202605</v>
      </c>
      <c r="H1173" t="s">
        <v>75</v>
      </c>
      <c r="I1173" t="s">
        <v>76</v>
      </c>
      <c r="J1173" t="s">
        <v>77</v>
      </c>
      <c r="K1173" t="s">
        <v>78</v>
      </c>
      <c r="L1173" t="s">
        <v>1829</v>
      </c>
      <c r="M1173" t="s">
        <v>1830</v>
      </c>
      <c r="N1173" t="s">
        <v>1913</v>
      </c>
      <c r="O1173" t="s">
        <v>82</v>
      </c>
      <c r="P1173" t="str">
        <f>"4170053835                    "</f>
        <v xml:space="preserve">4170053835                    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23.09</v>
      </c>
      <c r="AR1173">
        <v>0</v>
      </c>
      <c r="AS1173">
        <v>0</v>
      </c>
      <c r="AT1173">
        <v>0</v>
      </c>
      <c r="AU1173">
        <v>0</v>
      </c>
      <c r="AV1173">
        <v>0</v>
      </c>
      <c r="AW1173">
        <v>0</v>
      </c>
      <c r="AX1173">
        <v>0</v>
      </c>
      <c r="AY1173">
        <v>0</v>
      </c>
      <c r="AZ1173">
        <v>0</v>
      </c>
      <c r="BA1173">
        <v>0</v>
      </c>
      <c r="BB1173">
        <v>0</v>
      </c>
      <c r="BC1173">
        <v>0</v>
      </c>
      <c r="BD1173">
        <v>0</v>
      </c>
      <c r="BE1173">
        <v>0</v>
      </c>
      <c r="BF1173">
        <v>0</v>
      </c>
      <c r="BG1173">
        <v>0</v>
      </c>
      <c r="BH1173">
        <v>1</v>
      </c>
      <c r="BI1173">
        <v>2</v>
      </c>
      <c r="BJ1173">
        <v>1.1000000000000001</v>
      </c>
      <c r="BK1173">
        <v>2</v>
      </c>
      <c r="BL1173">
        <v>71.69</v>
      </c>
      <c r="BM1173">
        <v>10.75</v>
      </c>
      <c r="BN1173">
        <v>82.44</v>
      </c>
      <c r="BO1173">
        <v>82.44</v>
      </c>
      <c r="BQ1173" t="s">
        <v>1914</v>
      </c>
      <c r="BR1173" t="s">
        <v>84</v>
      </c>
      <c r="BS1173" s="3">
        <v>45880</v>
      </c>
      <c r="BT1173" s="4">
        <v>0.42083333333333334</v>
      </c>
      <c r="BU1173" t="s">
        <v>1915</v>
      </c>
      <c r="BV1173" t="s">
        <v>86</v>
      </c>
      <c r="BY1173">
        <v>5320</v>
      </c>
      <c r="CA1173" t="s">
        <v>1286</v>
      </c>
      <c r="CC1173" t="s">
        <v>1830</v>
      </c>
      <c r="CD1173">
        <v>4126</v>
      </c>
      <c r="CE1173" t="s">
        <v>147</v>
      </c>
      <c r="CF1173" s="3">
        <v>45881</v>
      </c>
      <c r="CI1173">
        <v>1</v>
      </c>
      <c r="CJ1173">
        <v>1</v>
      </c>
      <c r="CK1173">
        <v>21</v>
      </c>
      <c r="CL1173" t="s">
        <v>90</v>
      </c>
    </row>
    <row r="1174" spans="1:90" x14ac:dyDescent="0.3">
      <c r="A1174" t="s">
        <v>72</v>
      </c>
      <c r="B1174" t="s">
        <v>73</v>
      </c>
      <c r="C1174" t="s">
        <v>74</v>
      </c>
      <c r="E1174" t="str">
        <f>"080067114760"</f>
        <v>080067114760</v>
      </c>
      <c r="F1174" s="3">
        <v>45877</v>
      </c>
      <c r="G1174">
        <v>202605</v>
      </c>
      <c r="H1174" t="s">
        <v>75</v>
      </c>
      <c r="I1174" t="s">
        <v>76</v>
      </c>
      <c r="J1174" t="s">
        <v>77</v>
      </c>
      <c r="K1174" t="s">
        <v>78</v>
      </c>
      <c r="L1174" t="s">
        <v>123</v>
      </c>
      <c r="M1174" t="s">
        <v>124</v>
      </c>
      <c r="N1174" t="s">
        <v>406</v>
      </c>
      <c r="O1174" t="s">
        <v>82</v>
      </c>
      <c r="P1174" t="str">
        <f>"4170053783                    "</f>
        <v xml:space="preserve">4170053783                    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23.09</v>
      </c>
      <c r="AR1174">
        <v>0</v>
      </c>
      <c r="AS1174">
        <v>0</v>
      </c>
      <c r="AT1174">
        <v>0</v>
      </c>
      <c r="AU1174">
        <v>0</v>
      </c>
      <c r="AV1174">
        <v>0</v>
      </c>
      <c r="AW1174">
        <v>0</v>
      </c>
      <c r="AX1174">
        <v>0</v>
      </c>
      <c r="AY1174">
        <v>0</v>
      </c>
      <c r="AZ1174">
        <v>0</v>
      </c>
      <c r="BA1174">
        <v>0</v>
      </c>
      <c r="BB1174">
        <v>0</v>
      </c>
      <c r="BC1174">
        <v>0</v>
      </c>
      <c r="BD1174">
        <v>0</v>
      </c>
      <c r="BE1174">
        <v>0</v>
      </c>
      <c r="BF1174">
        <v>0</v>
      </c>
      <c r="BG1174">
        <v>0</v>
      </c>
      <c r="BH1174">
        <v>1</v>
      </c>
      <c r="BI1174">
        <v>1</v>
      </c>
      <c r="BJ1174">
        <v>0.2</v>
      </c>
      <c r="BK1174">
        <v>1</v>
      </c>
      <c r="BL1174">
        <v>71.69</v>
      </c>
      <c r="BM1174">
        <v>10.75</v>
      </c>
      <c r="BN1174">
        <v>82.44</v>
      </c>
      <c r="BO1174">
        <v>82.44</v>
      </c>
      <c r="BQ1174" t="s">
        <v>407</v>
      </c>
      <c r="BR1174" t="s">
        <v>84</v>
      </c>
      <c r="BS1174" s="3">
        <v>45880</v>
      </c>
      <c r="BT1174" s="4">
        <v>0.40763888888888888</v>
      </c>
      <c r="BU1174" t="s">
        <v>408</v>
      </c>
      <c r="BV1174" t="s">
        <v>86</v>
      </c>
      <c r="BY1174">
        <v>1200</v>
      </c>
      <c r="CA1174" t="s">
        <v>192</v>
      </c>
      <c r="CC1174" t="s">
        <v>124</v>
      </c>
      <c r="CD1174">
        <v>7441</v>
      </c>
      <c r="CE1174" t="s">
        <v>109</v>
      </c>
      <c r="CF1174" s="3">
        <v>45881</v>
      </c>
      <c r="CI1174">
        <v>1</v>
      </c>
      <c r="CJ1174">
        <v>1</v>
      </c>
      <c r="CK1174">
        <v>21</v>
      </c>
      <c r="CL1174" t="s">
        <v>90</v>
      </c>
    </row>
    <row r="1175" spans="1:90" x14ac:dyDescent="0.3">
      <c r="A1175" t="s">
        <v>72</v>
      </c>
      <c r="B1175" t="s">
        <v>73</v>
      </c>
      <c r="C1175" t="s">
        <v>74</v>
      </c>
      <c r="E1175" t="str">
        <f>"080067114832"</f>
        <v>080067114832</v>
      </c>
      <c r="F1175" s="3">
        <v>45877</v>
      </c>
      <c r="G1175">
        <v>202605</v>
      </c>
      <c r="H1175" t="s">
        <v>75</v>
      </c>
      <c r="I1175" t="s">
        <v>76</v>
      </c>
      <c r="J1175" t="s">
        <v>77</v>
      </c>
      <c r="K1175" t="s">
        <v>78</v>
      </c>
      <c r="L1175" t="s">
        <v>335</v>
      </c>
      <c r="M1175" t="s">
        <v>336</v>
      </c>
      <c r="N1175" t="s">
        <v>727</v>
      </c>
      <c r="O1175" t="s">
        <v>82</v>
      </c>
      <c r="P1175" t="str">
        <f>"4170053728                    "</f>
        <v xml:space="preserve">4170053728                    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44.73</v>
      </c>
      <c r="AR1175">
        <v>0</v>
      </c>
      <c r="AS1175">
        <v>0</v>
      </c>
      <c r="AT1175">
        <v>0</v>
      </c>
      <c r="AU1175">
        <v>0</v>
      </c>
      <c r="AV1175">
        <v>0</v>
      </c>
      <c r="AW1175">
        <v>0</v>
      </c>
      <c r="AX1175">
        <v>0</v>
      </c>
      <c r="AY1175">
        <v>0</v>
      </c>
      <c r="AZ1175">
        <v>0</v>
      </c>
      <c r="BA1175">
        <v>0</v>
      </c>
      <c r="BB1175">
        <v>0</v>
      </c>
      <c r="BC1175">
        <v>0</v>
      </c>
      <c r="BD1175">
        <v>0</v>
      </c>
      <c r="BE1175">
        <v>0</v>
      </c>
      <c r="BF1175">
        <v>0</v>
      </c>
      <c r="BG1175">
        <v>0</v>
      </c>
      <c r="BH1175">
        <v>1</v>
      </c>
      <c r="BI1175">
        <v>1</v>
      </c>
      <c r="BJ1175">
        <v>0.2</v>
      </c>
      <c r="BK1175">
        <v>1</v>
      </c>
      <c r="BL1175">
        <v>138.88999999999999</v>
      </c>
      <c r="BM1175">
        <v>20.83</v>
      </c>
      <c r="BN1175">
        <v>159.72</v>
      </c>
      <c r="BO1175">
        <v>159.72</v>
      </c>
      <c r="BQ1175" t="s">
        <v>728</v>
      </c>
      <c r="BR1175" t="s">
        <v>84</v>
      </c>
      <c r="BS1175" s="3">
        <v>45880</v>
      </c>
      <c r="BT1175" s="4">
        <v>0.43472222222222223</v>
      </c>
      <c r="BU1175" t="s">
        <v>1587</v>
      </c>
      <c r="BV1175" t="s">
        <v>86</v>
      </c>
      <c r="BY1175">
        <v>1200</v>
      </c>
      <c r="CA1175" t="s">
        <v>730</v>
      </c>
      <c r="CC1175" t="s">
        <v>336</v>
      </c>
      <c r="CD1175" s="5" t="s">
        <v>341</v>
      </c>
      <c r="CE1175" t="s">
        <v>109</v>
      </c>
      <c r="CF1175" s="3">
        <v>45881</v>
      </c>
      <c r="CI1175">
        <v>1</v>
      </c>
      <c r="CJ1175">
        <v>1</v>
      </c>
      <c r="CK1175">
        <v>23</v>
      </c>
      <c r="CL1175" t="s">
        <v>90</v>
      </c>
    </row>
    <row r="1176" spans="1:90" x14ac:dyDescent="0.3">
      <c r="A1176" t="s">
        <v>72</v>
      </c>
      <c r="B1176" t="s">
        <v>73</v>
      </c>
      <c r="C1176" t="s">
        <v>74</v>
      </c>
      <c r="E1176" t="str">
        <f>"080067114962"</f>
        <v>080067114962</v>
      </c>
      <c r="F1176" s="3">
        <v>45877</v>
      </c>
      <c r="G1176">
        <v>202605</v>
      </c>
      <c r="H1176" t="s">
        <v>75</v>
      </c>
      <c r="I1176" t="s">
        <v>76</v>
      </c>
      <c r="J1176" t="s">
        <v>77</v>
      </c>
      <c r="K1176" t="s">
        <v>78</v>
      </c>
      <c r="L1176" t="s">
        <v>75</v>
      </c>
      <c r="M1176" t="s">
        <v>76</v>
      </c>
      <c r="N1176" t="s">
        <v>537</v>
      </c>
      <c r="O1176" t="s">
        <v>113</v>
      </c>
      <c r="P1176" t="str">
        <f>"4170053792                    "</f>
        <v xml:space="preserve">4170053792                    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18.04</v>
      </c>
      <c r="AR1176">
        <v>0</v>
      </c>
      <c r="AS1176">
        <v>0</v>
      </c>
      <c r="AT1176">
        <v>0</v>
      </c>
      <c r="AU1176">
        <v>0</v>
      </c>
      <c r="AV1176">
        <v>0</v>
      </c>
      <c r="AW1176">
        <v>0</v>
      </c>
      <c r="AX1176">
        <v>0</v>
      </c>
      <c r="AY1176">
        <v>0</v>
      </c>
      <c r="AZ1176">
        <v>0</v>
      </c>
      <c r="BA1176">
        <v>0</v>
      </c>
      <c r="BB1176">
        <v>0</v>
      </c>
      <c r="BC1176">
        <v>0</v>
      </c>
      <c r="BD1176">
        <v>0</v>
      </c>
      <c r="BE1176">
        <v>0</v>
      </c>
      <c r="BF1176">
        <v>0</v>
      </c>
      <c r="BG1176">
        <v>0</v>
      </c>
      <c r="BH1176">
        <v>2</v>
      </c>
      <c r="BI1176">
        <v>4</v>
      </c>
      <c r="BJ1176">
        <v>2.1</v>
      </c>
      <c r="BK1176">
        <v>4</v>
      </c>
      <c r="BL1176">
        <v>56.01</v>
      </c>
      <c r="BM1176">
        <v>8.4</v>
      </c>
      <c r="BN1176">
        <v>64.41</v>
      </c>
      <c r="BO1176">
        <v>64.41</v>
      </c>
      <c r="BQ1176" t="s">
        <v>538</v>
      </c>
      <c r="BR1176" t="s">
        <v>84</v>
      </c>
      <c r="BS1176" s="3">
        <v>45880</v>
      </c>
      <c r="BT1176" s="4">
        <v>0.4236111111111111</v>
      </c>
      <c r="BU1176" t="s">
        <v>738</v>
      </c>
      <c r="BV1176" t="s">
        <v>86</v>
      </c>
      <c r="BY1176">
        <v>10272</v>
      </c>
      <c r="CA1176" t="s">
        <v>739</v>
      </c>
      <c r="CC1176" t="s">
        <v>76</v>
      </c>
      <c r="CD1176">
        <v>1619</v>
      </c>
      <c r="CE1176" t="s">
        <v>290</v>
      </c>
      <c r="CF1176" s="3">
        <v>45880</v>
      </c>
      <c r="CI1176">
        <v>1</v>
      </c>
      <c r="CJ1176">
        <v>1</v>
      </c>
      <c r="CK1176">
        <v>32</v>
      </c>
      <c r="CL1176" t="s">
        <v>90</v>
      </c>
    </row>
    <row r="1177" spans="1:90" x14ac:dyDescent="0.3">
      <c r="A1177" t="s">
        <v>72</v>
      </c>
      <c r="B1177" t="s">
        <v>73</v>
      </c>
      <c r="C1177" t="s">
        <v>74</v>
      </c>
      <c r="E1177" t="str">
        <f>"080067115248"</f>
        <v>080067115248</v>
      </c>
      <c r="F1177" s="3">
        <v>45877</v>
      </c>
      <c r="G1177">
        <v>202605</v>
      </c>
      <c r="H1177" t="s">
        <v>75</v>
      </c>
      <c r="I1177" t="s">
        <v>76</v>
      </c>
      <c r="J1177" t="s">
        <v>77</v>
      </c>
      <c r="K1177" t="s">
        <v>78</v>
      </c>
      <c r="L1177" t="s">
        <v>75</v>
      </c>
      <c r="M1177" t="s">
        <v>76</v>
      </c>
      <c r="N1177" t="s">
        <v>152</v>
      </c>
      <c r="O1177" t="s">
        <v>82</v>
      </c>
      <c r="P1177" t="str">
        <f>"4170053887                    "</f>
        <v xml:space="preserve">4170053887                    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18.03</v>
      </c>
      <c r="AR1177">
        <v>0</v>
      </c>
      <c r="AS1177">
        <v>0</v>
      </c>
      <c r="AT1177">
        <v>0</v>
      </c>
      <c r="AU1177">
        <v>0</v>
      </c>
      <c r="AV1177">
        <v>0</v>
      </c>
      <c r="AW1177">
        <v>0</v>
      </c>
      <c r="AX1177">
        <v>0</v>
      </c>
      <c r="AY1177">
        <v>0</v>
      </c>
      <c r="AZ1177">
        <v>0</v>
      </c>
      <c r="BA1177">
        <v>0</v>
      </c>
      <c r="BB1177">
        <v>0</v>
      </c>
      <c r="BC1177">
        <v>0</v>
      </c>
      <c r="BD1177">
        <v>0</v>
      </c>
      <c r="BE1177">
        <v>0</v>
      </c>
      <c r="BF1177">
        <v>0</v>
      </c>
      <c r="BG1177">
        <v>0</v>
      </c>
      <c r="BH1177">
        <v>1</v>
      </c>
      <c r="BI1177">
        <v>1</v>
      </c>
      <c r="BJ1177">
        <v>0.2</v>
      </c>
      <c r="BK1177">
        <v>1</v>
      </c>
      <c r="BL1177">
        <v>55.99</v>
      </c>
      <c r="BM1177">
        <v>8.4</v>
      </c>
      <c r="BN1177">
        <v>64.39</v>
      </c>
      <c r="BO1177">
        <v>64.39</v>
      </c>
      <c r="BQ1177" t="s">
        <v>153</v>
      </c>
      <c r="BR1177" t="s">
        <v>84</v>
      </c>
      <c r="BS1177" s="3">
        <v>45880</v>
      </c>
      <c r="BT1177" s="4">
        <v>0.30555555555555558</v>
      </c>
      <c r="BU1177" t="s">
        <v>154</v>
      </c>
      <c r="BV1177" t="s">
        <v>86</v>
      </c>
      <c r="BY1177">
        <v>1200</v>
      </c>
      <c r="CA1177" t="s">
        <v>155</v>
      </c>
      <c r="CC1177" t="s">
        <v>76</v>
      </c>
      <c r="CD1177">
        <v>1600</v>
      </c>
      <c r="CE1177" t="s">
        <v>109</v>
      </c>
      <c r="CF1177" s="3">
        <v>45880</v>
      </c>
      <c r="CI1177">
        <v>1</v>
      </c>
      <c r="CJ1177">
        <v>1</v>
      </c>
      <c r="CK1177">
        <v>22</v>
      </c>
      <c r="CL1177" t="s">
        <v>90</v>
      </c>
    </row>
    <row r="1178" spans="1:90" x14ac:dyDescent="0.3">
      <c r="A1178" t="s">
        <v>72</v>
      </c>
      <c r="B1178" t="s">
        <v>73</v>
      </c>
      <c r="C1178" t="s">
        <v>74</v>
      </c>
      <c r="E1178" t="str">
        <f>"080067115261"</f>
        <v>080067115261</v>
      </c>
      <c r="F1178" s="3">
        <v>45877</v>
      </c>
      <c r="G1178">
        <v>202605</v>
      </c>
      <c r="H1178" t="s">
        <v>75</v>
      </c>
      <c r="I1178" t="s">
        <v>76</v>
      </c>
      <c r="J1178" t="s">
        <v>77</v>
      </c>
      <c r="K1178" t="s">
        <v>78</v>
      </c>
      <c r="L1178" t="s">
        <v>129</v>
      </c>
      <c r="M1178" t="s">
        <v>130</v>
      </c>
      <c r="N1178" t="s">
        <v>131</v>
      </c>
      <c r="O1178" t="s">
        <v>82</v>
      </c>
      <c r="P1178" t="str">
        <f>"4170053741                    "</f>
        <v xml:space="preserve">4170053741                    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34.619999999999997</v>
      </c>
      <c r="AR1178">
        <v>0</v>
      </c>
      <c r="AS1178">
        <v>0</v>
      </c>
      <c r="AT1178">
        <v>0</v>
      </c>
      <c r="AU1178">
        <v>0</v>
      </c>
      <c r="AV1178">
        <v>0</v>
      </c>
      <c r="AW1178">
        <v>0</v>
      </c>
      <c r="AX1178">
        <v>0</v>
      </c>
      <c r="AY1178">
        <v>0</v>
      </c>
      <c r="AZ1178">
        <v>0</v>
      </c>
      <c r="BA1178">
        <v>0</v>
      </c>
      <c r="BB1178">
        <v>0</v>
      </c>
      <c r="BC1178">
        <v>0</v>
      </c>
      <c r="BD1178">
        <v>0</v>
      </c>
      <c r="BE1178">
        <v>0</v>
      </c>
      <c r="BF1178">
        <v>0</v>
      </c>
      <c r="BG1178">
        <v>0</v>
      </c>
      <c r="BH1178">
        <v>1</v>
      </c>
      <c r="BI1178">
        <v>3</v>
      </c>
      <c r="BJ1178">
        <v>1.7</v>
      </c>
      <c r="BK1178">
        <v>3</v>
      </c>
      <c r="BL1178">
        <v>107.5</v>
      </c>
      <c r="BM1178">
        <v>16.13</v>
      </c>
      <c r="BN1178">
        <v>123.63</v>
      </c>
      <c r="BO1178">
        <v>123.63</v>
      </c>
      <c r="BQ1178" t="s">
        <v>132</v>
      </c>
      <c r="BR1178" t="s">
        <v>84</v>
      </c>
      <c r="BS1178" s="3">
        <v>45880</v>
      </c>
      <c r="BT1178" s="4">
        <v>0.52083333333333337</v>
      </c>
      <c r="BU1178" t="s">
        <v>133</v>
      </c>
      <c r="BV1178" t="s">
        <v>86</v>
      </c>
      <c r="BY1178">
        <v>8550</v>
      </c>
      <c r="CA1178" t="s">
        <v>136</v>
      </c>
      <c r="CC1178" t="s">
        <v>130</v>
      </c>
      <c r="CD1178">
        <v>4133</v>
      </c>
      <c r="CE1178" t="s">
        <v>147</v>
      </c>
      <c r="CF1178" s="3">
        <v>45881</v>
      </c>
      <c r="CI1178">
        <v>1</v>
      </c>
      <c r="CJ1178">
        <v>1</v>
      </c>
      <c r="CK1178">
        <v>21</v>
      </c>
      <c r="CL1178" t="s">
        <v>90</v>
      </c>
    </row>
    <row r="1179" spans="1:90" x14ac:dyDescent="0.3">
      <c r="A1179" t="s">
        <v>72</v>
      </c>
      <c r="B1179" t="s">
        <v>73</v>
      </c>
      <c r="C1179" t="s">
        <v>74</v>
      </c>
      <c r="E1179" t="str">
        <f>"080067115290"</f>
        <v>080067115290</v>
      </c>
      <c r="F1179" s="3">
        <v>45877</v>
      </c>
      <c r="G1179">
        <v>202605</v>
      </c>
      <c r="H1179" t="s">
        <v>75</v>
      </c>
      <c r="I1179" t="s">
        <v>76</v>
      </c>
      <c r="J1179" t="s">
        <v>77</v>
      </c>
      <c r="K1179" t="s">
        <v>78</v>
      </c>
      <c r="L1179" t="s">
        <v>123</v>
      </c>
      <c r="M1179" t="s">
        <v>124</v>
      </c>
      <c r="N1179" t="s">
        <v>168</v>
      </c>
      <c r="O1179" t="s">
        <v>82</v>
      </c>
      <c r="P1179" t="str">
        <f>"4170053915                    "</f>
        <v xml:space="preserve">4170053915                    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23.09</v>
      </c>
      <c r="AR1179">
        <v>0</v>
      </c>
      <c r="AS1179">
        <v>0</v>
      </c>
      <c r="AT1179">
        <v>0</v>
      </c>
      <c r="AU1179">
        <v>0</v>
      </c>
      <c r="AV1179">
        <v>0</v>
      </c>
      <c r="AW1179">
        <v>0</v>
      </c>
      <c r="AX1179">
        <v>0</v>
      </c>
      <c r="AY1179">
        <v>0</v>
      </c>
      <c r="AZ1179">
        <v>0</v>
      </c>
      <c r="BA1179">
        <v>0</v>
      </c>
      <c r="BB1179">
        <v>0</v>
      </c>
      <c r="BC1179">
        <v>0</v>
      </c>
      <c r="BD1179">
        <v>0</v>
      </c>
      <c r="BE1179">
        <v>0</v>
      </c>
      <c r="BF1179">
        <v>0</v>
      </c>
      <c r="BG1179">
        <v>0</v>
      </c>
      <c r="BH1179">
        <v>1</v>
      </c>
      <c r="BI1179">
        <v>1</v>
      </c>
      <c r="BJ1179">
        <v>0.2</v>
      </c>
      <c r="BK1179">
        <v>1</v>
      </c>
      <c r="BL1179">
        <v>71.69</v>
      </c>
      <c r="BM1179">
        <v>10.75</v>
      </c>
      <c r="BN1179">
        <v>82.44</v>
      </c>
      <c r="BO1179">
        <v>82.44</v>
      </c>
      <c r="BQ1179" t="s">
        <v>169</v>
      </c>
      <c r="BR1179" t="s">
        <v>84</v>
      </c>
      <c r="BS1179" s="3">
        <v>45880</v>
      </c>
      <c r="BT1179" s="4">
        <v>0.40902777777777777</v>
      </c>
      <c r="BU1179" t="s">
        <v>1922</v>
      </c>
      <c r="BV1179" t="s">
        <v>86</v>
      </c>
      <c r="BY1179">
        <v>1200</v>
      </c>
      <c r="CA1179" t="s">
        <v>171</v>
      </c>
      <c r="CC1179" t="s">
        <v>124</v>
      </c>
      <c r="CD1179">
        <v>7535</v>
      </c>
      <c r="CE1179" t="s">
        <v>178</v>
      </c>
      <c r="CF1179" s="3">
        <v>45881</v>
      </c>
      <c r="CI1179">
        <v>1</v>
      </c>
      <c r="CJ1179">
        <v>1</v>
      </c>
      <c r="CK1179">
        <v>21</v>
      </c>
      <c r="CL1179" t="s">
        <v>90</v>
      </c>
    </row>
    <row r="1180" spans="1:90" x14ac:dyDescent="0.3">
      <c r="A1180" t="s">
        <v>72</v>
      </c>
      <c r="B1180" t="s">
        <v>73</v>
      </c>
      <c r="C1180" t="s">
        <v>74</v>
      </c>
      <c r="E1180" t="str">
        <f>"080067115312"</f>
        <v>080067115312</v>
      </c>
      <c r="F1180" s="3">
        <v>45877</v>
      </c>
      <c r="G1180">
        <v>202605</v>
      </c>
      <c r="H1180" t="s">
        <v>75</v>
      </c>
      <c r="I1180" t="s">
        <v>76</v>
      </c>
      <c r="J1180" t="s">
        <v>77</v>
      </c>
      <c r="K1180" t="s">
        <v>78</v>
      </c>
      <c r="L1180" t="s">
        <v>1947</v>
      </c>
      <c r="M1180" t="s">
        <v>1948</v>
      </c>
      <c r="N1180" t="s">
        <v>1949</v>
      </c>
      <c r="O1180" t="s">
        <v>82</v>
      </c>
      <c r="P1180" t="str">
        <f>"4170053905                    "</f>
        <v xml:space="preserve">4170053905                    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75.02</v>
      </c>
      <c r="AR1180">
        <v>0</v>
      </c>
      <c r="AS1180">
        <v>0</v>
      </c>
      <c r="AT1180">
        <v>0</v>
      </c>
      <c r="AU1180">
        <v>0</v>
      </c>
      <c r="AV1180">
        <v>0</v>
      </c>
      <c r="AW1180">
        <v>0</v>
      </c>
      <c r="AX1180">
        <v>0</v>
      </c>
      <c r="AY1180">
        <v>0</v>
      </c>
      <c r="AZ1180">
        <v>0</v>
      </c>
      <c r="BA1180">
        <v>0</v>
      </c>
      <c r="BB1180">
        <v>0</v>
      </c>
      <c r="BC1180">
        <v>0</v>
      </c>
      <c r="BD1180">
        <v>0</v>
      </c>
      <c r="BE1180">
        <v>0</v>
      </c>
      <c r="BF1180">
        <v>0</v>
      </c>
      <c r="BG1180">
        <v>0</v>
      </c>
      <c r="BH1180">
        <v>1</v>
      </c>
      <c r="BI1180">
        <v>3</v>
      </c>
      <c r="BJ1180">
        <v>3.4</v>
      </c>
      <c r="BK1180">
        <v>3.5</v>
      </c>
      <c r="BL1180">
        <v>232.96</v>
      </c>
      <c r="BM1180">
        <v>34.94</v>
      </c>
      <c r="BN1180">
        <v>267.89999999999998</v>
      </c>
      <c r="BO1180">
        <v>267.89999999999998</v>
      </c>
      <c r="BQ1180" t="s">
        <v>1950</v>
      </c>
      <c r="BR1180" t="s">
        <v>84</v>
      </c>
      <c r="BS1180" s="3">
        <v>45880</v>
      </c>
      <c r="BT1180" s="4">
        <v>0.41666666666666669</v>
      </c>
      <c r="BU1180" t="s">
        <v>1951</v>
      </c>
      <c r="BV1180" t="s">
        <v>86</v>
      </c>
      <c r="BY1180">
        <v>16965</v>
      </c>
      <c r="BZ1180" t="s">
        <v>35</v>
      </c>
      <c r="CC1180" t="s">
        <v>1948</v>
      </c>
      <c r="CD1180">
        <v>3236</v>
      </c>
      <c r="CE1180" t="s">
        <v>178</v>
      </c>
      <c r="CF1180" s="3">
        <v>45881</v>
      </c>
      <c r="CI1180">
        <v>5</v>
      </c>
      <c r="CJ1180">
        <v>1</v>
      </c>
      <c r="CK1180">
        <v>23</v>
      </c>
      <c r="CL1180" t="s">
        <v>90</v>
      </c>
    </row>
    <row r="1181" spans="1:90" x14ac:dyDescent="0.3">
      <c r="A1181" t="s">
        <v>72</v>
      </c>
      <c r="B1181" t="s">
        <v>73</v>
      </c>
      <c r="C1181" t="s">
        <v>74</v>
      </c>
      <c r="E1181" t="str">
        <f>"080067115335"</f>
        <v>080067115335</v>
      </c>
      <c r="F1181" s="3">
        <v>45877</v>
      </c>
      <c r="G1181">
        <v>202605</v>
      </c>
      <c r="H1181" t="s">
        <v>75</v>
      </c>
      <c r="I1181" t="s">
        <v>76</v>
      </c>
      <c r="J1181" t="s">
        <v>77</v>
      </c>
      <c r="K1181" t="s">
        <v>78</v>
      </c>
      <c r="L1181" t="s">
        <v>255</v>
      </c>
      <c r="M1181" t="s">
        <v>256</v>
      </c>
      <c r="N1181" t="s">
        <v>1484</v>
      </c>
      <c r="O1181" t="s">
        <v>82</v>
      </c>
      <c r="P1181" t="str">
        <f>"4170053757                    "</f>
        <v xml:space="preserve">4170053757                    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18.03</v>
      </c>
      <c r="AR1181">
        <v>0</v>
      </c>
      <c r="AS1181">
        <v>0</v>
      </c>
      <c r="AT1181">
        <v>0</v>
      </c>
      <c r="AU1181">
        <v>0</v>
      </c>
      <c r="AV1181">
        <v>0</v>
      </c>
      <c r="AW1181">
        <v>0</v>
      </c>
      <c r="AX1181">
        <v>0</v>
      </c>
      <c r="AY1181">
        <v>0</v>
      </c>
      <c r="AZ1181">
        <v>0</v>
      </c>
      <c r="BA1181">
        <v>0</v>
      </c>
      <c r="BB1181">
        <v>0</v>
      </c>
      <c r="BC1181">
        <v>0</v>
      </c>
      <c r="BD1181">
        <v>0</v>
      </c>
      <c r="BE1181">
        <v>0</v>
      </c>
      <c r="BF1181">
        <v>0</v>
      </c>
      <c r="BG1181">
        <v>0</v>
      </c>
      <c r="BH1181">
        <v>1</v>
      </c>
      <c r="BI1181">
        <v>1</v>
      </c>
      <c r="BJ1181">
        <v>0.2</v>
      </c>
      <c r="BK1181">
        <v>1</v>
      </c>
      <c r="BL1181">
        <v>55.99</v>
      </c>
      <c r="BM1181">
        <v>8.4</v>
      </c>
      <c r="BN1181">
        <v>64.39</v>
      </c>
      <c r="BO1181">
        <v>64.39</v>
      </c>
      <c r="BQ1181" t="s">
        <v>1485</v>
      </c>
      <c r="BR1181" t="s">
        <v>84</v>
      </c>
      <c r="BS1181" s="3">
        <v>45880</v>
      </c>
      <c r="BT1181" s="4">
        <v>0.40972222222222221</v>
      </c>
      <c r="BU1181" t="s">
        <v>1952</v>
      </c>
      <c r="BV1181" t="s">
        <v>86</v>
      </c>
      <c r="BY1181">
        <v>1200</v>
      </c>
      <c r="BZ1181" t="s">
        <v>330</v>
      </c>
      <c r="CA1181" t="s">
        <v>1953</v>
      </c>
      <c r="CC1181" t="s">
        <v>256</v>
      </c>
      <c r="CD1181">
        <v>1502</v>
      </c>
      <c r="CE1181" t="s">
        <v>178</v>
      </c>
      <c r="CF1181" s="3">
        <v>45880</v>
      </c>
      <c r="CI1181">
        <v>1</v>
      </c>
      <c r="CJ1181">
        <v>1</v>
      </c>
      <c r="CK1181">
        <v>22</v>
      </c>
      <c r="CL1181" t="s">
        <v>90</v>
      </c>
    </row>
    <row r="1182" spans="1:90" x14ac:dyDescent="0.3">
      <c r="A1182" t="s">
        <v>72</v>
      </c>
      <c r="B1182" t="s">
        <v>73</v>
      </c>
      <c r="C1182" t="s">
        <v>74</v>
      </c>
      <c r="E1182" t="str">
        <f>"080067115370"</f>
        <v>080067115370</v>
      </c>
      <c r="F1182" s="3">
        <v>45877</v>
      </c>
      <c r="G1182">
        <v>202605</v>
      </c>
      <c r="H1182" t="s">
        <v>75</v>
      </c>
      <c r="I1182" t="s">
        <v>76</v>
      </c>
      <c r="J1182" t="s">
        <v>77</v>
      </c>
      <c r="K1182" t="s">
        <v>78</v>
      </c>
      <c r="L1182" t="s">
        <v>198</v>
      </c>
      <c r="M1182" t="s">
        <v>199</v>
      </c>
      <c r="N1182" t="s">
        <v>680</v>
      </c>
      <c r="O1182" t="s">
        <v>82</v>
      </c>
      <c r="P1182" t="str">
        <f>"4170053842                    "</f>
        <v xml:space="preserve">4170053842                    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>
        <v>40.380000000000003</v>
      </c>
      <c r="AR1182">
        <v>0</v>
      </c>
      <c r="AS1182">
        <v>0</v>
      </c>
      <c r="AT1182">
        <v>0</v>
      </c>
      <c r="AU1182">
        <v>0</v>
      </c>
      <c r="AV1182">
        <v>0</v>
      </c>
      <c r="AW1182">
        <v>0</v>
      </c>
      <c r="AX1182">
        <v>0</v>
      </c>
      <c r="AY1182">
        <v>0</v>
      </c>
      <c r="AZ1182">
        <v>0</v>
      </c>
      <c r="BA1182">
        <v>0</v>
      </c>
      <c r="BB1182">
        <v>0</v>
      </c>
      <c r="BC1182">
        <v>0</v>
      </c>
      <c r="BD1182">
        <v>0</v>
      </c>
      <c r="BE1182">
        <v>0</v>
      </c>
      <c r="BF1182">
        <v>0</v>
      </c>
      <c r="BG1182">
        <v>0</v>
      </c>
      <c r="BH1182">
        <v>1</v>
      </c>
      <c r="BI1182">
        <v>3</v>
      </c>
      <c r="BJ1182">
        <v>3.4</v>
      </c>
      <c r="BK1182">
        <v>3.5</v>
      </c>
      <c r="BL1182">
        <v>125.4</v>
      </c>
      <c r="BM1182">
        <v>18.809999999999999</v>
      </c>
      <c r="BN1182">
        <v>144.21</v>
      </c>
      <c r="BO1182">
        <v>144.21</v>
      </c>
      <c r="BQ1182" t="s">
        <v>681</v>
      </c>
      <c r="BR1182" t="s">
        <v>84</v>
      </c>
      <c r="BS1182" s="3">
        <v>45880</v>
      </c>
      <c r="BT1182" s="4">
        <v>0.38819444444444445</v>
      </c>
      <c r="BU1182" t="s">
        <v>682</v>
      </c>
      <c r="BV1182" t="s">
        <v>86</v>
      </c>
      <c r="BY1182">
        <v>16965</v>
      </c>
      <c r="BZ1182" t="s">
        <v>330</v>
      </c>
      <c r="CA1182" t="s">
        <v>413</v>
      </c>
      <c r="CC1182" t="s">
        <v>199</v>
      </c>
      <c r="CD1182">
        <v>6001</v>
      </c>
      <c r="CE1182" t="s">
        <v>178</v>
      </c>
      <c r="CF1182" s="3">
        <v>45880</v>
      </c>
      <c r="CI1182">
        <v>1</v>
      </c>
      <c r="CJ1182">
        <v>1</v>
      </c>
      <c r="CK1182">
        <v>21</v>
      </c>
      <c r="CL1182" t="s">
        <v>90</v>
      </c>
    </row>
    <row r="1183" spans="1:90" x14ac:dyDescent="0.3">
      <c r="A1183" t="s">
        <v>72</v>
      </c>
      <c r="B1183" t="s">
        <v>73</v>
      </c>
      <c r="C1183" t="s">
        <v>74</v>
      </c>
      <c r="E1183" t="str">
        <f>"080067115380"</f>
        <v>080067115380</v>
      </c>
      <c r="F1183" s="3">
        <v>45877</v>
      </c>
      <c r="G1183">
        <v>202605</v>
      </c>
      <c r="H1183" t="s">
        <v>75</v>
      </c>
      <c r="I1183" t="s">
        <v>76</v>
      </c>
      <c r="J1183" t="s">
        <v>77</v>
      </c>
      <c r="K1183" t="s">
        <v>78</v>
      </c>
      <c r="L1183" t="s">
        <v>198</v>
      </c>
      <c r="M1183" t="s">
        <v>199</v>
      </c>
      <c r="N1183" t="s">
        <v>667</v>
      </c>
      <c r="O1183" t="s">
        <v>82</v>
      </c>
      <c r="P1183" t="str">
        <f>"4170053730                    "</f>
        <v xml:space="preserve">4170053730                    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>
        <v>23.09</v>
      </c>
      <c r="AR1183">
        <v>0</v>
      </c>
      <c r="AS1183">
        <v>0</v>
      </c>
      <c r="AT1183">
        <v>0</v>
      </c>
      <c r="AU1183">
        <v>0</v>
      </c>
      <c r="AV1183">
        <v>0</v>
      </c>
      <c r="AW1183">
        <v>0</v>
      </c>
      <c r="AX1183">
        <v>0</v>
      </c>
      <c r="AY1183">
        <v>0</v>
      </c>
      <c r="AZ1183">
        <v>0</v>
      </c>
      <c r="BA1183">
        <v>0</v>
      </c>
      <c r="BB1183">
        <v>0</v>
      </c>
      <c r="BC1183">
        <v>0</v>
      </c>
      <c r="BD1183">
        <v>0</v>
      </c>
      <c r="BE1183">
        <v>0</v>
      </c>
      <c r="BF1183">
        <v>0</v>
      </c>
      <c r="BG1183">
        <v>0</v>
      </c>
      <c r="BH1183">
        <v>1</v>
      </c>
      <c r="BI1183">
        <v>1</v>
      </c>
      <c r="BJ1183">
        <v>0.2</v>
      </c>
      <c r="BK1183">
        <v>1</v>
      </c>
      <c r="BL1183">
        <v>71.69</v>
      </c>
      <c r="BM1183">
        <v>10.75</v>
      </c>
      <c r="BN1183">
        <v>82.44</v>
      </c>
      <c r="BO1183">
        <v>82.44</v>
      </c>
      <c r="BQ1183" t="s">
        <v>668</v>
      </c>
      <c r="BR1183" t="s">
        <v>84</v>
      </c>
      <c r="BS1183" s="3">
        <v>45880</v>
      </c>
      <c r="BT1183" s="4">
        <v>0.37222222222222223</v>
      </c>
      <c r="BU1183" t="s">
        <v>1902</v>
      </c>
      <c r="BV1183" t="s">
        <v>86</v>
      </c>
      <c r="BY1183">
        <v>1200</v>
      </c>
      <c r="BZ1183" t="s">
        <v>330</v>
      </c>
      <c r="CA1183" t="s">
        <v>433</v>
      </c>
      <c r="CC1183" t="s">
        <v>199</v>
      </c>
      <c r="CD1183">
        <v>6001</v>
      </c>
      <c r="CE1183" t="s">
        <v>178</v>
      </c>
      <c r="CF1183" s="3">
        <v>45880</v>
      </c>
      <c r="CI1183">
        <v>1</v>
      </c>
      <c r="CJ1183">
        <v>1</v>
      </c>
      <c r="CK1183">
        <v>21</v>
      </c>
      <c r="CL1183" t="s">
        <v>90</v>
      </c>
    </row>
    <row r="1184" spans="1:90" x14ac:dyDescent="0.3">
      <c r="A1184" t="s">
        <v>72</v>
      </c>
      <c r="B1184" t="s">
        <v>73</v>
      </c>
      <c r="C1184" t="s">
        <v>74</v>
      </c>
      <c r="E1184" t="str">
        <f>"080067115424"</f>
        <v>080067115424</v>
      </c>
      <c r="F1184" s="3">
        <v>45877</v>
      </c>
      <c r="G1184">
        <v>202605</v>
      </c>
      <c r="H1184" t="s">
        <v>75</v>
      </c>
      <c r="I1184" t="s">
        <v>76</v>
      </c>
      <c r="J1184" t="s">
        <v>77</v>
      </c>
      <c r="K1184" t="s">
        <v>78</v>
      </c>
      <c r="L1184" t="s">
        <v>198</v>
      </c>
      <c r="M1184" t="s">
        <v>199</v>
      </c>
      <c r="N1184" t="s">
        <v>667</v>
      </c>
      <c r="O1184" t="s">
        <v>82</v>
      </c>
      <c r="P1184" t="str">
        <f>"4170053702                    "</f>
        <v xml:space="preserve">4170053702                    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23.09</v>
      </c>
      <c r="AR1184">
        <v>0</v>
      </c>
      <c r="AS1184">
        <v>0</v>
      </c>
      <c r="AT1184">
        <v>0</v>
      </c>
      <c r="AU1184">
        <v>0</v>
      </c>
      <c r="AV1184">
        <v>0</v>
      </c>
      <c r="AW1184">
        <v>0</v>
      </c>
      <c r="AX1184">
        <v>0</v>
      </c>
      <c r="AY1184">
        <v>0</v>
      </c>
      <c r="AZ1184">
        <v>0</v>
      </c>
      <c r="BA1184">
        <v>0</v>
      </c>
      <c r="BB1184">
        <v>0</v>
      </c>
      <c r="BC1184">
        <v>0</v>
      </c>
      <c r="BD1184">
        <v>0</v>
      </c>
      <c r="BE1184">
        <v>0</v>
      </c>
      <c r="BF1184">
        <v>0</v>
      </c>
      <c r="BG1184">
        <v>0</v>
      </c>
      <c r="BH1184">
        <v>1</v>
      </c>
      <c r="BI1184">
        <v>1</v>
      </c>
      <c r="BJ1184">
        <v>0.2</v>
      </c>
      <c r="BK1184">
        <v>1</v>
      </c>
      <c r="BL1184">
        <v>71.69</v>
      </c>
      <c r="BM1184">
        <v>10.75</v>
      </c>
      <c r="BN1184">
        <v>82.44</v>
      </c>
      <c r="BO1184">
        <v>82.44</v>
      </c>
      <c r="BQ1184" t="s">
        <v>668</v>
      </c>
      <c r="BR1184" t="s">
        <v>84</v>
      </c>
      <c r="BS1184" s="3">
        <v>45880</v>
      </c>
      <c r="BT1184" s="4">
        <v>0.37083333333333335</v>
      </c>
      <c r="BU1184" t="s">
        <v>1902</v>
      </c>
      <c r="BV1184" t="s">
        <v>86</v>
      </c>
      <c r="BY1184">
        <v>1200</v>
      </c>
      <c r="BZ1184" t="s">
        <v>330</v>
      </c>
      <c r="CA1184" t="s">
        <v>433</v>
      </c>
      <c r="CC1184" t="s">
        <v>199</v>
      </c>
      <c r="CD1184">
        <v>6001</v>
      </c>
      <c r="CE1184" t="s">
        <v>178</v>
      </c>
      <c r="CF1184" s="3">
        <v>45880</v>
      </c>
      <c r="CI1184">
        <v>1</v>
      </c>
      <c r="CJ1184">
        <v>1</v>
      </c>
      <c r="CK1184">
        <v>21</v>
      </c>
      <c r="CL1184" t="s">
        <v>90</v>
      </c>
    </row>
    <row r="1185" spans="1:90" x14ac:dyDescent="0.3">
      <c r="A1185" t="s">
        <v>72</v>
      </c>
      <c r="B1185" t="s">
        <v>73</v>
      </c>
      <c r="C1185" t="s">
        <v>74</v>
      </c>
      <c r="E1185" t="str">
        <f>"080067115431"</f>
        <v>080067115431</v>
      </c>
      <c r="F1185" s="3">
        <v>45877</v>
      </c>
      <c r="G1185">
        <v>202605</v>
      </c>
      <c r="H1185" t="s">
        <v>75</v>
      </c>
      <c r="I1185" t="s">
        <v>76</v>
      </c>
      <c r="J1185" t="s">
        <v>77</v>
      </c>
      <c r="K1185" t="s">
        <v>78</v>
      </c>
      <c r="L1185" t="s">
        <v>385</v>
      </c>
      <c r="M1185" t="s">
        <v>386</v>
      </c>
      <c r="N1185" t="s">
        <v>1954</v>
      </c>
      <c r="O1185" t="s">
        <v>82</v>
      </c>
      <c r="P1185" t="str">
        <f>"4170053788                    "</f>
        <v xml:space="preserve">4170053788                    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18.03</v>
      </c>
      <c r="AR1185">
        <v>0</v>
      </c>
      <c r="AS1185">
        <v>0</v>
      </c>
      <c r="AT1185">
        <v>0</v>
      </c>
      <c r="AU1185">
        <v>0</v>
      </c>
      <c r="AV1185">
        <v>0</v>
      </c>
      <c r="AW1185">
        <v>0</v>
      </c>
      <c r="AX1185">
        <v>0</v>
      </c>
      <c r="AY1185">
        <v>0</v>
      </c>
      <c r="AZ1185">
        <v>0</v>
      </c>
      <c r="BA1185">
        <v>0</v>
      </c>
      <c r="BB1185">
        <v>0</v>
      </c>
      <c r="BC1185">
        <v>0</v>
      </c>
      <c r="BD1185">
        <v>0</v>
      </c>
      <c r="BE1185">
        <v>0</v>
      </c>
      <c r="BF1185">
        <v>0</v>
      </c>
      <c r="BG1185">
        <v>0</v>
      </c>
      <c r="BH1185">
        <v>1</v>
      </c>
      <c r="BI1185">
        <v>2</v>
      </c>
      <c r="BJ1185">
        <v>1.4</v>
      </c>
      <c r="BK1185">
        <v>2</v>
      </c>
      <c r="BL1185">
        <v>55.99</v>
      </c>
      <c r="BM1185">
        <v>8.4</v>
      </c>
      <c r="BN1185">
        <v>64.39</v>
      </c>
      <c r="BO1185">
        <v>64.39</v>
      </c>
      <c r="BQ1185" t="s">
        <v>1955</v>
      </c>
      <c r="BR1185" t="s">
        <v>84</v>
      </c>
      <c r="BS1185" s="3">
        <v>45880</v>
      </c>
      <c r="BT1185" s="4">
        <v>0.42777777777777776</v>
      </c>
      <c r="BU1185" t="s">
        <v>121</v>
      </c>
      <c r="BV1185" t="s">
        <v>86</v>
      </c>
      <c r="BY1185">
        <v>7000</v>
      </c>
      <c r="BZ1185" t="s">
        <v>330</v>
      </c>
      <c r="CA1185" t="s">
        <v>851</v>
      </c>
      <c r="CC1185" t="s">
        <v>386</v>
      </c>
      <c r="CD1185">
        <v>1559</v>
      </c>
      <c r="CE1185" t="s">
        <v>178</v>
      </c>
      <c r="CF1185" s="3">
        <v>45880</v>
      </c>
      <c r="CI1185">
        <v>1</v>
      </c>
      <c r="CJ1185">
        <v>1</v>
      </c>
      <c r="CK1185">
        <v>22</v>
      </c>
      <c r="CL1185" t="s">
        <v>90</v>
      </c>
    </row>
    <row r="1186" spans="1:90" x14ac:dyDescent="0.3">
      <c r="A1186" t="s">
        <v>72</v>
      </c>
      <c r="B1186" t="s">
        <v>73</v>
      </c>
      <c r="C1186" t="s">
        <v>74</v>
      </c>
      <c r="E1186" t="str">
        <f>"080067115469"</f>
        <v>080067115469</v>
      </c>
      <c r="F1186" s="3">
        <v>45877</v>
      </c>
      <c r="G1186">
        <v>202605</v>
      </c>
      <c r="H1186" t="s">
        <v>75</v>
      </c>
      <c r="I1186" t="s">
        <v>76</v>
      </c>
      <c r="J1186" t="s">
        <v>77</v>
      </c>
      <c r="K1186" t="s">
        <v>78</v>
      </c>
      <c r="L1186" t="s">
        <v>137</v>
      </c>
      <c r="M1186" t="s">
        <v>138</v>
      </c>
      <c r="N1186" t="s">
        <v>781</v>
      </c>
      <c r="O1186" t="s">
        <v>82</v>
      </c>
      <c r="P1186" t="str">
        <f>"4170053855                    "</f>
        <v xml:space="preserve">4170053855                    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23.09</v>
      </c>
      <c r="AR1186">
        <v>0</v>
      </c>
      <c r="AS1186">
        <v>0</v>
      </c>
      <c r="AT1186">
        <v>0</v>
      </c>
      <c r="AU1186">
        <v>0</v>
      </c>
      <c r="AV1186">
        <v>0</v>
      </c>
      <c r="AW1186">
        <v>0</v>
      </c>
      <c r="AX1186">
        <v>0</v>
      </c>
      <c r="AY1186">
        <v>0</v>
      </c>
      <c r="AZ1186">
        <v>0</v>
      </c>
      <c r="BA1186">
        <v>0</v>
      </c>
      <c r="BB1186">
        <v>0</v>
      </c>
      <c r="BC1186">
        <v>0</v>
      </c>
      <c r="BD1186">
        <v>0</v>
      </c>
      <c r="BE1186">
        <v>0</v>
      </c>
      <c r="BF1186">
        <v>0</v>
      </c>
      <c r="BG1186">
        <v>0</v>
      </c>
      <c r="BH1186">
        <v>1</v>
      </c>
      <c r="BI1186">
        <v>1</v>
      </c>
      <c r="BJ1186">
        <v>0.2</v>
      </c>
      <c r="BK1186">
        <v>1</v>
      </c>
      <c r="BL1186">
        <v>71.69</v>
      </c>
      <c r="BM1186">
        <v>10.75</v>
      </c>
      <c r="BN1186">
        <v>82.44</v>
      </c>
      <c r="BO1186">
        <v>82.44</v>
      </c>
      <c r="BQ1186" t="s">
        <v>782</v>
      </c>
      <c r="BR1186" t="s">
        <v>84</v>
      </c>
      <c r="BS1186" s="3">
        <v>45880</v>
      </c>
      <c r="BT1186" s="4">
        <v>0.44097222222222221</v>
      </c>
      <c r="BU1186" t="s">
        <v>952</v>
      </c>
      <c r="BV1186" t="s">
        <v>86</v>
      </c>
      <c r="BY1186">
        <v>1200</v>
      </c>
      <c r="BZ1186" t="s">
        <v>330</v>
      </c>
      <c r="CA1186" t="s">
        <v>953</v>
      </c>
      <c r="CC1186" t="s">
        <v>138</v>
      </c>
      <c r="CD1186">
        <v>3610</v>
      </c>
      <c r="CE1186" t="s">
        <v>178</v>
      </c>
      <c r="CF1186" s="3">
        <v>45881</v>
      </c>
      <c r="CI1186">
        <v>1</v>
      </c>
      <c r="CJ1186">
        <v>1</v>
      </c>
      <c r="CK1186">
        <v>21</v>
      </c>
      <c r="CL1186" t="s">
        <v>90</v>
      </c>
    </row>
    <row r="1187" spans="1:90" x14ac:dyDescent="0.3">
      <c r="A1187" t="s">
        <v>72</v>
      </c>
      <c r="B1187" t="s">
        <v>73</v>
      </c>
      <c r="C1187" t="s">
        <v>74</v>
      </c>
      <c r="E1187" t="str">
        <f>"080067115492"</f>
        <v>080067115492</v>
      </c>
      <c r="F1187" s="3">
        <v>45877</v>
      </c>
      <c r="G1187">
        <v>202605</v>
      </c>
      <c r="H1187" t="s">
        <v>75</v>
      </c>
      <c r="I1187" t="s">
        <v>76</v>
      </c>
      <c r="J1187" t="s">
        <v>77</v>
      </c>
      <c r="K1187" t="s">
        <v>78</v>
      </c>
      <c r="L1187" t="s">
        <v>75</v>
      </c>
      <c r="M1187" t="s">
        <v>76</v>
      </c>
      <c r="N1187" t="s">
        <v>830</v>
      </c>
      <c r="O1187" t="s">
        <v>82</v>
      </c>
      <c r="P1187" t="str">
        <f>"4170053690                    "</f>
        <v xml:space="preserve">4170053690                    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18.03</v>
      </c>
      <c r="AR1187">
        <v>0</v>
      </c>
      <c r="AS1187">
        <v>0</v>
      </c>
      <c r="AT1187">
        <v>0</v>
      </c>
      <c r="AU1187">
        <v>0</v>
      </c>
      <c r="AV1187">
        <v>0</v>
      </c>
      <c r="AW1187">
        <v>0</v>
      </c>
      <c r="AX1187">
        <v>0</v>
      </c>
      <c r="AY1187">
        <v>0</v>
      </c>
      <c r="AZ1187">
        <v>0</v>
      </c>
      <c r="BA1187">
        <v>0</v>
      </c>
      <c r="BB1187">
        <v>0</v>
      </c>
      <c r="BC1187">
        <v>0</v>
      </c>
      <c r="BD1187">
        <v>0</v>
      </c>
      <c r="BE1187">
        <v>0</v>
      </c>
      <c r="BF1187">
        <v>0</v>
      </c>
      <c r="BG1187">
        <v>0</v>
      </c>
      <c r="BH1187">
        <v>1</v>
      </c>
      <c r="BI1187">
        <v>4</v>
      </c>
      <c r="BJ1187">
        <v>1.7</v>
      </c>
      <c r="BK1187">
        <v>4</v>
      </c>
      <c r="BL1187">
        <v>55.99</v>
      </c>
      <c r="BM1187">
        <v>8.4</v>
      </c>
      <c r="BN1187">
        <v>64.39</v>
      </c>
      <c r="BO1187">
        <v>64.39</v>
      </c>
      <c r="BQ1187" t="s">
        <v>831</v>
      </c>
      <c r="BR1187" t="s">
        <v>84</v>
      </c>
      <c r="BS1187" s="3">
        <v>45880</v>
      </c>
      <c r="BT1187" s="4">
        <v>0.41666666666666669</v>
      </c>
      <c r="BU1187" t="s">
        <v>1741</v>
      </c>
      <c r="BV1187" t="s">
        <v>86</v>
      </c>
      <c r="BY1187">
        <v>8512</v>
      </c>
      <c r="CA1187" t="s">
        <v>1743</v>
      </c>
      <c r="CC1187" t="s">
        <v>76</v>
      </c>
      <c r="CD1187">
        <v>1601</v>
      </c>
      <c r="CE1187" t="s">
        <v>178</v>
      </c>
      <c r="CF1187" s="3">
        <v>45880</v>
      </c>
      <c r="CI1187">
        <v>1</v>
      </c>
      <c r="CJ1187">
        <v>1</v>
      </c>
      <c r="CK1187">
        <v>22</v>
      </c>
      <c r="CL1187" t="s">
        <v>90</v>
      </c>
    </row>
    <row r="1188" spans="1:90" x14ac:dyDescent="0.3">
      <c r="A1188" t="s">
        <v>72</v>
      </c>
      <c r="B1188" t="s">
        <v>73</v>
      </c>
      <c r="C1188" t="s">
        <v>74</v>
      </c>
      <c r="E1188" t="str">
        <f>"080067115673"</f>
        <v>080067115673</v>
      </c>
      <c r="F1188" s="3">
        <v>45877</v>
      </c>
      <c r="G1188">
        <v>202605</v>
      </c>
      <c r="H1188" t="s">
        <v>75</v>
      </c>
      <c r="I1188" t="s">
        <v>76</v>
      </c>
      <c r="J1188" t="s">
        <v>77</v>
      </c>
      <c r="K1188" t="s">
        <v>78</v>
      </c>
      <c r="L1188" t="s">
        <v>123</v>
      </c>
      <c r="M1188" t="s">
        <v>124</v>
      </c>
      <c r="N1188" t="s">
        <v>1321</v>
      </c>
      <c r="O1188" t="s">
        <v>82</v>
      </c>
      <c r="P1188" t="str">
        <f>"4170053750                    "</f>
        <v xml:space="preserve">4170053750                    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103.82</v>
      </c>
      <c r="AR1188">
        <v>0</v>
      </c>
      <c r="AS1188">
        <v>0</v>
      </c>
      <c r="AT1188">
        <v>0</v>
      </c>
      <c r="AU1188">
        <v>0</v>
      </c>
      <c r="AV1188">
        <v>0</v>
      </c>
      <c r="AW1188">
        <v>0</v>
      </c>
      <c r="AX1188">
        <v>0</v>
      </c>
      <c r="AY1188">
        <v>0</v>
      </c>
      <c r="AZ1188">
        <v>0</v>
      </c>
      <c r="BA1188">
        <v>0</v>
      </c>
      <c r="BB1188">
        <v>0</v>
      </c>
      <c r="BC1188">
        <v>0</v>
      </c>
      <c r="BD1188">
        <v>0</v>
      </c>
      <c r="BE1188">
        <v>0</v>
      </c>
      <c r="BF1188">
        <v>0</v>
      </c>
      <c r="BG1188">
        <v>0</v>
      </c>
      <c r="BH1188">
        <v>1</v>
      </c>
      <c r="BI1188">
        <v>5</v>
      </c>
      <c r="BJ1188">
        <v>8.9</v>
      </c>
      <c r="BK1188">
        <v>9</v>
      </c>
      <c r="BL1188">
        <v>322.38</v>
      </c>
      <c r="BM1188">
        <v>48.36</v>
      </c>
      <c r="BN1188">
        <v>370.74</v>
      </c>
      <c r="BO1188">
        <v>370.74</v>
      </c>
      <c r="BQ1188" t="s">
        <v>1322</v>
      </c>
      <c r="BR1188" t="s">
        <v>84</v>
      </c>
      <c r="BS1188" s="3">
        <v>45880</v>
      </c>
      <c r="BT1188" s="4">
        <v>0.36458333333333331</v>
      </c>
      <c r="BU1188" t="s">
        <v>1323</v>
      </c>
      <c r="BV1188" t="s">
        <v>86</v>
      </c>
      <c r="BY1188">
        <v>44640</v>
      </c>
      <c r="CA1188" t="s">
        <v>128</v>
      </c>
      <c r="CC1188" t="s">
        <v>124</v>
      </c>
      <c r="CD1188">
        <v>7530</v>
      </c>
      <c r="CE1188" t="s">
        <v>178</v>
      </c>
      <c r="CF1188" s="3">
        <v>45881</v>
      </c>
      <c r="CI1188">
        <v>1</v>
      </c>
      <c r="CJ1188">
        <v>1</v>
      </c>
      <c r="CK1188">
        <v>21</v>
      </c>
      <c r="CL1188" t="s">
        <v>90</v>
      </c>
    </row>
    <row r="1189" spans="1:90" x14ac:dyDescent="0.3">
      <c r="A1189" t="s">
        <v>72</v>
      </c>
      <c r="B1189" t="s">
        <v>73</v>
      </c>
      <c r="C1189" t="s">
        <v>74</v>
      </c>
      <c r="E1189" t="str">
        <f>"080067115694"</f>
        <v>080067115694</v>
      </c>
      <c r="F1189" s="3">
        <v>45877</v>
      </c>
      <c r="G1189">
        <v>202605</v>
      </c>
      <c r="H1189" t="s">
        <v>75</v>
      </c>
      <c r="I1189" t="s">
        <v>76</v>
      </c>
      <c r="J1189" t="s">
        <v>77</v>
      </c>
      <c r="K1189" t="s">
        <v>78</v>
      </c>
      <c r="L1189" t="s">
        <v>123</v>
      </c>
      <c r="M1189" t="s">
        <v>124</v>
      </c>
      <c r="N1189" t="s">
        <v>406</v>
      </c>
      <c r="O1189" t="s">
        <v>82</v>
      </c>
      <c r="P1189" t="str">
        <f>"4170053786                    "</f>
        <v xml:space="preserve">4170053786                    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23.09</v>
      </c>
      <c r="AR1189">
        <v>0</v>
      </c>
      <c r="AS1189">
        <v>0</v>
      </c>
      <c r="AT1189">
        <v>0</v>
      </c>
      <c r="AU1189">
        <v>0</v>
      </c>
      <c r="AV1189">
        <v>0</v>
      </c>
      <c r="AW1189">
        <v>0</v>
      </c>
      <c r="AX1189">
        <v>0</v>
      </c>
      <c r="AY1189">
        <v>0</v>
      </c>
      <c r="AZ1189">
        <v>0</v>
      </c>
      <c r="BA1189">
        <v>0</v>
      </c>
      <c r="BB1189">
        <v>0</v>
      </c>
      <c r="BC1189">
        <v>0</v>
      </c>
      <c r="BD1189">
        <v>0</v>
      </c>
      <c r="BE1189">
        <v>0</v>
      </c>
      <c r="BF1189">
        <v>0</v>
      </c>
      <c r="BG1189">
        <v>0</v>
      </c>
      <c r="BH1189">
        <v>1</v>
      </c>
      <c r="BI1189">
        <v>1</v>
      </c>
      <c r="BJ1189">
        <v>0.2</v>
      </c>
      <c r="BK1189">
        <v>1</v>
      </c>
      <c r="BL1189">
        <v>71.69</v>
      </c>
      <c r="BM1189">
        <v>10.75</v>
      </c>
      <c r="BN1189">
        <v>82.44</v>
      </c>
      <c r="BO1189">
        <v>82.44</v>
      </c>
      <c r="BQ1189" t="s">
        <v>407</v>
      </c>
      <c r="BR1189" t="s">
        <v>84</v>
      </c>
      <c r="BS1189" s="3">
        <v>45880</v>
      </c>
      <c r="BT1189" s="4">
        <v>0.40763888888888888</v>
      </c>
      <c r="BU1189" t="s">
        <v>408</v>
      </c>
      <c r="BV1189" t="s">
        <v>86</v>
      </c>
      <c r="BY1189">
        <v>1200</v>
      </c>
      <c r="CA1189" t="s">
        <v>192</v>
      </c>
      <c r="CC1189" t="s">
        <v>124</v>
      </c>
      <c r="CD1189">
        <v>7441</v>
      </c>
      <c r="CE1189" t="s">
        <v>178</v>
      </c>
      <c r="CF1189" s="3">
        <v>45881</v>
      </c>
      <c r="CI1189">
        <v>1</v>
      </c>
      <c r="CJ1189">
        <v>1</v>
      </c>
      <c r="CK1189">
        <v>21</v>
      </c>
      <c r="CL1189" t="s">
        <v>90</v>
      </c>
    </row>
    <row r="1190" spans="1:90" x14ac:dyDescent="0.3">
      <c r="A1190" t="s">
        <v>72</v>
      </c>
      <c r="B1190" t="s">
        <v>73</v>
      </c>
      <c r="C1190" t="s">
        <v>74</v>
      </c>
      <c r="E1190" t="str">
        <f>"080067115713"</f>
        <v>080067115713</v>
      </c>
      <c r="F1190" s="3">
        <v>45877</v>
      </c>
      <c r="G1190">
        <v>202605</v>
      </c>
      <c r="H1190" t="s">
        <v>75</v>
      </c>
      <c r="I1190" t="s">
        <v>76</v>
      </c>
      <c r="J1190" t="s">
        <v>77</v>
      </c>
      <c r="K1190" t="s">
        <v>78</v>
      </c>
      <c r="L1190" t="s">
        <v>217</v>
      </c>
      <c r="M1190" t="s">
        <v>218</v>
      </c>
      <c r="N1190" t="s">
        <v>1956</v>
      </c>
      <c r="O1190" t="s">
        <v>82</v>
      </c>
      <c r="P1190" t="str">
        <f>"4170053796                    "</f>
        <v xml:space="preserve">4170053796                    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34.619999999999997</v>
      </c>
      <c r="AR1190">
        <v>0</v>
      </c>
      <c r="AS1190">
        <v>0</v>
      </c>
      <c r="AT1190">
        <v>0</v>
      </c>
      <c r="AU1190">
        <v>0</v>
      </c>
      <c r="AV1190">
        <v>0</v>
      </c>
      <c r="AW1190">
        <v>0</v>
      </c>
      <c r="AX1190">
        <v>0</v>
      </c>
      <c r="AY1190">
        <v>0</v>
      </c>
      <c r="AZ1190">
        <v>0</v>
      </c>
      <c r="BA1190">
        <v>0</v>
      </c>
      <c r="BB1190">
        <v>0</v>
      </c>
      <c r="BC1190">
        <v>0</v>
      </c>
      <c r="BD1190">
        <v>0</v>
      </c>
      <c r="BE1190">
        <v>0</v>
      </c>
      <c r="BF1190">
        <v>0</v>
      </c>
      <c r="BG1190">
        <v>0</v>
      </c>
      <c r="BH1190">
        <v>1</v>
      </c>
      <c r="BI1190">
        <v>3</v>
      </c>
      <c r="BJ1190">
        <v>1.1000000000000001</v>
      </c>
      <c r="BK1190">
        <v>3</v>
      </c>
      <c r="BL1190">
        <v>107.5</v>
      </c>
      <c r="BM1190">
        <v>16.13</v>
      </c>
      <c r="BN1190">
        <v>123.63</v>
      </c>
      <c r="BO1190">
        <v>123.63</v>
      </c>
      <c r="BQ1190" t="s">
        <v>1957</v>
      </c>
      <c r="BR1190" t="s">
        <v>84</v>
      </c>
      <c r="BS1190" s="3">
        <v>45880</v>
      </c>
      <c r="BT1190" s="4">
        <v>0.37638888888888888</v>
      </c>
      <c r="BU1190" t="s">
        <v>1958</v>
      </c>
      <c r="BV1190" t="s">
        <v>86</v>
      </c>
      <c r="BY1190">
        <v>5320</v>
      </c>
      <c r="CA1190" t="s">
        <v>136</v>
      </c>
      <c r="CC1190" t="s">
        <v>218</v>
      </c>
      <c r="CD1190">
        <v>4052</v>
      </c>
      <c r="CE1190" t="s">
        <v>147</v>
      </c>
      <c r="CF1190" s="3">
        <v>45881</v>
      </c>
      <c r="CI1190">
        <v>1</v>
      </c>
      <c r="CJ1190">
        <v>1</v>
      </c>
      <c r="CK1190">
        <v>21</v>
      </c>
      <c r="CL1190" t="s">
        <v>90</v>
      </c>
    </row>
    <row r="1191" spans="1:90" x14ac:dyDescent="0.3">
      <c r="A1191" t="s">
        <v>72</v>
      </c>
      <c r="B1191" t="s">
        <v>73</v>
      </c>
      <c r="C1191" t="s">
        <v>74</v>
      </c>
      <c r="E1191" t="str">
        <f>"080067115726"</f>
        <v>080067115726</v>
      </c>
      <c r="F1191" s="3">
        <v>45877</v>
      </c>
      <c r="G1191">
        <v>202605</v>
      </c>
      <c r="H1191" t="s">
        <v>75</v>
      </c>
      <c r="I1191" t="s">
        <v>76</v>
      </c>
      <c r="J1191" t="s">
        <v>77</v>
      </c>
      <c r="K1191" t="s">
        <v>78</v>
      </c>
      <c r="L1191" t="s">
        <v>123</v>
      </c>
      <c r="M1191" t="s">
        <v>124</v>
      </c>
      <c r="N1191" t="s">
        <v>887</v>
      </c>
      <c r="O1191" t="s">
        <v>82</v>
      </c>
      <c r="P1191" t="str">
        <f>"4170053713                    "</f>
        <v xml:space="preserve">4170053713                    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>
        <v>23.09</v>
      </c>
      <c r="AR1191">
        <v>0</v>
      </c>
      <c r="AS1191">
        <v>0</v>
      </c>
      <c r="AT1191">
        <v>0</v>
      </c>
      <c r="AU1191">
        <v>0</v>
      </c>
      <c r="AV1191">
        <v>0</v>
      </c>
      <c r="AW1191">
        <v>0</v>
      </c>
      <c r="AX1191">
        <v>0</v>
      </c>
      <c r="AY1191">
        <v>0</v>
      </c>
      <c r="AZ1191">
        <v>0</v>
      </c>
      <c r="BA1191">
        <v>0</v>
      </c>
      <c r="BB1191">
        <v>0</v>
      </c>
      <c r="BC1191">
        <v>0</v>
      </c>
      <c r="BD1191">
        <v>0</v>
      </c>
      <c r="BE1191">
        <v>0</v>
      </c>
      <c r="BF1191">
        <v>0</v>
      </c>
      <c r="BG1191">
        <v>0</v>
      </c>
      <c r="BH1191">
        <v>1</v>
      </c>
      <c r="BI1191">
        <v>1</v>
      </c>
      <c r="BJ1191">
        <v>0.2</v>
      </c>
      <c r="BK1191">
        <v>1</v>
      </c>
      <c r="BL1191">
        <v>71.69</v>
      </c>
      <c r="BM1191">
        <v>10.75</v>
      </c>
      <c r="BN1191">
        <v>82.44</v>
      </c>
      <c r="BO1191">
        <v>82.44</v>
      </c>
      <c r="BQ1191" t="s">
        <v>888</v>
      </c>
      <c r="BR1191" t="s">
        <v>84</v>
      </c>
      <c r="BS1191" s="3">
        <v>45880</v>
      </c>
      <c r="BT1191" s="4">
        <v>0.50069444444444444</v>
      </c>
      <c r="BU1191" t="s">
        <v>889</v>
      </c>
      <c r="BV1191" t="s">
        <v>86</v>
      </c>
      <c r="BY1191">
        <v>1200</v>
      </c>
      <c r="CC1191" t="s">
        <v>124</v>
      </c>
      <c r="CD1191">
        <v>7800</v>
      </c>
      <c r="CE1191" t="s">
        <v>109</v>
      </c>
      <c r="CF1191" s="3">
        <v>45881</v>
      </c>
      <c r="CI1191">
        <v>1</v>
      </c>
      <c r="CJ1191">
        <v>1</v>
      </c>
      <c r="CK1191">
        <v>21</v>
      </c>
      <c r="CL1191" t="s">
        <v>90</v>
      </c>
    </row>
    <row r="1192" spans="1:90" x14ac:dyDescent="0.3">
      <c r="A1192" t="s">
        <v>72</v>
      </c>
      <c r="B1192" t="s">
        <v>73</v>
      </c>
      <c r="C1192" t="s">
        <v>74</v>
      </c>
      <c r="E1192" t="str">
        <f>"080067115761"</f>
        <v>080067115761</v>
      </c>
      <c r="F1192" s="3">
        <v>45877</v>
      </c>
      <c r="G1192">
        <v>202605</v>
      </c>
      <c r="H1192" t="s">
        <v>75</v>
      </c>
      <c r="I1192" t="s">
        <v>76</v>
      </c>
      <c r="J1192" t="s">
        <v>77</v>
      </c>
      <c r="K1192" t="s">
        <v>78</v>
      </c>
      <c r="L1192" t="s">
        <v>278</v>
      </c>
      <c r="M1192" t="s">
        <v>279</v>
      </c>
      <c r="N1192" t="s">
        <v>690</v>
      </c>
      <c r="O1192" t="s">
        <v>82</v>
      </c>
      <c r="P1192" t="str">
        <f>"4170053839                    "</f>
        <v xml:space="preserve">4170053839                    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34.619999999999997</v>
      </c>
      <c r="AR1192">
        <v>0</v>
      </c>
      <c r="AS1192">
        <v>0</v>
      </c>
      <c r="AT1192">
        <v>0</v>
      </c>
      <c r="AU1192">
        <v>0</v>
      </c>
      <c r="AV1192">
        <v>0</v>
      </c>
      <c r="AW1192">
        <v>0</v>
      </c>
      <c r="AX1192">
        <v>0</v>
      </c>
      <c r="AY1192">
        <v>0</v>
      </c>
      <c r="AZ1192">
        <v>0</v>
      </c>
      <c r="BA1192">
        <v>0</v>
      </c>
      <c r="BB1192">
        <v>0</v>
      </c>
      <c r="BC1192">
        <v>0</v>
      </c>
      <c r="BD1192">
        <v>0</v>
      </c>
      <c r="BE1192">
        <v>0</v>
      </c>
      <c r="BF1192">
        <v>0</v>
      </c>
      <c r="BG1192">
        <v>0</v>
      </c>
      <c r="BH1192">
        <v>1</v>
      </c>
      <c r="BI1192">
        <v>3</v>
      </c>
      <c r="BJ1192">
        <v>1.4</v>
      </c>
      <c r="BK1192">
        <v>3</v>
      </c>
      <c r="BL1192">
        <v>107.5</v>
      </c>
      <c r="BM1192">
        <v>16.13</v>
      </c>
      <c r="BN1192">
        <v>123.63</v>
      </c>
      <c r="BO1192">
        <v>123.63</v>
      </c>
      <c r="BQ1192" t="s">
        <v>691</v>
      </c>
      <c r="BR1192" t="s">
        <v>84</v>
      </c>
      <c r="BS1192" s="3">
        <v>45880</v>
      </c>
      <c r="BT1192" s="4">
        <v>0.29791666666666666</v>
      </c>
      <c r="BU1192" t="s">
        <v>1959</v>
      </c>
      <c r="BV1192" t="s">
        <v>86</v>
      </c>
      <c r="BY1192">
        <v>7000</v>
      </c>
      <c r="CA1192" t="s">
        <v>693</v>
      </c>
      <c r="CC1192" t="s">
        <v>279</v>
      </c>
      <c r="CD1192" s="5" t="s">
        <v>289</v>
      </c>
      <c r="CE1192" t="s">
        <v>147</v>
      </c>
      <c r="CF1192" s="3">
        <v>45880</v>
      </c>
      <c r="CI1192">
        <v>1</v>
      </c>
      <c r="CJ1192">
        <v>1</v>
      </c>
      <c r="CK1192">
        <v>21</v>
      </c>
      <c r="CL1192" t="s">
        <v>90</v>
      </c>
    </row>
    <row r="1193" spans="1:90" x14ac:dyDescent="0.3">
      <c r="A1193" t="s">
        <v>72</v>
      </c>
      <c r="B1193" t="s">
        <v>73</v>
      </c>
      <c r="C1193" t="s">
        <v>74</v>
      </c>
      <c r="E1193" t="str">
        <f>"080067115765"</f>
        <v>080067115765</v>
      </c>
      <c r="F1193" s="3">
        <v>45877</v>
      </c>
      <c r="G1193">
        <v>202605</v>
      </c>
      <c r="H1193" t="s">
        <v>75</v>
      </c>
      <c r="I1193" t="s">
        <v>76</v>
      </c>
      <c r="J1193" t="s">
        <v>77</v>
      </c>
      <c r="K1193" t="s">
        <v>78</v>
      </c>
      <c r="L1193" t="s">
        <v>198</v>
      </c>
      <c r="M1193" t="s">
        <v>199</v>
      </c>
      <c r="N1193" t="s">
        <v>680</v>
      </c>
      <c r="O1193" t="s">
        <v>82</v>
      </c>
      <c r="P1193" t="str">
        <f>"4170053819                    "</f>
        <v xml:space="preserve">4170053819                    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23.09</v>
      </c>
      <c r="AR1193">
        <v>0</v>
      </c>
      <c r="AS1193">
        <v>0</v>
      </c>
      <c r="AT1193">
        <v>0</v>
      </c>
      <c r="AU1193">
        <v>0</v>
      </c>
      <c r="AV1193">
        <v>0</v>
      </c>
      <c r="AW1193">
        <v>0</v>
      </c>
      <c r="AX1193">
        <v>0</v>
      </c>
      <c r="AY1193">
        <v>0</v>
      </c>
      <c r="AZ1193">
        <v>0</v>
      </c>
      <c r="BA1193">
        <v>0</v>
      </c>
      <c r="BB1193">
        <v>0</v>
      </c>
      <c r="BC1193">
        <v>0</v>
      </c>
      <c r="BD1193">
        <v>0</v>
      </c>
      <c r="BE1193">
        <v>0</v>
      </c>
      <c r="BF1193">
        <v>0</v>
      </c>
      <c r="BG1193">
        <v>0</v>
      </c>
      <c r="BH1193">
        <v>1</v>
      </c>
      <c r="BI1193">
        <v>1</v>
      </c>
      <c r="BJ1193">
        <v>0.2</v>
      </c>
      <c r="BK1193">
        <v>1</v>
      </c>
      <c r="BL1193">
        <v>71.69</v>
      </c>
      <c r="BM1193">
        <v>10.75</v>
      </c>
      <c r="BN1193">
        <v>82.44</v>
      </c>
      <c r="BO1193">
        <v>82.44</v>
      </c>
      <c r="BQ1193" t="s">
        <v>681</v>
      </c>
      <c r="BR1193" t="s">
        <v>84</v>
      </c>
      <c r="BS1193" s="3">
        <v>45880</v>
      </c>
      <c r="BT1193" s="4">
        <v>0.38819444444444445</v>
      </c>
      <c r="BU1193" t="s">
        <v>682</v>
      </c>
      <c r="BV1193" t="s">
        <v>86</v>
      </c>
      <c r="BY1193">
        <v>1200</v>
      </c>
      <c r="CA1193" t="s">
        <v>413</v>
      </c>
      <c r="CC1193" t="s">
        <v>199</v>
      </c>
      <c r="CD1193">
        <v>6001</v>
      </c>
      <c r="CE1193" t="s">
        <v>109</v>
      </c>
      <c r="CF1193" s="3">
        <v>45880</v>
      </c>
      <c r="CI1193">
        <v>1</v>
      </c>
      <c r="CJ1193">
        <v>1</v>
      </c>
      <c r="CK1193">
        <v>21</v>
      </c>
      <c r="CL1193" t="s">
        <v>90</v>
      </c>
    </row>
    <row r="1194" spans="1:90" x14ac:dyDescent="0.3">
      <c r="A1194" t="s">
        <v>72</v>
      </c>
      <c r="B1194" t="s">
        <v>73</v>
      </c>
      <c r="C1194" t="s">
        <v>74</v>
      </c>
      <c r="E1194" t="str">
        <f>"080067115784"</f>
        <v>080067115784</v>
      </c>
      <c r="F1194" s="3">
        <v>45877</v>
      </c>
      <c r="G1194">
        <v>202605</v>
      </c>
      <c r="H1194" t="s">
        <v>75</v>
      </c>
      <c r="I1194" t="s">
        <v>76</v>
      </c>
      <c r="J1194" t="s">
        <v>77</v>
      </c>
      <c r="K1194" t="s">
        <v>78</v>
      </c>
      <c r="L1194" t="s">
        <v>234</v>
      </c>
      <c r="M1194" t="s">
        <v>235</v>
      </c>
      <c r="N1194" t="s">
        <v>236</v>
      </c>
      <c r="O1194" t="s">
        <v>82</v>
      </c>
      <c r="P1194" t="str">
        <f>"4170053856                    "</f>
        <v xml:space="preserve">4170053856                    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23.09</v>
      </c>
      <c r="AR1194">
        <v>0</v>
      </c>
      <c r="AS1194">
        <v>0</v>
      </c>
      <c r="AT1194">
        <v>0</v>
      </c>
      <c r="AU1194">
        <v>0</v>
      </c>
      <c r="AV1194">
        <v>0</v>
      </c>
      <c r="AW1194">
        <v>0</v>
      </c>
      <c r="AX1194">
        <v>0</v>
      </c>
      <c r="AY1194">
        <v>0</v>
      </c>
      <c r="AZ1194">
        <v>0</v>
      </c>
      <c r="BA1194">
        <v>0</v>
      </c>
      <c r="BB1194">
        <v>0</v>
      </c>
      <c r="BC1194">
        <v>0</v>
      </c>
      <c r="BD1194">
        <v>0</v>
      </c>
      <c r="BE1194">
        <v>0</v>
      </c>
      <c r="BF1194">
        <v>0</v>
      </c>
      <c r="BG1194">
        <v>0</v>
      </c>
      <c r="BH1194">
        <v>1</v>
      </c>
      <c r="BI1194">
        <v>1</v>
      </c>
      <c r="BJ1194">
        <v>0.2</v>
      </c>
      <c r="BK1194">
        <v>1</v>
      </c>
      <c r="BL1194">
        <v>71.69</v>
      </c>
      <c r="BM1194">
        <v>10.75</v>
      </c>
      <c r="BN1194">
        <v>82.44</v>
      </c>
      <c r="BO1194">
        <v>82.44</v>
      </c>
      <c r="BQ1194" t="s">
        <v>237</v>
      </c>
      <c r="BR1194" t="s">
        <v>84</v>
      </c>
      <c r="BS1194" s="3">
        <v>45880</v>
      </c>
      <c r="BT1194" s="4">
        <v>0.37708333333333333</v>
      </c>
      <c r="BU1194" t="s">
        <v>650</v>
      </c>
      <c r="BV1194" t="s">
        <v>86</v>
      </c>
      <c r="BY1194">
        <v>1200</v>
      </c>
      <c r="CA1194" t="s">
        <v>239</v>
      </c>
      <c r="CC1194" t="s">
        <v>235</v>
      </c>
      <c r="CD1194" s="5" t="s">
        <v>240</v>
      </c>
      <c r="CE1194" t="s">
        <v>109</v>
      </c>
      <c r="CF1194" s="3">
        <v>45880</v>
      </c>
      <c r="CI1194">
        <v>1</v>
      </c>
      <c r="CJ1194">
        <v>1</v>
      </c>
      <c r="CK1194">
        <v>21</v>
      </c>
      <c r="CL1194" t="s">
        <v>90</v>
      </c>
    </row>
    <row r="1195" spans="1:90" x14ac:dyDescent="0.3">
      <c r="A1195" t="s">
        <v>72</v>
      </c>
      <c r="B1195" t="s">
        <v>73</v>
      </c>
      <c r="C1195" t="s">
        <v>74</v>
      </c>
      <c r="E1195" t="str">
        <f>"080067115814"</f>
        <v>080067115814</v>
      </c>
      <c r="F1195" s="3">
        <v>45877</v>
      </c>
      <c r="G1195">
        <v>202605</v>
      </c>
      <c r="H1195" t="s">
        <v>75</v>
      </c>
      <c r="I1195" t="s">
        <v>76</v>
      </c>
      <c r="J1195" t="s">
        <v>77</v>
      </c>
      <c r="K1195" t="s">
        <v>78</v>
      </c>
      <c r="L1195" t="s">
        <v>179</v>
      </c>
      <c r="M1195" t="s">
        <v>180</v>
      </c>
      <c r="N1195" t="s">
        <v>275</v>
      </c>
      <c r="O1195" t="s">
        <v>82</v>
      </c>
      <c r="P1195" t="str">
        <f>"4170053892                    "</f>
        <v xml:space="preserve">4170053892                    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32.47</v>
      </c>
      <c r="AR1195">
        <v>0</v>
      </c>
      <c r="AS1195">
        <v>0</v>
      </c>
      <c r="AT1195">
        <v>0</v>
      </c>
      <c r="AU1195">
        <v>0</v>
      </c>
      <c r="AV1195">
        <v>0</v>
      </c>
      <c r="AW1195">
        <v>0</v>
      </c>
      <c r="AX1195">
        <v>0</v>
      </c>
      <c r="AY1195">
        <v>0</v>
      </c>
      <c r="AZ1195">
        <v>0</v>
      </c>
      <c r="BA1195">
        <v>0</v>
      </c>
      <c r="BB1195">
        <v>0</v>
      </c>
      <c r="BC1195">
        <v>0</v>
      </c>
      <c r="BD1195">
        <v>0</v>
      </c>
      <c r="BE1195">
        <v>0</v>
      </c>
      <c r="BF1195">
        <v>0</v>
      </c>
      <c r="BG1195">
        <v>0</v>
      </c>
      <c r="BH1195">
        <v>1</v>
      </c>
      <c r="BI1195">
        <v>1</v>
      </c>
      <c r="BJ1195">
        <v>0.2</v>
      </c>
      <c r="BK1195">
        <v>1</v>
      </c>
      <c r="BL1195">
        <v>100.82</v>
      </c>
      <c r="BM1195">
        <v>15.12</v>
      </c>
      <c r="BN1195">
        <v>115.94</v>
      </c>
      <c r="BO1195">
        <v>115.94</v>
      </c>
      <c r="BQ1195" t="s">
        <v>276</v>
      </c>
      <c r="BR1195" t="s">
        <v>84</v>
      </c>
      <c r="BS1195" s="3">
        <v>45880</v>
      </c>
      <c r="BT1195" s="4">
        <v>0.41944444444444445</v>
      </c>
      <c r="BU1195" t="s">
        <v>1658</v>
      </c>
      <c r="BV1195" t="s">
        <v>86</v>
      </c>
      <c r="BY1195">
        <v>1200</v>
      </c>
      <c r="CA1195" t="s">
        <v>184</v>
      </c>
      <c r="CC1195" t="s">
        <v>180</v>
      </c>
      <c r="CD1195">
        <v>1748</v>
      </c>
      <c r="CE1195" t="s">
        <v>109</v>
      </c>
      <c r="CF1195" s="3">
        <v>45881</v>
      </c>
      <c r="CI1195">
        <v>1</v>
      </c>
      <c r="CJ1195">
        <v>1</v>
      </c>
      <c r="CK1195">
        <v>24</v>
      </c>
      <c r="CL1195" t="s">
        <v>90</v>
      </c>
    </row>
    <row r="1196" spans="1:90" x14ac:dyDescent="0.3">
      <c r="A1196" t="s">
        <v>72</v>
      </c>
      <c r="B1196" t="s">
        <v>73</v>
      </c>
      <c r="C1196" t="s">
        <v>74</v>
      </c>
      <c r="E1196" t="str">
        <f>"080067115844"</f>
        <v>080067115844</v>
      </c>
      <c r="F1196" s="3">
        <v>45877</v>
      </c>
      <c r="G1196">
        <v>202605</v>
      </c>
      <c r="H1196" t="s">
        <v>75</v>
      </c>
      <c r="I1196" t="s">
        <v>76</v>
      </c>
      <c r="J1196" t="s">
        <v>77</v>
      </c>
      <c r="K1196" t="s">
        <v>78</v>
      </c>
      <c r="L1196" t="s">
        <v>137</v>
      </c>
      <c r="M1196" t="s">
        <v>138</v>
      </c>
      <c r="N1196" t="s">
        <v>781</v>
      </c>
      <c r="O1196" t="s">
        <v>82</v>
      </c>
      <c r="P1196" t="str">
        <f>"4170053711                    "</f>
        <v xml:space="preserve">4170053711                    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23.09</v>
      </c>
      <c r="AR1196">
        <v>0</v>
      </c>
      <c r="AS1196">
        <v>0</v>
      </c>
      <c r="AT1196">
        <v>0</v>
      </c>
      <c r="AU1196">
        <v>0</v>
      </c>
      <c r="AV1196">
        <v>0</v>
      </c>
      <c r="AW1196">
        <v>0</v>
      </c>
      <c r="AX1196">
        <v>0</v>
      </c>
      <c r="AY1196">
        <v>0</v>
      </c>
      <c r="AZ1196">
        <v>0</v>
      </c>
      <c r="BA1196">
        <v>0</v>
      </c>
      <c r="BB1196">
        <v>0</v>
      </c>
      <c r="BC1196">
        <v>0</v>
      </c>
      <c r="BD1196">
        <v>0</v>
      </c>
      <c r="BE1196">
        <v>0</v>
      </c>
      <c r="BF1196">
        <v>0</v>
      </c>
      <c r="BG1196">
        <v>0</v>
      </c>
      <c r="BH1196">
        <v>1</v>
      </c>
      <c r="BI1196">
        <v>1</v>
      </c>
      <c r="BJ1196">
        <v>0.2</v>
      </c>
      <c r="BK1196">
        <v>1</v>
      </c>
      <c r="BL1196">
        <v>71.69</v>
      </c>
      <c r="BM1196">
        <v>10.75</v>
      </c>
      <c r="BN1196">
        <v>82.44</v>
      </c>
      <c r="BO1196">
        <v>82.44</v>
      </c>
      <c r="BQ1196" t="s">
        <v>782</v>
      </c>
      <c r="BR1196" t="s">
        <v>84</v>
      </c>
      <c r="BS1196" s="3">
        <v>45880</v>
      </c>
      <c r="BT1196" s="4">
        <v>0.4548611111111111</v>
      </c>
      <c r="BU1196" t="s">
        <v>952</v>
      </c>
      <c r="BV1196" t="s">
        <v>86</v>
      </c>
      <c r="BY1196">
        <v>1200</v>
      </c>
      <c r="CA1196" t="s">
        <v>953</v>
      </c>
      <c r="CC1196" t="s">
        <v>138</v>
      </c>
      <c r="CD1196">
        <v>3610</v>
      </c>
      <c r="CE1196" t="s">
        <v>109</v>
      </c>
      <c r="CF1196" s="3">
        <v>45881</v>
      </c>
      <c r="CI1196">
        <v>1</v>
      </c>
      <c r="CJ1196">
        <v>1</v>
      </c>
      <c r="CK1196">
        <v>21</v>
      </c>
      <c r="CL1196" t="s">
        <v>90</v>
      </c>
    </row>
    <row r="1197" spans="1:90" x14ac:dyDescent="0.3">
      <c r="A1197" t="s">
        <v>72</v>
      </c>
      <c r="B1197" t="s">
        <v>73</v>
      </c>
      <c r="C1197" t="s">
        <v>74</v>
      </c>
      <c r="E1197" t="str">
        <f>"080067115882"</f>
        <v>080067115882</v>
      </c>
      <c r="F1197" s="3">
        <v>45877</v>
      </c>
      <c r="G1197">
        <v>202605</v>
      </c>
      <c r="H1197" t="s">
        <v>75</v>
      </c>
      <c r="I1197" t="s">
        <v>76</v>
      </c>
      <c r="J1197" t="s">
        <v>77</v>
      </c>
      <c r="K1197" t="s">
        <v>78</v>
      </c>
      <c r="L1197" t="s">
        <v>385</v>
      </c>
      <c r="M1197" t="s">
        <v>386</v>
      </c>
      <c r="N1197" t="s">
        <v>397</v>
      </c>
      <c r="O1197" t="s">
        <v>82</v>
      </c>
      <c r="P1197" t="str">
        <f>"4170053844                    "</f>
        <v xml:space="preserve">4170053844                    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18.03</v>
      </c>
      <c r="AR1197">
        <v>0</v>
      </c>
      <c r="AS1197">
        <v>0</v>
      </c>
      <c r="AT1197">
        <v>0</v>
      </c>
      <c r="AU1197">
        <v>0</v>
      </c>
      <c r="AV1197">
        <v>0</v>
      </c>
      <c r="AW1197">
        <v>0</v>
      </c>
      <c r="AX1197">
        <v>0</v>
      </c>
      <c r="AY1197">
        <v>0</v>
      </c>
      <c r="AZ1197">
        <v>0</v>
      </c>
      <c r="BA1197">
        <v>0</v>
      </c>
      <c r="BB1197">
        <v>0</v>
      </c>
      <c r="BC1197">
        <v>0</v>
      </c>
      <c r="BD1197">
        <v>0</v>
      </c>
      <c r="BE1197">
        <v>0</v>
      </c>
      <c r="BF1197">
        <v>0</v>
      </c>
      <c r="BG1197">
        <v>0</v>
      </c>
      <c r="BH1197">
        <v>1</v>
      </c>
      <c r="BI1197">
        <v>1</v>
      </c>
      <c r="BJ1197">
        <v>0.2</v>
      </c>
      <c r="BK1197">
        <v>1</v>
      </c>
      <c r="BL1197">
        <v>55.99</v>
      </c>
      <c r="BM1197">
        <v>8.4</v>
      </c>
      <c r="BN1197">
        <v>64.39</v>
      </c>
      <c r="BO1197">
        <v>64.39</v>
      </c>
      <c r="BQ1197" t="s">
        <v>398</v>
      </c>
      <c r="BR1197" t="s">
        <v>84</v>
      </c>
      <c r="BS1197" s="3">
        <v>45880</v>
      </c>
      <c r="BT1197" s="4">
        <v>0.43819444444444444</v>
      </c>
      <c r="BU1197" t="s">
        <v>1802</v>
      </c>
      <c r="BV1197" t="s">
        <v>86</v>
      </c>
      <c r="BY1197">
        <v>1200</v>
      </c>
      <c r="CA1197" t="s">
        <v>851</v>
      </c>
      <c r="CC1197" t="s">
        <v>386</v>
      </c>
      <c r="CD1197">
        <v>1559</v>
      </c>
      <c r="CE1197" t="s">
        <v>109</v>
      </c>
      <c r="CF1197" s="3">
        <v>45880</v>
      </c>
      <c r="CI1197">
        <v>1</v>
      </c>
      <c r="CJ1197">
        <v>1</v>
      </c>
      <c r="CK1197">
        <v>22</v>
      </c>
      <c r="CL1197" t="s">
        <v>90</v>
      </c>
    </row>
    <row r="1198" spans="1:90" x14ac:dyDescent="0.3">
      <c r="A1198" t="s">
        <v>72</v>
      </c>
      <c r="B1198" t="s">
        <v>73</v>
      </c>
      <c r="C1198" t="s">
        <v>74</v>
      </c>
      <c r="E1198" t="str">
        <f>"080067115909"</f>
        <v>080067115909</v>
      </c>
      <c r="F1198" s="3">
        <v>45877</v>
      </c>
      <c r="G1198">
        <v>202605</v>
      </c>
      <c r="H1198" t="s">
        <v>75</v>
      </c>
      <c r="I1198" t="s">
        <v>76</v>
      </c>
      <c r="J1198" t="s">
        <v>77</v>
      </c>
      <c r="K1198" t="s">
        <v>78</v>
      </c>
      <c r="L1198" t="s">
        <v>123</v>
      </c>
      <c r="M1198" t="s">
        <v>124</v>
      </c>
      <c r="N1198" t="s">
        <v>125</v>
      </c>
      <c r="O1198" t="s">
        <v>82</v>
      </c>
      <c r="P1198" t="str">
        <f>"4170053715                    "</f>
        <v xml:space="preserve">4170053715                    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23.09</v>
      </c>
      <c r="AR1198">
        <v>0</v>
      </c>
      <c r="AS1198">
        <v>0</v>
      </c>
      <c r="AT1198">
        <v>0</v>
      </c>
      <c r="AU1198">
        <v>0</v>
      </c>
      <c r="AV1198">
        <v>0</v>
      </c>
      <c r="AW1198">
        <v>0</v>
      </c>
      <c r="AX1198">
        <v>0</v>
      </c>
      <c r="AY1198">
        <v>0</v>
      </c>
      <c r="AZ1198">
        <v>0</v>
      </c>
      <c r="BA1198">
        <v>0</v>
      </c>
      <c r="BB1198">
        <v>0</v>
      </c>
      <c r="BC1198">
        <v>0</v>
      </c>
      <c r="BD1198">
        <v>0</v>
      </c>
      <c r="BE1198">
        <v>0</v>
      </c>
      <c r="BF1198">
        <v>0</v>
      </c>
      <c r="BG1198">
        <v>0</v>
      </c>
      <c r="BH1198">
        <v>1</v>
      </c>
      <c r="BI1198">
        <v>1</v>
      </c>
      <c r="BJ1198">
        <v>0.2</v>
      </c>
      <c r="BK1198">
        <v>1</v>
      </c>
      <c r="BL1198">
        <v>71.69</v>
      </c>
      <c r="BM1198">
        <v>10.75</v>
      </c>
      <c r="BN1198">
        <v>82.44</v>
      </c>
      <c r="BO1198">
        <v>82.44</v>
      </c>
      <c r="BQ1198" t="s">
        <v>126</v>
      </c>
      <c r="BR1198" t="s">
        <v>84</v>
      </c>
      <c r="BS1198" s="3">
        <v>45880</v>
      </c>
      <c r="BT1198" s="4">
        <v>0.3576388888888889</v>
      </c>
      <c r="BU1198" t="s">
        <v>605</v>
      </c>
      <c r="BV1198" t="s">
        <v>86</v>
      </c>
      <c r="BY1198">
        <v>1200</v>
      </c>
      <c r="CA1198" t="s">
        <v>128</v>
      </c>
      <c r="CC1198" t="s">
        <v>124</v>
      </c>
      <c r="CD1198">
        <v>7530</v>
      </c>
      <c r="CE1198" t="s">
        <v>109</v>
      </c>
      <c r="CF1198" s="3">
        <v>45881</v>
      </c>
      <c r="CI1198">
        <v>1</v>
      </c>
      <c r="CJ1198">
        <v>1</v>
      </c>
      <c r="CK1198">
        <v>21</v>
      </c>
      <c r="CL1198" t="s">
        <v>90</v>
      </c>
    </row>
    <row r="1199" spans="1:90" x14ac:dyDescent="0.3">
      <c r="A1199" t="s">
        <v>72</v>
      </c>
      <c r="B1199" t="s">
        <v>73</v>
      </c>
      <c r="C1199" t="s">
        <v>74</v>
      </c>
      <c r="E1199" t="str">
        <f>"080067115929"</f>
        <v>080067115929</v>
      </c>
      <c r="F1199" s="3">
        <v>45877</v>
      </c>
      <c r="G1199">
        <v>202605</v>
      </c>
      <c r="H1199" t="s">
        <v>75</v>
      </c>
      <c r="I1199" t="s">
        <v>76</v>
      </c>
      <c r="J1199" t="s">
        <v>77</v>
      </c>
      <c r="K1199" t="s">
        <v>78</v>
      </c>
      <c r="L1199" t="s">
        <v>223</v>
      </c>
      <c r="M1199" t="s">
        <v>224</v>
      </c>
      <c r="N1199" t="s">
        <v>939</v>
      </c>
      <c r="O1199" t="s">
        <v>82</v>
      </c>
      <c r="P1199" t="str">
        <f>"4170053824                    "</f>
        <v xml:space="preserve">4170053824                    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23.09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</v>
      </c>
      <c r="AX1199">
        <v>0</v>
      </c>
      <c r="AY1199">
        <v>0</v>
      </c>
      <c r="AZ1199">
        <v>0</v>
      </c>
      <c r="BA1199">
        <v>0</v>
      </c>
      <c r="BB1199">
        <v>0</v>
      </c>
      <c r="BC1199">
        <v>0</v>
      </c>
      <c r="BD1199">
        <v>0</v>
      </c>
      <c r="BE1199">
        <v>0</v>
      </c>
      <c r="BF1199">
        <v>0</v>
      </c>
      <c r="BG1199">
        <v>0</v>
      </c>
      <c r="BH1199">
        <v>1</v>
      </c>
      <c r="BI1199">
        <v>1</v>
      </c>
      <c r="BJ1199">
        <v>0.2</v>
      </c>
      <c r="BK1199">
        <v>1</v>
      </c>
      <c r="BL1199">
        <v>71.69</v>
      </c>
      <c r="BM1199">
        <v>10.75</v>
      </c>
      <c r="BN1199">
        <v>82.44</v>
      </c>
      <c r="BO1199">
        <v>82.44</v>
      </c>
      <c r="BQ1199" t="s">
        <v>940</v>
      </c>
      <c r="BR1199" t="s">
        <v>84</v>
      </c>
      <c r="BS1199" s="3">
        <v>45880</v>
      </c>
      <c r="BT1199" s="4">
        <v>0.54861111111111116</v>
      </c>
      <c r="BU1199" t="s">
        <v>1960</v>
      </c>
      <c r="BV1199" t="s">
        <v>86</v>
      </c>
      <c r="BY1199">
        <v>1200</v>
      </c>
      <c r="CA1199" t="s">
        <v>228</v>
      </c>
      <c r="CC1199" t="s">
        <v>224</v>
      </c>
      <c r="CD1199">
        <v>5201</v>
      </c>
      <c r="CE1199" t="s">
        <v>109</v>
      </c>
      <c r="CF1199" s="3">
        <v>45881</v>
      </c>
      <c r="CI1199">
        <v>1</v>
      </c>
      <c r="CJ1199">
        <v>1</v>
      </c>
      <c r="CK1199">
        <v>21</v>
      </c>
      <c r="CL1199" t="s">
        <v>90</v>
      </c>
    </row>
    <row r="1200" spans="1:90" x14ac:dyDescent="0.3">
      <c r="A1200" t="s">
        <v>72</v>
      </c>
      <c r="B1200" t="s">
        <v>73</v>
      </c>
      <c r="C1200" t="s">
        <v>74</v>
      </c>
      <c r="E1200" t="str">
        <f>"080067115931"</f>
        <v>080067115931</v>
      </c>
      <c r="F1200" s="3">
        <v>45877</v>
      </c>
      <c r="G1200">
        <v>202605</v>
      </c>
      <c r="H1200" t="s">
        <v>75</v>
      </c>
      <c r="I1200" t="s">
        <v>76</v>
      </c>
      <c r="J1200" t="s">
        <v>77</v>
      </c>
      <c r="K1200" t="s">
        <v>78</v>
      </c>
      <c r="L1200" t="s">
        <v>241</v>
      </c>
      <c r="M1200" t="s">
        <v>242</v>
      </c>
      <c r="N1200" t="s">
        <v>1961</v>
      </c>
      <c r="O1200" t="s">
        <v>95</v>
      </c>
      <c r="P1200" t="str">
        <f>"4170053684                    "</f>
        <v xml:space="preserve">4170053684                    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41.5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</v>
      </c>
      <c r="AX1200">
        <v>0</v>
      </c>
      <c r="AY1200">
        <v>0</v>
      </c>
      <c r="AZ1200">
        <v>0</v>
      </c>
      <c r="BA1200">
        <v>0</v>
      </c>
      <c r="BB1200">
        <v>0</v>
      </c>
      <c r="BC1200">
        <v>0</v>
      </c>
      <c r="BD1200">
        <v>0</v>
      </c>
      <c r="BE1200">
        <v>0</v>
      </c>
      <c r="BF1200">
        <v>0</v>
      </c>
      <c r="BG1200">
        <v>0</v>
      </c>
      <c r="BH1200">
        <v>1</v>
      </c>
      <c r="BI1200">
        <v>22</v>
      </c>
      <c r="BJ1200">
        <v>8.9</v>
      </c>
      <c r="BK1200">
        <v>22</v>
      </c>
      <c r="BL1200">
        <v>134.72999999999999</v>
      </c>
      <c r="BM1200">
        <v>20.21</v>
      </c>
      <c r="BN1200">
        <v>154.94</v>
      </c>
      <c r="BO1200">
        <v>154.94</v>
      </c>
      <c r="BQ1200" t="s">
        <v>1962</v>
      </c>
      <c r="BR1200" t="s">
        <v>84</v>
      </c>
      <c r="BS1200" s="3">
        <v>45880</v>
      </c>
      <c r="BT1200" s="4">
        <v>0.36875000000000002</v>
      </c>
      <c r="BU1200" t="s">
        <v>1963</v>
      </c>
      <c r="BV1200" t="s">
        <v>86</v>
      </c>
      <c r="BY1200">
        <v>44640</v>
      </c>
      <c r="CA1200" t="s">
        <v>576</v>
      </c>
      <c r="CC1200" t="s">
        <v>242</v>
      </c>
      <c r="CD1200">
        <v>1459</v>
      </c>
      <c r="CE1200" t="s">
        <v>147</v>
      </c>
      <c r="CF1200" s="3">
        <v>45881</v>
      </c>
      <c r="CI1200">
        <v>1</v>
      </c>
      <c r="CJ1200">
        <v>1</v>
      </c>
      <c r="CK1200">
        <v>42</v>
      </c>
      <c r="CL1200" t="s">
        <v>90</v>
      </c>
    </row>
    <row r="1201" spans="1:90" x14ac:dyDescent="0.3">
      <c r="A1201" t="s">
        <v>72</v>
      </c>
      <c r="B1201" t="s">
        <v>73</v>
      </c>
      <c r="C1201" t="s">
        <v>74</v>
      </c>
      <c r="E1201" t="str">
        <f>"080067115961"</f>
        <v>080067115961</v>
      </c>
      <c r="F1201" s="3">
        <v>45877</v>
      </c>
      <c r="G1201">
        <v>202605</v>
      </c>
      <c r="H1201" t="s">
        <v>75</v>
      </c>
      <c r="I1201" t="s">
        <v>76</v>
      </c>
      <c r="J1201" t="s">
        <v>77</v>
      </c>
      <c r="K1201" t="s">
        <v>78</v>
      </c>
      <c r="L1201" t="s">
        <v>325</v>
      </c>
      <c r="M1201" t="s">
        <v>326</v>
      </c>
      <c r="N1201" t="s">
        <v>980</v>
      </c>
      <c r="O1201" t="s">
        <v>82</v>
      </c>
      <c r="P1201" t="str">
        <f>"4170053814                    "</f>
        <v xml:space="preserve">4170053814                    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18.03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  <c r="AX1201">
        <v>0</v>
      </c>
      <c r="AY1201">
        <v>0</v>
      </c>
      <c r="AZ1201">
        <v>0</v>
      </c>
      <c r="BA1201">
        <v>0</v>
      </c>
      <c r="BB1201">
        <v>0</v>
      </c>
      <c r="BC1201">
        <v>0</v>
      </c>
      <c r="BD1201">
        <v>0</v>
      </c>
      <c r="BE1201">
        <v>0</v>
      </c>
      <c r="BF1201">
        <v>0</v>
      </c>
      <c r="BG1201">
        <v>0</v>
      </c>
      <c r="BH1201">
        <v>1</v>
      </c>
      <c r="BI1201">
        <v>1</v>
      </c>
      <c r="BJ1201">
        <v>0.2</v>
      </c>
      <c r="BK1201">
        <v>1</v>
      </c>
      <c r="BL1201">
        <v>55.99</v>
      </c>
      <c r="BM1201">
        <v>8.4</v>
      </c>
      <c r="BN1201">
        <v>64.39</v>
      </c>
      <c r="BO1201">
        <v>64.39</v>
      </c>
      <c r="BQ1201" t="s">
        <v>981</v>
      </c>
      <c r="BR1201" t="s">
        <v>84</v>
      </c>
      <c r="BS1201" s="3">
        <v>45880</v>
      </c>
      <c r="BT1201" s="4">
        <v>0.39583333333333331</v>
      </c>
      <c r="BU1201" t="s">
        <v>982</v>
      </c>
      <c r="BV1201" t="s">
        <v>86</v>
      </c>
      <c r="BY1201">
        <v>1200</v>
      </c>
      <c r="CA1201" t="s">
        <v>461</v>
      </c>
      <c r="CC1201" t="s">
        <v>326</v>
      </c>
      <c r="CD1201">
        <v>2094</v>
      </c>
      <c r="CE1201" t="s">
        <v>109</v>
      </c>
      <c r="CF1201" s="3">
        <v>45880</v>
      </c>
      <c r="CI1201">
        <v>1</v>
      </c>
      <c r="CJ1201">
        <v>1</v>
      </c>
      <c r="CK1201">
        <v>22</v>
      </c>
      <c r="CL1201" t="s">
        <v>90</v>
      </c>
    </row>
    <row r="1202" spans="1:90" x14ac:dyDescent="0.3">
      <c r="A1202" t="s">
        <v>72</v>
      </c>
      <c r="B1202" t="s">
        <v>73</v>
      </c>
      <c r="C1202" t="s">
        <v>74</v>
      </c>
      <c r="E1202" t="str">
        <f>"080067115979"</f>
        <v>080067115979</v>
      </c>
      <c r="F1202" s="3">
        <v>45877</v>
      </c>
      <c r="G1202">
        <v>202605</v>
      </c>
      <c r="H1202" t="s">
        <v>75</v>
      </c>
      <c r="I1202" t="s">
        <v>76</v>
      </c>
      <c r="J1202" t="s">
        <v>77</v>
      </c>
      <c r="K1202" t="s">
        <v>78</v>
      </c>
      <c r="L1202" t="s">
        <v>400</v>
      </c>
      <c r="M1202" t="s">
        <v>401</v>
      </c>
      <c r="N1202" t="s">
        <v>1597</v>
      </c>
      <c r="O1202" t="s">
        <v>82</v>
      </c>
      <c r="P1202" t="str">
        <f>"4170053751                    "</f>
        <v xml:space="preserve">4170053751                    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23.09</v>
      </c>
      <c r="AR1202">
        <v>0</v>
      </c>
      <c r="AS1202">
        <v>0</v>
      </c>
      <c r="AT1202">
        <v>0</v>
      </c>
      <c r="AU1202">
        <v>0</v>
      </c>
      <c r="AV1202">
        <v>0</v>
      </c>
      <c r="AW1202">
        <v>0</v>
      </c>
      <c r="AX1202">
        <v>0</v>
      </c>
      <c r="AY1202">
        <v>0</v>
      </c>
      <c r="AZ1202">
        <v>0</v>
      </c>
      <c r="BA1202">
        <v>0</v>
      </c>
      <c r="BB1202">
        <v>0</v>
      </c>
      <c r="BC1202">
        <v>0</v>
      </c>
      <c r="BD1202">
        <v>0</v>
      </c>
      <c r="BE1202">
        <v>0</v>
      </c>
      <c r="BF1202">
        <v>0</v>
      </c>
      <c r="BG1202">
        <v>0</v>
      </c>
      <c r="BH1202">
        <v>1</v>
      </c>
      <c r="BI1202">
        <v>1</v>
      </c>
      <c r="BJ1202">
        <v>0.2</v>
      </c>
      <c r="BK1202">
        <v>1</v>
      </c>
      <c r="BL1202">
        <v>71.69</v>
      </c>
      <c r="BM1202">
        <v>10.75</v>
      </c>
      <c r="BN1202">
        <v>82.44</v>
      </c>
      <c r="BO1202">
        <v>82.44</v>
      </c>
      <c r="BQ1202" t="s">
        <v>1598</v>
      </c>
      <c r="BR1202" t="s">
        <v>84</v>
      </c>
      <c r="BS1202" s="3">
        <v>45880</v>
      </c>
      <c r="BT1202" s="4">
        <v>0.37152777777777779</v>
      </c>
      <c r="BU1202" t="s">
        <v>1964</v>
      </c>
      <c r="BV1202" t="s">
        <v>86</v>
      </c>
      <c r="BY1202">
        <v>1200</v>
      </c>
      <c r="CA1202" t="s">
        <v>405</v>
      </c>
      <c r="CC1202" t="s">
        <v>401</v>
      </c>
      <c r="CD1202">
        <v>6229</v>
      </c>
      <c r="CE1202" t="s">
        <v>109</v>
      </c>
      <c r="CF1202" s="3">
        <v>45881</v>
      </c>
      <c r="CI1202">
        <v>1</v>
      </c>
      <c r="CJ1202">
        <v>1</v>
      </c>
      <c r="CK1202">
        <v>21</v>
      </c>
      <c r="CL1202" t="s">
        <v>90</v>
      </c>
    </row>
    <row r="1203" spans="1:90" x14ac:dyDescent="0.3">
      <c r="A1203" t="s">
        <v>72</v>
      </c>
      <c r="B1203" t="s">
        <v>73</v>
      </c>
      <c r="C1203" t="s">
        <v>74</v>
      </c>
      <c r="E1203" t="str">
        <f>"080067115995"</f>
        <v>080067115995</v>
      </c>
      <c r="F1203" s="3">
        <v>45877</v>
      </c>
      <c r="G1203">
        <v>202605</v>
      </c>
      <c r="H1203" t="s">
        <v>75</v>
      </c>
      <c r="I1203" t="s">
        <v>76</v>
      </c>
      <c r="J1203" t="s">
        <v>77</v>
      </c>
      <c r="K1203" t="s">
        <v>78</v>
      </c>
      <c r="L1203" t="s">
        <v>335</v>
      </c>
      <c r="M1203" t="s">
        <v>336</v>
      </c>
      <c r="N1203" t="s">
        <v>727</v>
      </c>
      <c r="O1203" t="s">
        <v>82</v>
      </c>
      <c r="P1203" t="str">
        <f>"4170053686                    "</f>
        <v xml:space="preserve">4170053686                    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>
        <v>44.73</v>
      </c>
      <c r="AR1203">
        <v>0</v>
      </c>
      <c r="AS1203">
        <v>0</v>
      </c>
      <c r="AT1203">
        <v>0</v>
      </c>
      <c r="AU1203">
        <v>0</v>
      </c>
      <c r="AV1203">
        <v>0</v>
      </c>
      <c r="AW1203">
        <v>0</v>
      </c>
      <c r="AX1203">
        <v>0</v>
      </c>
      <c r="AY1203">
        <v>0</v>
      </c>
      <c r="AZ1203">
        <v>0</v>
      </c>
      <c r="BA1203">
        <v>0</v>
      </c>
      <c r="BB1203">
        <v>0</v>
      </c>
      <c r="BC1203">
        <v>0</v>
      </c>
      <c r="BD1203">
        <v>0</v>
      </c>
      <c r="BE1203">
        <v>0</v>
      </c>
      <c r="BF1203">
        <v>0</v>
      </c>
      <c r="BG1203">
        <v>0</v>
      </c>
      <c r="BH1203">
        <v>1</v>
      </c>
      <c r="BI1203">
        <v>1</v>
      </c>
      <c r="BJ1203">
        <v>0.2</v>
      </c>
      <c r="BK1203">
        <v>1</v>
      </c>
      <c r="BL1203">
        <v>138.88999999999999</v>
      </c>
      <c r="BM1203">
        <v>20.83</v>
      </c>
      <c r="BN1203">
        <v>159.72</v>
      </c>
      <c r="BO1203">
        <v>159.72</v>
      </c>
      <c r="BQ1203" t="s">
        <v>728</v>
      </c>
      <c r="BR1203" t="s">
        <v>84</v>
      </c>
      <c r="BS1203" s="3">
        <v>45880</v>
      </c>
      <c r="BT1203" s="4">
        <v>0.43541666666666667</v>
      </c>
      <c r="BU1203" t="s">
        <v>1587</v>
      </c>
      <c r="BV1203" t="s">
        <v>86</v>
      </c>
      <c r="BY1203">
        <v>1200</v>
      </c>
      <c r="BZ1203" t="s">
        <v>330</v>
      </c>
      <c r="CA1203" t="s">
        <v>730</v>
      </c>
      <c r="CC1203" t="s">
        <v>336</v>
      </c>
      <c r="CD1203" s="5" t="s">
        <v>341</v>
      </c>
      <c r="CE1203" t="s">
        <v>109</v>
      </c>
      <c r="CF1203" s="3">
        <v>45881</v>
      </c>
      <c r="CI1203">
        <v>1</v>
      </c>
      <c r="CJ1203">
        <v>1</v>
      </c>
      <c r="CK1203">
        <v>23</v>
      </c>
      <c r="CL1203" t="s">
        <v>90</v>
      </c>
    </row>
    <row r="1204" spans="1:90" x14ac:dyDescent="0.3">
      <c r="A1204" t="s">
        <v>72</v>
      </c>
      <c r="B1204" t="s">
        <v>73</v>
      </c>
      <c r="C1204" t="s">
        <v>74</v>
      </c>
      <c r="E1204" t="str">
        <f>"080067116005"</f>
        <v>080067116005</v>
      </c>
      <c r="F1204" s="3">
        <v>45877</v>
      </c>
      <c r="G1204">
        <v>202605</v>
      </c>
      <c r="H1204" t="s">
        <v>75</v>
      </c>
      <c r="I1204" t="s">
        <v>76</v>
      </c>
      <c r="J1204" t="s">
        <v>77</v>
      </c>
      <c r="K1204" t="s">
        <v>78</v>
      </c>
      <c r="L1204" t="s">
        <v>118</v>
      </c>
      <c r="M1204" t="s">
        <v>118</v>
      </c>
      <c r="N1204" t="s">
        <v>1965</v>
      </c>
      <c r="O1204" t="s">
        <v>82</v>
      </c>
      <c r="P1204" t="str">
        <f>"4170053764                    "</f>
        <v xml:space="preserve">4170053764                    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>
        <v>44.73</v>
      </c>
      <c r="AR1204">
        <v>0</v>
      </c>
      <c r="AS1204">
        <v>0</v>
      </c>
      <c r="AT1204">
        <v>0</v>
      </c>
      <c r="AU1204">
        <v>0</v>
      </c>
      <c r="AV1204">
        <v>0</v>
      </c>
      <c r="AW1204">
        <v>0</v>
      </c>
      <c r="AX1204">
        <v>0</v>
      </c>
      <c r="AY1204">
        <v>0</v>
      </c>
      <c r="AZ1204">
        <v>0</v>
      </c>
      <c r="BA1204">
        <v>0</v>
      </c>
      <c r="BB1204">
        <v>0</v>
      </c>
      <c r="BC1204">
        <v>0</v>
      </c>
      <c r="BD1204">
        <v>0</v>
      </c>
      <c r="BE1204">
        <v>0</v>
      </c>
      <c r="BF1204">
        <v>0</v>
      </c>
      <c r="BG1204">
        <v>0</v>
      </c>
      <c r="BH1204">
        <v>1</v>
      </c>
      <c r="BI1204">
        <v>1</v>
      </c>
      <c r="BJ1204">
        <v>0.2</v>
      </c>
      <c r="BK1204">
        <v>1</v>
      </c>
      <c r="BL1204">
        <v>138.88999999999999</v>
      </c>
      <c r="BM1204">
        <v>20.83</v>
      </c>
      <c r="BN1204">
        <v>159.72</v>
      </c>
      <c r="BO1204">
        <v>159.72</v>
      </c>
      <c r="BQ1204" t="s">
        <v>1966</v>
      </c>
      <c r="BR1204" t="s">
        <v>84</v>
      </c>
      <c r="BS1204" s="3">
        <v>45880</v>
      </c>
      <c r="BT1204" s="4">
        <v>0.49861111111111112</v>
      </c>
      <c r="BU1204" t="s">
        <v>615</v>
      </c>
      <c r="BV1204" t="s">
        <v>86</v>
      </c>
      <c r="BY1204">
        <v>1200</v>
      </c>
      <c r="BZ1204" t="s">
        <v>330</v>
      </c>
      <c r="CA1204" t="s">
        <v>122</v>
      </c>
      <c r="CC1204" t="s">
        <v>118</v>
      </c>
      <c r="CD1204">
        <v>7646</v>
      </c>
      <c r="CE1204" t="s">
        <v>290</v>
      </c>
      <c r="CF1204" s="3">
        <v>45881</v>
      </c>
      <c r="CI1204">
        <v>1</v>
      </c>
      <c r="CJ1204">
        <v>1</v>
      </c>
      <c r="CK1204">
        <v>23</v>
      </c>
      <c r="CL1204" t="s">
        <v>90</v>
      </c>
    </row>
    <row r="1205" spans="1:90" x14ac:dyDescent="0.3">
      <c r="A1205" t="s">
        <v>72</v>
      </c>
      <c r="B1205" t="s">
        <v>73</v>
      </c>
      <c r="C1205" t="s">
        <v>74</v>
      </c>
      <c r="E1205" t="str">
        <f>"080067116036"</f>
        <v>080067116036</v>
      </c>
      <c r="F1205" s="3">
        <v>45877</v>
      </c>
      <c r="G1205">
        <v>202605</v>
      </c>
      <c r="H1205" t="s">
        <v>75</v>
      </c>
      <c r="I1205" t="s">
        <v>76</v>
      </c>
      <c r="J1205" t="s">
        <v>77</v>
      </c>
      <c r="K1205" t="s">
        <v>78</v>
      </c>
      <c r="L1205" t="s">
        <v>1182</v>
      </c>
      <c r="M1205" t="s">
        <v>1183</v>
      </c>
      <c r="N1205" t="s">
        <v>1184</v>
      </c>
      <c r="O1205" t="s">
        <v>82</v>
      </c>
      <c r="P1205" t="str">
        <f>"4170053722                    "</f>
        <v xml:space="preserve">4170053722                    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>
        <v>44.73</v>
      </c>
      <c r="AR1205">
        <v>0</v>
      </c>
      <c r="AS1205">
        <v>0</v>
      </c>
      <c r="AT1205">
        <v>0</v>
      </c>
      <c r="AU1205">
        <v>0</v>
      </c>
      <c r="AV1205">
        <v>0</v>
      </c>
      <c r="AW1205">
        <v>0</v>
      </c>
      <c r="AX1205">
        <v>0</v>
      </c>
      <c r="AY1205">
        <v>0</v>
      </c>
      <c r="AZ1205">
        <v>0</v>
      </c>
      <c r="BA1205">
        <v>0</v>
      </c>
      <c r="BB1205">
        <v>0</v>
      </c>
      <c r="BC1205">
        <v>0</v>
      </c>
      <c r="BD1205">
        <v>0</v>
      </c>
      <c r="BE1205">
        <v>0</v>
      </c>
      <c r="BF1205">
        <v>0</v>
      </c>
      <c r="BG1205">
        <v>0</v>
      </c>
      <c r="BH1205">
        <v>1</v>
      </c>
      <c r="BI1205">
        <v>1</v>
      </c>
      <c r="BJ1205">
        <v>0.2</v>
      </c>
      <c r="BK1205">
        <v>1</v>
      </c>
      <c r="BL1205">
        <v>138.88999999999999</v>
      </c>
      <c r="BM1205">
        <v>20.83</v>
      </c>
      <c r="BN1205">
        <v>159.72</v>
      </c>
      <c r="BO1205">
        <v>159.72</v>
      </c>
      <c r="BQ1205" t="s">
        <v>1185</v>
      </c>
      <c r="BR1205" t="s">
        <v>84</v>
      </c>
      <c r="BS1205" s="3">
        <v>45880</v>
      </c>
      <c r="BT1205" s="4">
        <v>0.41666666666666669</v>
      </c>
      <c r="BU1205" t="s">
        <v>1207</v>
      </c>
      <c r="BV1205" t="s">
        <v>86</v>
      </c>
      <c r="BY1205">
        <v>1200</v>
      </c>
      <c r="BZ1205" t="s">
        <v>330</v>
      </c>
      <c r="CA1205" t="s">
        <v>1187</v>
      </c>
      <c r="CC1205" t="s">
        <v>1183</v>
      </c>
      <c r="CD1205">
        <v>9701</v>
      </c>
      <c r="CE1205" t="s">
        <v>109</v>
      </c>
      <c r="CF1205" s="3">
        <v>45880</v>
      </c>
      <c r="CI1205">
        <v>1</v>
      </c>
      <c r="CJ1205">
        <v>1</v>
      </c>
      <c r="CK1205">
        <v>23</v>
      </c>
      <c r="CL1205" t="s">
        <v>90</v>
      </c>
    </row>
    <row r="1206" spans="1:90" x14ac:dyDescent="0.3">
      <c r="A1206" t="s">
        <v>72</v>
      </c>
      <c r="B1206" t="s">
        <v>73</v>
      </c>
      <c r="C1206" t="s">
        <v>74</v>
      </c>
      <c r="E1206" t="str">
        <f>"080067116065"</f>
        <v>080067116065</v>
      </c>
      <c r="F1206" s="3">
        <v>45877</v>
      </c>
      <c r="G1206">
        <v>202605</v>
      </c>
      <c r="H1206" t="s">
        <v>75</v>
      </c>
      <c r="I1206" t="s">
        <v>76</v>
      </c>
      <c r="J1206" t="s">
        <v>77</v>
      </c>
      <c r="K1206" t="s">
        <v>78</v>
      </c>
      <c r="L1206" t="s">
        <v>297</v>
      </c>
      <c r="M1206" t="s">
        <v>298</v>
      </c>
      <c r="N1206" t="s">
        <v>299</v>
      </c>
      <c r="O1206" t="s">
        <v>82</v>
      </c>
      <c r="P1206" t="str">
        <f>"4170053975                    "</f>
        <v xml:space="preserve">4170053975                    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23.09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</v>
      </c>
      <c r="AX1206">
        <v>0</v>
      </c>
      <c r="AY1206">
        <v>0</v>
      </c>
      <c r="AZ1206">
        <v>0</v>
      </c>
      <c r="BA1206">
        <v>0</v>
      </c>
      <c r="BB1206">
        <v>0</v>
      </c>
      <c r="BC1206">
        <v>0</v>
      </c>
      <c r="BD1206">
        <v>0</v>
      </c>
      <c r="BE1206">
        <v>0</v>
      </c>
      <c r="BF1206">
        <v>0</v>
      </c>
      <c r="BG1206">
        <v>0</v>
      </c>
      <c r="BH1206">
        <v>1</v>
      </c>
      <c r="BI1206">
        <v>1</v>
      </c>
      <c r="BJ1206">
        <v>0.2</v>
      </c>
      <c r="BK1206">
        <v>1</v>
      </c>
      <c r="BL1206">
        <v>71.69</v>
      </c>
      <c r="BM1206">
        <v>10.75</v>
      </c>
      <c r="BN1206">
        <v>82.44</v>
      </c>
      <c r="BO1206">
        <v>82.44</v>
      </c>
      <c r="BQ1206" t="s">
        <v>300</v>
      </c>
      <c r="BR1206" t="s">
        <v>84</v>
      </c>
      <c r="BS1206" s="3">
        <v>45880</v>
      </c>
      <c r="BT1206" s="4">
        <v>0.4375</v>
      </c>
      <c r="BU1206" t="s">
        <v>301</v>
      </c>
      <c r="BV1206" t="s">
        <v>86</v>
      </c>
      <c r="BY1206">
        <v>1200</v>
      </c>
      <c r="CA1206" t="s">
        <v>302</v>
      </c>
      <c r="CC1206" t="s">
        <v>298</v>
      </c>
      <c r="CD1206">
        <v>4302</v>
      </c>
      <c r="CE1206" t="s">
        <v>109</v>
      </c>
      <c r="CF1206" s="3">
        <v>45881</v>
      </c>
      <c r="CI1206">
        <v>1</v>
      </c>
      <c r="CJ1206">
        <v>1</v>
      </c>
      <c r="CK1206">
        <v>21</v>
      </c>
      <c r="CL1206" t="s">
        <v>90</v>
      </c>
    </row>
    <row r="1207" spans="1:90" x14ac:dyDescent="0.3">
      <c r="A1207" t="s">
        <v>72</v>
      </c>
      <c r="B1207" t="s">
        <v>73</v>
      </c>
      <c r="C1207" t="s">
        <v>74</v>
      </c>
      <c r="E1207" t="str">
        <f>"080067116091"</f>
        <v>080067116091</v>
      </c>
      <c r="F1207" s="3">
        <v>45877</v>
      </c>
      <c r="G1207">
        <v>202605</v>
      </c>
      <c r="H1207" t="s">
        <v>75</v>
      </c>
      <c r="I1207" t="s">
        <v>76</v>
      </c>
      <c r="J1207" t="s">
        <v>77</v>
      </c>
      <c r="K1207" t="s">
        <v>78</v>
      </c>
      <c r="L1207" t="s">
        <v>1087</v>
      </c>
      <c r="M1207" t="s">
        <v>1088</v>
      </c>
      <c r="N1207" t="s">
        <v>1089</v>
      </c>
      <c r="O1207" t="s">
        <v>82</v>
      </c>
      <c r="P1207" t="str">
        <f>"4170053834                    "</f>
        <v xml:space="preserve">4170053834                    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44.73</v>
      </c>
      <c r="AR1207">
        <v>0</v>
      </c>
      <c r="AS1207">
        <v>0</v>
      </c>
      <c r="AT1207">
        <v>0</v>
      </c>
      <c r="AU1207">
        <v>0</v>
      </c>
      <c r="AV1207">
        <v>0</v>
      </c>
      <c r="AW1207">
        <v>0</v>
      </c>
      <c r="AX1207">
        <v>0</v>
      </c>
      <c r="AY1207">
        <v>0</v>
      </c>
      <c r="AZ1207">
        <v>0</v>
      </c>
      <c r="BA1207">
        <v>0</v>
      </c>
      <c r="BB1207">
        <v>0</v>
      </c>
      <c r="BC1207">
        <v>0</v>
      </c>
      <c r="BD1207">
        <v>0</v>
      </c>
      <c r="BE1207">
        <v>0</v>
      </c>
      <c r="BF1207">
        <v>0</v>
      </c>
      <c r="BG1207">
        <v>0</v>
      </c>
      <c r="BH1207">
        <v>1</v>
      </c>
      <c r="BI1207">
        <v>1</v>
      </c>
      <c r="BJ1207">
        <v>0.2</v>
      </c>
      <c r="BK1207">
        <v>1</v>
      </c>
      <c r="BL1207">
        <v>138.88999999999999</v>
      </c>
      <c r="BM1207">
        <v>20.83</v>
      </c>
      <c r="BN1207">
        <v>159.72</v>
      </c>
      <c r="BO1207">
        <v>159.72</v>
      </c>
      <c r="BQ1207" t="s">
        <v>1090</v>
      </c>
      <c r="BR1207" t="s">
        <v>84</v>
      </c>
      <c r="BS1207" s="3">
        <v>45880</v>
      </c>
      <c r="BT1207" s="4">
        <v>0.5805555555555556</v>
      </c>
      <c r="BU1207" t="s">
        <v>1091</v>
      </c>
      <c r="BV1207" t="s">
        <v>86</v>
      </c>
      <c r="BY1207">
        <v>1200</v>
      </c>
      <c r="CA1207" t="s">
        <v>1092</v>
      </c>
      <c r="CC1207" t="s">
        <v>1088</v>
      </c>
      <c r="CD1207">
        <v>6500</v>
      </c>
      <c r="CE1207" t="s">
        <v>109</v>
      </c>
      <c r="CF1207" s="3">
        <v>45880</v>
      </c>
      <c r="CI1207">
        <v>1</v>
      </c>
      <c r="CJ1207">
        <v>1</v>
      </c>
      <c r="CK1207">
        <v>23</v>
      </c>
      <c r="CL1207" t="s">
        <v>90</v>
      </c>
    </row>
    <row r="1208" spans="1:90" x14ac:dyDescent="0.3">
      <c r="A1208" t="s">
        <v>72</v>
      </c>
      <c r="B1208" t="s">
        <v>73</v>
      </c>
      <c r="C1208" t="s">
        <v>74</v>
      </c>
      <c r="E1208" t="str">
        <f>"080067116115"</f>
        <v>080067116115</v>
      </c>
      <c r="F1208" s="3">
        <v>45877</v>
      </c>
      <c r="G1208">
        <v>202605</v>
      </c>
      <c r="H1208" t="s">
        <v>75</v>
      </c>
      <c r="I1208" t="s">
        <v>76</v>
      </c>
      <c r="J1208" t="s">
        <v>77</v>
      </c>
      <c r="K1208" t="s">
        <v>78</v>
      </c>
      <c r="L1208" t="s">
        <v>198</v>
      </c>
      <c r="M1208" t="s">
        <v>199</v>
      </c>
      <c r="N1208" t="s">
        <v>200</v>
      </c>
      <c r="O1208" t="s">
        <v>82</v>
      </c>
      <c r="P1208" t="str">
        <f>"4170053812                    "</f>
        <v xml:space="preserve">4170053812                    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23.09</v>
      </c>
      <c r="AR1208">
        <v>0</v>
      </c>
      <c r="AS1208">
        <v>0</v>
      </c>
      <c r="AT1208">
        <v>0</v>
      </c>
      <c r="AU1208">
        <v>0</v>
      </c>
      <c r="AV1208">
        <v>0</v>
      </c>
      <c r="AW1208">
        <v>0</v>
      </c>
      <c r="AX1208">
        <v>0</v>
      </c>
      <c r="AY1208">
        <v>0</v>
      </c>
      <c r="AZ1208">
        <v>0</v>
      </c>
      <c r="BA1208">
        <v>0</v>
      </c>
      <c r="BB1208">
        <v>0</v>
      </c>
      <c r="BC1208">
        <v>0</v>
      </c>
      <c r="BD1208">
        <v>0</v>
      </c>
      <c r="BE1208">
        <v>0</v>
      </c>
      <c r="BF1208">
        <v>0</v>
      </c>
      <c r="BG1208">
        <v>0</v>
      </c>
      <c r="BH1208">
        <v>1</v>
      </c>
      <c r="BI1208">
        <v>1</v>
      </c>
      <c r="BJ1208">
        <v>0.2</v>
      </c>
      <c r="BK1208">
        <v>1</v>
      </c>
      <c r="BL1208">
        <v>71.69</v>
      </c>
      <c r="BM1208">
        <v>10.75</v>
      </c>
      <c r="BN1208">
        <v>82.44</v>
      </c>
      <c r="BO1208">
        <v>82.44</v>
      </c>
      <c r="BQ1208" t="s">
        <v>201</v>
      </c>
      <c r="BR1208" t="s">
        <v>84</v>
      </c>
      <c r="BS1208" s="3">
        <v>45880</v>
      </c>
      <c r="BT1208" s="4">
        <v>0.41319444444444442</v>
      </c>
      <c r="BU1208" t="s">
        <v>1734</v>
      </c>
      <c r="BV1208" t="s">
        <v>86</v>
      </c>
      <c r="BY1208">
        <v>1200</v>
      </c>
      <c r="CA1208" t="s">
        <v>1570</v>
      </c>
      <c r="CC1208" t="s">
        <v>199</v>
      </c>
      <c r="CD1208">
        <v>6001</v>
      </c>
      <c r="CE1208" t="s">
        <v>109</v>
      </c>
      <c r="CF1208" s="3">
        <v>45880</v>
      </c>
      <c r="CI1208">
        <v>1</v>
      </c>
      <c r="CJ1208">
        <v>1</v>
      </c>
      <c r="CK1208">
        <v>21</v>
      </c>
      <c r="CL1208" t="s">
        <v>90</v>
      </c>
    </row>
    <row r="1209" spans="1:90" x14ac:dyDescent="0.3">
      <c r="A1209" t="s">
        <v>72</v>
      </c>
      <c r="B1209" t="s">
        <v>73</v>
      </c>
      <c r="C1209" t="s">
        <v>74</v>
      </c>
      <c r="E1209" t="str">
        <f>"080067116540"</f>
        <v>080067116540</v>
      </c>
      <c r="F1209" s="3">
        <v>45877</v>
      </c>
      <c r="G1209">
        <v>202605</v>
      </c>
      <c r="H1209" t="s">
        <v>75</v>
      </c>
      <c r="I1209" t="s">
        <v>76</v>
      </c>
      <c r="J1209" t="s">
        <v>77</v>
      </c>
      <c r="K1209" t="s">
        <v>78</v>
      </c>
      <c r="L1209" t="s">
        <v>123</v>
      </c>
      <c r="M1209" t="s">
        <v>124</v>
      </c>
      <c r="N1209" t="s">
        <v>1711</v>
      </c>
      <c r="O1209" t="s">
        <v>82</v>
      </c>
      <c r="P1209" t="str">
        <f>"4170053820                    "</f>
        <v xml:space="preserve">4170053820                    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23.09</v>
      </c>
      <c r="AR1209">
        <v>0</v>
      </c>
      <c r="AS1209">
        <v>0</v>
      </c>
      <c r="AT1209">
        <v>0</v>
      </c>
      <c r="AU1209">
        <v>0</v>
      </c>
      <c r="AV1209">
        <v>0</v>
      </c>
      <c r="AW1209">
        <v>0</v>
      </c>
      <c r="AX1209">
        <v>0</v>
      </c>
      <c r="AY1209">
        <v>0</v>
      </c>
      <c r="AZ1209">
        <v>0</v>
      </c>
      <c r="BA1209">
        <v>0</v>
      </c>
      <c r="BB1209">
        <v>0</v>
      </c>
      <c r="BC1209">
        <v>0</v>
      </c>
      <c r="BD1209">
        <v>0</v>
      </c>
      <c r="BE1209">
        <v>0</v>
      </c>
      <c r="BF1209">
        <v>0</v>
      </c>
      <c r="BG1209">
        <v>0</v>
      </c>
      <c r="BH1209">
        <v>1</v>
      </c>
      <c r="BI1209">
        <v>1</v>
      </c>
      <c r="BJ1209">
        <v>0.2</v>
      </c>
      <c r="BK1209">
        <v>1</v>
      </c>
      <c r="BL1209">
        <v>71.69</v>
      </c>
      <c r="BM1209">
        <v>10.75</v>
      </c>
      <c r="BN1209">
        <v>82.44</v>
      </c>
      <c r="BO1209">
        <v>82.44</v>
      </c>
      <c r="BQ1209" t="s">
        <v>1712</v>
      </c>
      <c r="BR1209" t="s">
        <v>84</v>
      </c>
      <c r="BS1209" s="3">
        <v>45880</v>
      </c>
      <c r="BT1209" s="4">
        <v>0.40625</v>
      </c>
      <c r="BU1209" t="s">
        <v>1967</v>
      </c>
      <c r="BV1209" t="s">
        <v>86</v>
      </c>
      <c r="BY1209">
        <v>1200</v>
      </c>
      <c r="CA1209" t="s">
        <v>128</v>
      </c>
      <c r="CC1209" t="s">
        <v>124</v>
      </c>
      <c r="CD1209">
        <v>7560</v>
      </c>
      <c r="CE1209" t="s">
        <v>109</v>
      </c>
      <c r="CF1209" s="3">
        <v>45881</v>
      </c>
      <c r="CI1209">
        <v>1</v>
      </c>
      <c r="CJ1209">
        <v>1</v>
      </c>
      <c r="CK1209">
        <v>21</v>
      </c>
      <c r="CL1209" t="s">
        <v>90</v>
      </c>
    </row>
    <row r="1210" spans="1:90" x14ac:dyDescent="0.3">
      <c r="A1210" t="s">
        <v>72</v>
      </c>
      <c r="B1210" t="s">
        <v>73</v>
      </c>
      <c r="C1210" t="s">
        <v>74</v>
      </c>
      <c r="E1210" t="str">
        <f>"080067116602"</f>
        <v>080067116602</v>
      </c>
      <c r="F1210" s="3">
        <v>45877</v>
      </c>
      <c r="G1210">
        <v>202605</v>
      </c>
      <c r="H1210" t="s">
        <v>75</v>
      </c>
      <c r="I1210" t="s">
        <v>76</v>
      </c>
      <c r="J1210" t="s">
        <v>77</v>
      </c>
      <c r="K1210" t="s">
        <v>78</v>
      </c>
      <c r="L1210" t="s">
        <v>118</v>
      </c>
      <c r="M1210" t="s">
        <v>118</v>
      </c>
      <c r="N1210" t="s">
        <v>466</v>
      </c>
      <c r="O1210" t="s">
        <v>82</v>
      </c>
      <c r="P1210" t="str">
        <f>"4170053866                    "</f>
        <v xml:space="preserve">4170053866                    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44.73</v>
      </c>
      <c r="AR1210">
        <v>0</v>
      </c>
      <c r="AS1210">
        <v>0</v>
      </c>
      <c r="AT1210">
        <v>0</v>
      </c>
      <c r="AU1210">
        <v>0</v>
      </c>
      <c r="AV1210">
        <v>0</v>
      </c>
      <c r="AW1210">
        <v>0</v>
      </c>
      <c r="AX1210">
        <v>0</v>
      </c>
      <c r="AY1210">
        <v>0</v>
      </c>
      <c r="AZ1210">
        <v>0</v>
      </c>
      <c r="BA1210">
        <v>0</v>
      </c>
      <c r="BB1210">
        <v>0</v>
      </c>
      <c r="BC1210">
        <v>0</v>
      </c>
      <c r="BD1210">
        <v>0</v>
      </c>
      <c r="BE1210">
        <v>0</v>
      </c>
      <c r="BF1210">
        <v>0</v>
      </c>
      <c r="BG1210">
        <v>0</v>
      </c>
      <c r="BH1210">
        <v>1</v>
      </c>
      <c r="BI1210">
        <v>1</v>
      </c>
      <c r="BJ1210">
        <v>0.2</v>
      </c>
      <c r="BK1210">
        <v>1</v>
      </c>
      <c r="BL1210">
        <v>138.88999999999999</v>
      </c>
      <c r="BM1210">
        <v>20.83</v>
      </c>
      <c r="BN1210">
        <v>159.72</v>
      </c>
      <c r="BO1210">
        <v>159.72</v>
      </c>
      <c r="BQ1210" t="s">
        <v>467</v>
      </c>
      <c r="BR1210" t="s">
        <v>84</v>
      </c>
      <c r="BS1210" s="3">
        <v>45880</v>
      </c>
      <c r="BT1210" s="4">
        <v>0.48888888888888887</v>
      </c>
      <c r="BU1210" t="s">
        <v>1580</v>
      </c>
      <c r="BV1210" t="s">
        <v>86</v>
      </c>
      <c r="BY1210">
        <v>1200</v>
      </c>
      <c r="CC1210" t="s">
        <v>118</v>
      </c>
      <c r="CD1210">
        <v>7646</v>
      </c>
      <c r="CE1210" t="s">
        <v>109</v>
      </c>
      <c r="CF1210" s="3">
        <v>45881</v>
      </c>
      <c r="CI1210">
        <v>1</v>
      </c>
      <c r="CJ1210">
        <v>1</v>
      </c>
      <c r="CK1210">
        <v>23</v>
      </c>
      <c r="CL1210" t="s">
        <v>90</v>
      </c>
    </row>
    <row r="1211" spans="1:90" x14ac:dyDescent="0.3">
      <c r="A1211" t="s">
        <v>72</v>
      </c>
      <c r="B1211" t="s">
        <v>73</v>
      </c>
      <c r="C1211" t="s">
        <v>74</v>
      </c>
      <c r="E1211" t="str">
        <f>"080067116661"</f>
        <v>080067116661</v>
      </c>
      <c r="F1211" s="3">
        <v>45877</v>
      </c>
      <c r="G1211">
        <v>202605</v>
      </c>
      <c r="H1211" t="s">
        <v>75</v>
      </c>
      <c r="I1211" t="s">
        <v>76</v>
      </c>
      <c r="J1211" t="s">
        <v>77</v>
      </c>
      <c r="K1211" t="s">
        <v>78</v>
      </c>
      <c r="L1211" t="s">
        <v>198</v>
      </c>
      <c r="M1211" t="s">
        <v>199</v>
      </c>
      <c r="N1211" t="s">
        <v>955</v>
      </c>
      <c r="O1211" t="s">
        <v>82</v>
      </c>
      <c r="P1211" t="str">
        <f>"4170053755                    "</f>
        <v xml:space="preserve">4170053755                    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23.09</v>
      </c>
      <c r="AR1211">
        <v>0</v>
      </c>
      <c r="AS1211">
        <v>0</v>
      </c>
      <c r="AT1211">
        <v>0</v>
      </c>
      <c r="AU1211">
        <v>0</v>
      </c>
      <c r="AV1211">
        <v>0</v>
      </c>
      <c r="AW1211">
        <v>0</v>
      </c>
      <c r="AX1211">
        <v>0</v>
      </c>
      <c r="AY1211">
        <v>0</v>
      </c>
      <c r="AZ1211">
        <v>0</v>
      </c>
      <c r="BA1211">
        <v>0</v>
      </c>
      <c r="BB1211">
        <v>0</v>
      </c>
      <c r="BC1211">
        <v>0</v>
      </c>
      <c r="BD1211">
        <v>0</v>
      </c>
      <c r="BE1211">
        <v>0</v>
      </c>
      <c r="BF1211">
        <v>0</v>
      </c>
      <c r="BG1211">
        <v>0</v>
      </c>
      <c r="BH1211">
        <v>1</v>
      </c>
      <c r="BI1211">
        <v>1</v>
      </c>
      <c r="BJ1211">
        <v>0.2</v>
      </c>
      <c r="BK1211">
        <v>1</v>
      </c>
      <c r="BL1211">
        <v>71.69</v>
      </c>
      <c r="BM1211">
        <v>10.75</v>
      </c>
      <c r="BN1211">
        <v>82.44</v>
      </c>
      <c r="BO1211">
        <v>82.44</v>
      </c>
      <c r="BQ1211" t="s">
        <v>956</v>
      </c>
      <c r="BR1211" t="s">
        <v>84</v>
      </c>
      <c r="BS1211" s="3">
        <v>45880</v>
      </c>
      <c r="BT1211" s="4">
        <v>0.43263888888888891</v>
      </c>
      <c r="BU1211" t="s">
        <v>1874</v>
      </c>
      <c r="BV1211" t="s">
        <v>86</v>
      </c>
      <c r="BY1211">
        <v>1200</v>
      </c>
      <c r="CA1211" t="s">
        <v>433</v>
      </c>
      <c r="CC1211" t="s">
        <v>199</v>
      </c>
      <c r="CD1211">
        <v>6012</v>
      </c>
      <c r="CE1211" t="s">
        <v>109</v>
      </c>
      <c r="CF1211" s="3">
        <v>45880</v>
      </c>
      <c r="CI1211">
        <v>1</v>
      </c>
      <c r="CJ1211">
        <v>1</v>
      </c>
      <c r="CK1211">
        <v>21</v>
      </c>
      <c r="CL1211" t="s">
        <v>90</v>
      </c>
    </row>
    <row r="1212" spans="1:90" x14ac:dyDescent="0.3">
      <c r="A1212" t="s">
        <v>72</v>
      </c>
      <c r="B1212" t="s">
        <v>73</v>
      </c>
      <c r="C1212" t="s">
        <v>74</v>
      </c>
      <c r="E1212" t="str">
        <f>"080067116694"</f>
        <v>080067116694</v>
      </c>
      <c r="F1212" s="3">
        <v>45877</v>
      </c>
      <c r="G1212">
        <v>202605</v>
      </c>
      <c r="H1212" t="s">
        <v>75</v>
      </c>
      <c r="I1212" t="s">
        <v>76</v>
      </c>
      <c r="J1212" t="s">
        <v>77</v>
      </c>
      <c r="K1212" t="s">
        <v>78</v>
      </c>
      <c r="L1212" t="s">
        <v>198</v>
      </c>
      <c r="M1212" t="s">
        <v>199</v>
      </c>
      <c r="N1212" t="s">
        <v>342</v>
      </c>
      <c r="O1212" t="s">
        <v>82</v>
      </c>
      <c r="P1212" t="str">
        <f>"4170053827                    "</f>
        <v xml:space="preserve">4170053827                    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>
        <v>23.09</v>
      </c>
      <c r="AR1212">
        <v>0</v>
      </c>
      <c r="AS1212">
        <v>0</v>
      </c>
      <c r="AT1212">
        <v>0</v>
      </c>
      <c r="AU1212">
        <v>0</v>
      </c>
      <c r="AV1212">
        <v>0</v>
      </c>
      <c r="AW1212">
        <v>0</v>
      </c>
      <c r="AX1212">
        <v>0</v>
      </c>
      <c r="AY1212">
        <v>0</v>
      </c>
      <c r="AZ1212">
        <v>0</v>
      </c>
      <c r="BA1212">
        <v>0</v>
      </c>
      <c r="BB1212">
        <v>0</v>
      </c>
      <c r="BC1212">
        <v>0</v>
      </c>
      <c r="BD1212">
        <v>0</v>
      </c>
      <c r="BE1212">
        <v>0</v>
      </c>
      <c r="BF1212">
        <v>0</v>
      </c>
      <c r="BG1212">
        <v>0</v>
      </c>
      <c r="BH1212">
        <v>1</v>
      </c>
      <c r="BI1212">
        <v>1</v>
      </c>
      <c r="BJ1212">
        <v>0.2</v>
      </c>
      <c r="BK1212">
        <v>1</v>
      </c>
      <c r="BL1212">
        <v>71.69</v>
      </c>
      <c r="BM1212">
        <v>10.75</v>
      </c>
      <c r="BN1212">
        <v>82.44</v>
      </c>
      <c r="BO1212">
        <v>82.44</v>
      </c>
      <c r="BQ1212" t="s">
        <v>343</v>
      </c>
      <c r="BR1212" t="s">
        <v>84</v>
      </c>
      <c r="BS1212" s="3">
        <v>45880</v>
      </c>
      <c r="BT1212" s="4">
        <v>0.42708333333333331</v>
      </c>
      <c r="BU1212" t="s">
        <v>1968</v>
      </c>
      <c r="BV1212" t="s">
        <v>86</v>
      </c>
      <c r="BY1212">
        <v>1200</v>
      </c>
      <c r="CA1212" t="s">
        <v>1570</v>
      </c>
      <c r="CC1212" t="s">
        <v>199</v>
      </c>
      <c r="CD1212">
        <v>6001</v>
      </c>
      <c r="CE1212" t="s">
        <v>109</v>
      </c>
      <c r="CF1212" s="3">
        <v>45880</v>
      </c>
      <c r="CI1212">
        <v>1</v>
      </c>
      <c r="CJ1212">
        <v>1</v>
      </c>
      <c r="CK1212">
        <v>21</v>
      </c>
      <c r="CL1212" t="s">
        <v>90</v>
      </c>
    </row>
    <row r="1213" spans="1:90" x14ac:dyDescent="0.3">
      <c r="A1213" t="s">
        <v>72</v>
      </c>
      <c r="B1213" t="s">
        <v>73</v>
      </c>
      <c r="C1213" t="s">
        <v>74</v>
      </c>
      <c r="E1213" t="str">
        <f>"080067116737"</f>
        <v>080067116737</v>
      </c>
      <c r="F1213" s="3">
        <v>45877</v>
      </c>
      <c r="G1213">
        <v>202605</v>
      </c>
      <c r="H1213" t="s">
        <v>75</v>
      </c>
      <c r="I1213" t="s">
        <v>76</v>
      </c>
      <c r="J1213" t="s">
        <v>77</v>
      </c>
      <c r="K1213" t="s">
        <v>78</v>
      </c>
      <c r="L1213" t="s">
        <v>373</v>
      </c>
      <c r="M1213" t="s">
        <v>374</v>
      </c>
      <c r="N1213" t="s">
        <v>1084</v>
      </c>
      <c r="O1213" t="s">
        <v>82</v>
      </c>
      <c r="P1213" t="str">
        <f>"4170053826                    "</f>
        <v xml:space="preserve">4170053826                    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Q1213">
        <v>23.09</v>
      </c>
      <c r="AR1213">
        <v>0</v>
      </c>
      <c r="AS1213">
        <v>0</v>
      </c>
      <c r="AT1213">
        <v>0</v>
      </c>
      <c r="AU1213">
        <v>0</v>
      </c>
      <c r="AV1213">
        <v>0</v>
      </c>
      <c r="AW1213">
        <v>0</v>
      </c>
      <c r="AX1213">
        <v>0</v>
      </c>
      <c r="AY1213">
        <v>0</v>
      </c>
      <c r="AZ1213">
        <v>0</v>
      </c>
      <c r="BA1213">
        <v>0</v>
      </c>
      <c r="BB1213">
        <v>0</v>
      </c>
      <c r="BC1213">
        <v>0</v>
      </c>
      <c r="BD1213">
        <v>0</v>
      </c>
      <c r="BE1213">
        <v>0</v>
      </c>
      <c r="BF1213">
        <v>0</v>
      </c>
      <c r="BG1213">
        <v>0</v>
      </c>
      <c r="BH1213">
        <v>1</v>
      </c>
      <c r="BI1213">
        <v>1</v>
      </c>
      <c r="BJ1213">
        <v>0.2</v>
      </c>
      <c r="BK1213">
        <v>1</v>
      </c>
      <c r="BL1213">
        <v>71.69</v>
      </c>
      <c r="BM1213">
        <v>10.75</v>
      </c>
      <c r="BN1213">
        <v>82.44</v>
      </c>
      <c r="BO1213">
        <v>82.44</v>
      </c>
      <c r="BQ1213" t="s">
        <v>1085</v>
      </c>
      <c r="BR1213" t="s">
        <v>84</v>
      </c>
      <c r="BS1213" s="3">
        <v>45880</v>
      </c>
      <c r="BT1213" s="4">
        <v>0.42291666666666666</v>
      </c>
      <c r="BU1213" t="s">
        <v>1969</v>
      </c>
      <c r="BV1213" t="s">
        <v>86</v>
      </c>
      <c r="BY1213">
        <v>1200</v>
      </c>
      <c r="CA1213" t="s">
        <v>203</v>
      </c>
      <c r="CC1213" t="s">
        <v>374</v>
      </c>
      <c r="CD1213">
        <v>6220</v>
      </c>
      <c r="CE1213" t="s">
        <v>109</v>
      </c>
      <c r="CF1213" s="3">
        <v>45881</v>
      </c>
      <c r="CI1213">
        <v>1</v>
      </c>
      <c r="CJ1213">
        <v>1</v>
      </c>
      <c r="CK1213">
        <v>21</v>
      </c>
      <c r="CL1213" t="s">
        <v>90</v>
      </c>
    </row>
    <row r="1214" spans="1:90" x14ac:dyDescent="0.3">
      <c r="A1214" t="s">
        <v>72</v>
      </c>
      <c r="B1214" t="s">
        <v>73</v>
      </c>
      <c r="C1214" t="s">
        <v>74</v>
      </c>
      <c r="E1214" t="str">
        <f>"080067116792"</f>
        <v>080067116792</v>
      </c>
      <c r="F1214" s="3">
        <v>45877</v>
      </c>
      <c r="G1214">
        <v>202605</v>
      </c>
      <c r="H1214" t="s">
        <v>75</v>
      </c>
      <c r="I1214" t="s">
        <v>76</v>
      </c>
      <c r="J1214" t="s">
        <v>77</v>
      </c>
      <c r="K1214" t="s">
        <v>78</v>
      </c>
      <c r="L1214" t="s">
        <v>278</v>
      </c>
      <c r="M1214" t="s">
        <v>279</v>
      </c>
      <c r="N1214" t="s">
        <v>1199</v>
      </c>
      <c r="O1214" t="s">
        <v>95</v>
      </c>
      <c r="P1214" t="str">
        <f>"4170053762                    "</f>
        <v xml:space="preserve">4170053762                    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Q1214">
        <v>44.64</v>
      </c>
      <c r="AR1214">
        <v>0</v>
      </c>
      <c r="AS1214">
        <v>0</v>
      </c>
      <c r="AT1214">
        <v>0</v>
      </c>
      <c r="AU1214">
        <v>0</v>
      </c>
      <c r="AV1214">
        <v>0</v>
      </c>
      <c r="AW1214">
        <v>0</v>
      </c>
      <c r="AX1214">
        <v>0</v>
      </c>
      <c r="AY1214">
        <v>0</v>
      </c>
      <c r="AZ1214">
        <v>0</v>
      </c>
      <c r="BA1214">
        <v>0</v>
      </c>
      <c r="BB1214">
        <v>0</v>
      </c>
      <c r="BC1214">
        <v>0</v>
      </c>
      <c r="BD1214">
        <v>0</v>
      </c>
      <c r="BE1214">
        <v>0</v>
      </c>
      <c r="BF1214">
        <v>0</v>
      </c>
      <c r="BG1214">
        <v>0</v>
      </c>
      <c r="BH1214">
        <v>1</v>
      </c>
      <c r="BI1214">
        <v>5.9</v>
      </c>
      <c r="BJ1214">
        <v>2.2999999999999998</v>
      </c>
      <c r="BK1214">
        <v>6</v>
      </c>
      <c r="BL1214">
        <v>144.49</v>
      </c>
      <c r="BM1214">
        <v>21.67</v>
      </c>
      <c r="BN1214">
        <v>166.16</v>
      </c>
      <c r="BO1214">
        <v>166.16</v>
      </c>
      <c r="BQ1214" t="s">
        <v>1200</v>
      </c>
      <c r="BR1214" t="s">
        <v>84</v>
      </c>
      <c r="BS1214" s="3">
        <v>45880</v>
      </c>
      <c r="BT1214" s="4">
        <v>0.39652777777777776</v>
      </c>
      <c r="BU1214" t="s">
        <v>1201</v>
      </c>
      <c r="BV1214" t="s">
        <v>86</v>
      </c>
      <c r="BY1214">
        <v>11452.24</v>
      </c>
      <c r="CA1214" t="s">
        <v>824</v>
      </c>
      <c r="CC1214" t="s">
        <v>279</v>
      </c>
      <c r="CD1214" s="5" t="s">
        <v>289</v>
      </c>
      <c r="CE1214" t="s">
        <v>1164</v>
      </c>
      <c r="CF1214" s="3">
        <v>45880</v>
      </c>
      <c r="CI1214">
        <v>1</v>
      </c>
      <c r="CJ1214">
        <v>1</v>
      </c>
      <c r="CK1214">
        <v>41</v>
      </c>
      <c r="CL1214" t="s">
        <v>90</v>
      </c>
    </row>
    <row r="1215" spans="1:90" x14ac:dyDescent="0.3">
      <c r="A1215" t="s">
        <v>72</v>
      </c>
      <c r="B1215" t="s">
        <v>73</v>
      </c>
      <c r="C1215" t="s">
        <v>74</v>
      </c>
      <c r="E1215" t="str">
        <f>"080067116860"</f>
        <v>080067116860</v>
      </c>
      <c r="F1215" s="3">
        <v>45877</v>
      </c>
      <c r="G1215">
        <v>202605</v>
      </c>
      <c r="H1215" t="s">
        <v>75</v>
      </c>
      <c r="I1215" t="s">
        <v>76</v>
      </c>
      <c r="J1215" t="s">
        <v>77</v>
      </c>
      <c r="K1215" t="s">
        <v>78</v>
      </c>
      <c r="L1215" t="s">
        <v>855</v>
      </c>
      <c r="M1215" t="s">
        <v>856</v>
      </c>
      <c r="N1215" t="s">
        <v>1601</v>
      </c>
      <c r="O1215" t="s">
        <v>82</v>
      </c>
      <c r="P1215" t="str">
        <f>"4170053718                    "</f>
        <v xml:space="preserve">4170053718                    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  <c r="AQ1215">
        <v>18.03</v>
      </c>
      <c r="AR1215">
        <v>0</v>
      </c>
      <c r="AS1215">
        <v>0</v>
      </c>
      <c r="AT1215">
        <v>0</v>
      </c>
      <c r="AU1215">
        <v>0</v>
      </c>
      <c r="AV1215">
        <v>0</v>
      </c>
      <c r="AW1215">
        <v>0</v>
      </c>
      <c r="AX1215">
        <v>0</v>
      </c>
      <c r="AY1215">
        <v>0</v>
      </c>
      <c r="AZ1215">
        <v>0</v>
      </c>
      <c r="BA1215">
        <v>0</v>
      </c>
      <c r="BB1215">
        <v>0</v>
      </c>
      <c r="BC1215">
        <v>0</v>
      </c>
      <c r="BD1215">
        <v>0</v>
      </c>
      <c r="BE1215">
        <v>0</v>
      </c>
      <c r="BF1215">
        <v>0</v>
      </c>
      <c r="BG1215">
        <v>0</v>
      </c>
      <c r="BH1215">
        <v>1</v>
      </c>
      <c r="BI1215">
        <v>1</v>
      </c>
      <c r="BJ1215">
        <v>0.2</v>
      </c>
      <c r="BK1215">
        <v>1</v>
      </c>
      <c r="BL1215">
        <v>55.99</v>
      </c>
      <c r="BM1215">
        <v>8.4</v>
      </c>
      <c r="BN1215">
        <v>64.39</v>
      </c>
      <c r="BO1215">
        <v>64.39</v>
      </c>
      <c r="BQ1215" t="s">
        <v>1602</v>
      </c>
      <c r="BR1215" t="s">
        <v>84</v>
      </c>
      <c r="BS1215" s="3">
        <v>45880</v>
      </c>
      <c r="BT1215" s="4">
        <v>0.40069444444444446</v>
      </c>
      <c r="BU1215" t="s">
        <v>154</v>
      </c>
      <c r="BV1215" t="s">
        <v>86</v>
      </c>
      <c r="BY1215">
        <v>1200</v>
      </c>
      <c r="CA1215" t="s">
        <v>1970</v>
      </c>
      <c r="CC1215" t="s">
        <v>856</v>
      </c>
      <c r="CD1215">
        <v>1684</v>
      </c>
      <c r="CE1215" t="s">
        <v>109</v>
      </c>
      <c r="CF1215" s="3">
        <v>45881</v>
      </c>
      <c r="CI1215">
        <v>1</v>
      </c>
      <c r="CJ1215">
        <v>1</v>
      </c>
      <c r="CK1215">
        <v>22</v>
      </c>
      <c r="CL1215" t="s">
        <v>90</v>
      </c>
    </row>
    <row r="1216" spans="1:90" x14ac:dyDescent="0.3">
      <c r="A1216" t="s">
        <v>72</v>
      </c>
      <c r="B1216" t="s">
        <v>73</v>
      </c>
      <c r="C1216" t="s">
        <v>74</v>
      </c>
      <c r="E1216" t="str">
        <f>"080067116878"</f>
        <v>080067116878</v>
      </c>
      <c r="F1216" s="3">
        <v>45877</v>
      </c>
      <c r="G1216">
        <v>202605</v>
      </c>
      <c r="H1216" t="s">
        <v>75</v>
      </c>
      <c r="I1216" t="s">
        <v>76</v>
      </c>
      <c r="J1216" t="s">
        <v>77</v>
      </c>
      <c r="K1216" t="s">
        <v>78</v>
      </c>
      <c r="L1216" t="s">
        <v>241</v>
      </c>
      <c r="M1216" t="s">
        <v>242</v>
      </c>
      <c r="N1216" t="s">
        <v>1247</v>
      </c>
      <c r="O1216" t="s">
        <v>82</v>
      </c>
      <c r="P1216" t="str">
        <f>"4170053858                    "</f>
        <v xml:space="preserve">4170053858                    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  <c r="AQ1216">
        <v>18.03</v>
      </c>
      <c r="AR1216">
        <v>0</v>
      </c>
      <c r="AS1216">
        <v>0</v>
      </c>
      <c r="AT1216">
        <v>0</v>
      </c>
      <c r="AU1216">
        <v>0</v>
      </c>
      <c r="AV1216">
        <v>0</v>
      </c>
      <c r="AW1216">
        <v>0</v>
      </c>
      <c r="AX1216">
        <v>0</v>
      </c>
      <c r="AY1216">
        <v>0</v>
      </c>
      <c r="AZ1216">
        <v>0</v>
      </c>
      <c r="BA1216">
        <v>0</v>
      </c>
      <c r="BB1216">
        <v>0</v>
      </c>
      <c r="BC1216">
        <v>0</v>
      </c>
      <c r="BD1216">
        <v>0</v>
      </c>
      <c r="BE1216">
        <v>0</v>
      </c>
      <c r="BF1216">
        <v>0</v>
      </c>
      <c r="BG1216">
        <v>0</v>
      </c>
      <c r="BH1216">
        <v>1</v>
      </c>
      <c r="BI1216">
        <v>1</v>
      </c>
      <c r="BJ1216">
        <v>0.2</v>
      </c>
      <c r="BK1216">
        <v>1</v>
      </c>
      <c r="BL1216">
        <v>55.99</v>
      </c>
      <c r="BM1216">
        <v>8.4</v>
      </c>
      <c r="BN1216">
        <v>64.39</v>
      </c>
      <c r="BO1216">
        <v>64.39</v>
      </c>
      <c r="BQ1216" t="s">
        <v>1248</v>
      </c>
      <c r="BR1216" t="s">
        <v>84</v>
      </c>
      <c r="BS1216" s="3">
        <v>45880</v>
      </c>
      <c r="BT1216" s="4">
        <v>0.36388888888888887</v>
      </c>
      <c r="BU1216" t="s">
        <v>1971</v>
      </c>
      <c r="BV1216" t="s">
        <v>86</v>
      </c>
      <c r="BY1216">
        <v>1200</v>
      </c>
      <c r="CA1216" t="s">
        <v>576</v>
      </c>
      <c r="CC1216" t="s">
        <v>242</v>
      </c>
      <c r="CD1216">
        <v>1459</v>
      </c>
      <c r="CE1216" t="s">
        <v>109</v>
      </c>
      <c r="CF1216" s="3">
        <v>45881</v>
      </c>
      <c r="CI1216">
        <v>1</v>
      </c>
      <c r="CJ1216">
        <v>1</v>
      </c>
      <c r="CK1216">
        <v>22</v>
      </c>
      <c r="CL1216" t="s">
        <v>90</v>
      </c>
    </row>
    <row r="1217" spans="1:90" x14ac:dyDescent="0.3">
      <c r="A1217" t="s">
        <v>72</v>
      </c>
      <c r="B1217" t="s">
        <v>73</v>
      </c>
      <c r="C1217" t="s">
        <v>74</v>
      </c>
      <c r="E1217" t="str">
        <f>"080067116902"</f>
        <v>080067116902</v>
      </c>
      <c r="F1217" s="3">
        <v>45877</v>
      </c>
      <c r="G1217">
        <v>202605</v>
      </c>
      <c r="H1217" t="s">
        <v>75</v>
      </c>
      <c r="I1217" t="s">
        <v>76</v>
      </c>
      <c r="J1217" t="s">
        <v>77</v>
      </c>
      <c r="K1217" t="s">
        <v>78</v>
      </c>
      <c r="L1217" t="s">
        <v>1142</v>
      </c>
      <c r="M1217" t="s">
        <v>1143</v>
      </c>
      <c r="N1217" t="s">
        <v>1144</v>
      </c>
      <c r="O1217" t="s">
        <v>82</v>
      </c>
      <c r="P1217" t="str">
        <f>"4170053761                    "</f>
        <v xml:space="preserve">4170053761                    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44.73</v>
      </c>
      <c r="AR1217">
        <v>0</v>
      </c>
      <c r="AS1217">
        <v>0</v>
      </c>
      <c r="AT1217">
        <v>0</v>
      </c>
      <c r="AU1217">
        <v>0</v>
      </c>
      <c r="AV1217">
        <v>0</v>
      </c>
      <c r="AW1217">
        <v>0</v>
      </c>
      <c r="AX1217">
        <v>0</v>
      </c>
      <c r="AY1217">
        <v>0</v>
      </c>
      <c r="AZ1217">
        <v>0</v>
      </c>
      <c r="BA1217">
        <v>0</v>
      </c>
      <c r="BB1217">
        <v>0</v>
      </c>
      <c r="BC1217">
        <v>0</v>
      </c>
      <c r="BD1217">
        <v>0</v>
      </c>
      <c r="BE1217">
        <v>0</v>
      </c>
      <c r="BF1217">
        <v>0</v>
      </c>
      <c r="BG1217">
        <v>0</v>
      </c>
      <c r="BH1217">
        <v>1</v>
      </c>
      <c r="BI1217">
        <v>1</v>
      </c>
      <c r="BJ1217">
        <v>0.2</v>
      </c>
      <c r="BK1217">
        <v>1</v>
      </c>
      <c r="BL1217">
        <v>138.88999999999999</v>
      </c>
      <c r="BM1217">
        <v>20.83</v>
      </c>
      <c r="BN1217">
        <v>159.72</v>
      </c>
      <c r="BO1217">
        <v>159.72</v>
      </c>
      <c r="BQ1217" t="s">
        <v>1145</v>
      </c>
      <c r="BR1217" t="s">
        <v>84</v>
      </c>
      <c r="BS1217" s="3">
        <v>45880</v>
      </c>
      <c r="BT1217" s="4">
        <v>0.49444444444444446</v>
      </c>
      <c r="BU1217" t="s">
        <v>1972</v>
      </c>
      <c r="BV1217" t="s">
        <v>86</v>
      </c>
      <c r="BY1217">
        <v>1200</v>
      </c>
      <c r="CA1217" t="s">
        <v>1147</v>
      </c>
      <c r="CC1217" t="s">
        <v>1143</v>
      </c>
      <c r="CD1217">
        <v>6300</v>
      </c>
      <c r="CE1217" t="s">
        <v>109</v>
      </c>
      <c r="CF1217" s="3">
        <v>45880</v>
      </c>
      <c r="CI1217">
        <v>2</v>
      </c>
      <c r="CJ1217">
        <v>1</v>
      </c>
      <c r="CK1217">
        <v>23</v>
      </c>
      <c r="CL1217" t="s">
        <v>90</v>
      </c>
    </row>
    <row r="1218" spans="1:90" x14ac:dyDescent="0.3">
      <c r="A1218" t="s">
        <v>72</v>
      </c>
      <c r="B1218" t="s">
        <v>73</v>
      </c>
      <c r="C1218" t="s">
        <v>74</v>
      </c>
      <c r="E1218" t="str">
        <f>"080067116926"</f>
        <v>080067116926</v>
      </c>
      <c r="F1218" s="3">
        <v>45877</v>
      </c>
      <c r="G1218">
        <v>202605</v>
      </c>
      <c r="H1218" t="s">
        <v>75</v>
      </c>
      <c r="I1218" t="s">
        <v>76</v>
      </c>
      <c r="J1218" t="s">
        <v>77</v>
      </c>
      <c r="K1218" t="s">
        <v>78</v>
      </c>
      <c r="L1218" t="s">
        <v>75</v>
      </c>
      <c r="M1218" t="s">
        <v>76</v>
      </c>
      <c r="N1218" t="s">
        <v>1973</v>
      </c>
      <c r="O1218" t="s">
        <v>82</v>
      </c>
      <c r="P1218" t="str">
        <f>"4170053873                    "</f>
        <v xml:space="preserve">4170053873                    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18.03</v>
      </c>
      <c r="AR1218">
        <v>0</v>
      </c>
      <c r="AS1218">
        <v>0</v>
      </c>
      <c r="AT1218">
        <v>0</v>
      </c>
      <c r="AU1218">
        <v>0</v>
      </c>
      <c r="AV1218">
        <v>0</v>
      </c>
      <c r="AW1218">
        <v>0</v>
      </c>
      <c r="AX1218">
        <v>0</v>
      </c>
      <c r="AY1218">
        <v>0</v>
      </c>
      <c r="AZ1218">
        <v>0</v>
      </c>
      <c r="BA1218">
        <v>0</v>
      </c>
      <c r="BB1218">
        <v>0</v>
      </c>
      <c r="BC1218">
        <v>0</v>
      </c>
      <c r="BD1218">
        <v>0</v>
      </c>
      <c r="BE1218">
        <v>0</v>
      </c>
      <c r="BF1218">
        <v>0</v>
      </c>
      <c r="BG1218">
        <v>0</v>
      </c>
      <c r="BH1218">
        <v>1</v>
      </c>
      <c r="BI1218">
        <v>1</v>
      </c>
      <c r="BJ1218">
        <v>0.2</v>
      </c>
      <c r="BK1218">
        <v>1</v>
      </c>
      <c r="BL1218">
        <v>55.99</v>
      </c>
      <c r="BM1218">
        <v>8.4</v>
      </c>
      <c r="BN1218">
        <v>64.39</v>
      </c>
      <c r="BO1218">
        <v>64.39</v>
      </c>
      <c r="BQ1218" t="s">
        <v>1974</v>
      </c>
      <c r="BR1218" t="s">
        <v>84</v>
      </c>
      <c r="BS1218" s="3">
        <v>45880</v>
      </c>
      <c r="BT1218" s="4">
        <v>0.41319444444444442</v>
      </c>
      <c r="BU1218" t="s">
        <v>1975</v>
      </c>
      <c r="BV1218" t="s">
        <v>86</v>
      </c>
      <c r="BY1218">
        <v>1200</v>
      </c>
      <c r="CA1218" t="s">
        <v>155</v>
      </c>
      <c r="CC1218" t="s">
        <v>76</v>
      </c>
      <c r="CD1218">
        <v>1625</v>
      </c>
      <c r="CE1218" t="s">
        <v>109</v>
      </c>
      <c r="CF1218" s="3">
        <v>45880</v>
      </c>
      <c r="CI1218">
        <v>1</v>
      </c>
      <c r="CJ1218">
        <v>1</v>
      </c>
      <c r="CK1218">
        <v>22</v>
      </c>
      <c r="CL1218" t="s">
        <v>90</v>
      </c>
    </row>
    <row r="1219" spans="1:90" x14ac:dyDescent="0.3">
      <c r="A1219" t="s">
        <v>72</v>
      </c>
      <c r="B1219" t="s">
        <v>73</v>
      </c>
      <c r="C1219" t="s">
        <v>74</v>
      </c>
      <c r="E1219" t="str">
        <f>"080067116948"</f>
        <v>080067116948</v>
      </c>
      <c r="F1219" s="3">
        <v>45877</v>
      </c>
      <c r="G1219">
        <v>202605</v>
      </c>
      <c r="H1219" t="s">
        <v>75</v>
      </c>
      <c r="I1219" t="s">
        <v>76</v>
      </c>
      <c r="J1219" t="s">
        <v>77</v>
      </c>
      <c r="K1219" t="s">
        <v>78</v>
      </c>
      <c r="L1219" t="s">
        <v>198</v>
      </c>
      <c r="M1219" t="s">
        <v>199</v>
      </c>
      <c r="N1219" t="s">
        <v>955</v>
      </c>
      <c r="O1219" t="s">
        <v>82</v>
      </c>
      <c r="P1219" t="str">
        <f>"4170053825                    "</f>
        <v xml:space="preserve">4170053825                    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  <c r="AQ1219">
        <v>23.09</v>
      </c>
      <c r="AR1219">
        <v>0</v>
      </c>
      <c r="AS1219">
        <v>0</v>
      </c>
      <c r="AT1219">
        <v>0</v>
      </c>
      <c r="AU1219">
        <v>0</v>
      </c>
      <c r="AV1219">
        <v>0</v>
      </c>
      <c r="AW1219">
        <v>0</v>
      </c>
      <c r="AX1219">
        <v>0</v>
      </c>
      <c r="AY1219">
        <v>0</v>
      </c>
      <c r="AZ1219">
        <v>0</v>
      </c>
      <c r="BA1219">
        <v>0</v>
      </c>
      <c r="BB1219">
        <v>0</v>
      </c>
      <c r="BC1219">
        <v>0</v>
      </c>
      <c r="BD1219">
        <v>0</v>
      </c>
      <c r="BE1219">
        <v>0</v>
      </c>
      <c r="BF1219">
        <v>0</v>
      </c>
      <c r="BG1219">
        <v>0</v>
      </c>
      <c r="BH1219">
        <v>1</v>
      </c>
      <c r="BI1219">
        <v>1</v>
      </c>
      <c r="BJ1219">
        <v>0.2</v>
      </c>
      <c r="BK1219">
        <v>1</v>
      </c>
      <c r="BL1219">
        <v>71.69</v>
      </c>
      <c r="BM1219">
        <v>10.75</v>
      </c>
      <c r="BN1219">
        <v>82.44</v>
      </c>
      <c r="BO1219">
        <v>82.44</v>
      </c>
      <c r="BQ1219" t="s">
        <v>956</v>
      </c>
      <c r="BR1219" t="s">
        <v>84</v>
      </c>
      <c r="BS1219" s="3">
        <v>45880</v>
      </c>
      <c r="BT1219" s="4">
        <v>0.43263888888888891</v>
      </c>
      <c r="BU1219" t="s">
        <v>1976</v>
      </c>
      <c r="BV1219" t="s">
        <v>86</v>
      </c>
      <c r="BY1219">
        <v>1200</v>
      </c>
      <c r="CA1219" t="s">
        <v>433</v>
      </c>
      <c r="CC1219" t="s">
        <v>199</v>
      </c>
      <c r="CD1219">
        <v>6012</v>
      </c>
      <c r="CE1219" t="s">
        <v>109</v>
      </c>
      <c r="CF1219" s="3">
        <v>45880</v>
      </c>
      <c r="CI1219">
        <v>1</v>
      </c>
      <c r="CJ1219">
        <v>1</v>
      </c>
      <c r="CK1219">
        <v>21</v>
      </c>
      <c r="CL1219" t="s">
        <v>90</v>
      </c>
    </row>
    <row r="1220" spans="1:90" x14ac:dyDescent="0.3">
      <c r="A1220" t="s">
        <v>72</v>
      </c>
      <c r="B1220" t="s">
        <v>73</v>
      </c>
      <c r="C1220" t="s">
        <v>74</v>
      </c>
      <c r="E1220" t="str">
        <f>"080067116991"</f>
        <v>080067116991</v>
      </c>
      <c r="F1220" s="3">
        <v>45877</v>
      </c>
      <c r="G1220">
        <v>202605</v>
      </c>
      <c r="H1220" t="s">
        <v>75</v>
      </c>
      <c r="I1220" t="s">
        <v>76</v>
      </c>
      <c r="J1220" t="s">
        <v>77</v>
      </c>
      <c r="K1220" t="s">
        <v>78</v>
      </c>
      <c r="L1220" t="s">
        <v>179</v>
      </c>
      <c r="M1220" t="s">
        <v>180</v>
      </c>
      <c r="N1220" t="s">
        <v>275</v>
      </c>
      <c r="O1220" t="s">
        <v>82</v>
      </c>
      <c r="P1220" t="str">
        <f>"4170053816                    "</f>
        <v xml:space="preserve">4170053816                    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32.47</v>
      </c>
      <c r="AR1220">
        <v>0</v>
      </c>
      <c r="AS1220">
        <v>0</v>
      </c>
      <c r="AT1220">
        <v>0</v>
      </c>
      <c r="AU1220">
        <v>0</v>
      </c>
      <c r="AV1220">
        <v>0</v>
      </c>
      <c r="AW1220">
        <v>0</v>
      </c>
      <c r="AX1220">
        <v>0</v>
      </c>
      <c r="AY1220">
        <v>0</v>
      </c>
      <c r="AZ1220">
        <v>0</v>
      </c>
      <c r="BA1220">
        <v>0</v>
      </c>
      <c r="BB1220">
        <v>0</v>
      </c>
      <c r="BC1220">
        <v>0</v>
      </c>
      <c r="BD1220">
        <v>0</v>
      </c>
      <c r="BE1220">
        <v>0</v>
      </c>
      <c r="BF1220">
        <v>0</v>
      </c>
      <c r="BG1220">
        <v>0</v>
      </c>
      <c r="BH1220">
        <v>1</v>
      </c>
      <c r="BI1220">
        <v>1</v>
      </c>
      <c r="BJ1220">
        <v>0.2</v>
      </c>
      <c r="BK1220">
        <v>1</v>
      </c>
      <c r="BL1220">
        <v>100.82</v>
      </c>
      <c r="BM1220">
        <v>15.12</v>
      </c>
      <c r="BN1220">
        <v>115.94</v>
      </c>
      <c r="BO1220">
        <v>115.94</v>
      </c>
      <c r="BQ1220" t="s">
        <v>276</v>
      </c>
      <c r="BR1220" t="s">
        <v>84</v>
      </c>
      <c r="BS1220" s="3">
        <v>45880</v>
      </c>
      <c r="BT1220" s="4">
        <v>0.4201388888888889</v>
      </c>
      <c r="BU1220" t="s">
        <v>1658</v>
      </c>
      <c r="BV1220" t="s">
        <v>86</v>
      </c>
      <c r="BY1220">
        <v>1200</v>
      </c>
      <c r="CA1220" t="s">
        <v>184</v>
      </c>
      <c r="CC1220" t="s">
        <v>180</v>
      </c>
      <c r="CD1220">
        <v>1748</v>
      </c>
      <c r="CE1220" t="s">
        <v>109</v>
      </c>
      <c r="CF1220" s="3">
        <v>45881</v>
      </c>
      <c r="CI1220">
        <v>1</v>
      </c>
      <c r="CJ1220">
        <v>1</v>
      </c>
      <c r="CK1220">
        <v>24</v>
      </c>
      <c r="CL1220" t="s">
        <v>90</v>
      </c>
    </row>
    <row r="1221" spans="1:90" x14ac:dyDescent="0.3">
      <c r="A1221" t="s">
        <v>72</v>
      </c>
      <c r="B1221" t="s">
        <v>73</v>
      </c>
      <c r="C1221" t="s">
        <v>74</v>
      </c>
      <c r="E1221" t="str">
        <f>"080067117018"</f>
        <v>080067117018</v>
      </c>
      <c r="F1221" s="3">
        <v>45877</v>
      </c>
      <c r="G1221">
        <v>202605</v>
      </c>
      <c r="H1221" t="s">
        <v>75</v>
      </c>
      <c r="I1221" t="s">
        <v>76</v>
      </c>
      <c r="J1221" t="s">
        <v>77</v>
      </c>
      <c r="K1221" t="s">
        <v>78</v>
      </c>
      <c r="L1221" t="s">
        <v>234</v>
      </c>
      <c r="M1221" t="s">
        <v>235</v>
      </c>
      <c r="N1221" t="s">
        <v>821</v>
      </c>
      <c r="O1221" t="s">
        <v>82</v>
      </c>
      <c r="P1221" t="str">
        <f>"4170053956                    "</f>
        <v xml:space="preserve">4170053956                    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Q1221">
        <v>23.09</v>
      </c>
      <c r="AR1221">
        <v>0</v>
      </c>
      <c r="AS1221">
        <v>0</v>
      </c>
      <c r="AT1221">
        <v>0</v>
      </c>
      <c r="AU1221">
        <v>0</v>
      </c>
      <c r="AV1221">
        <v>0</v>
      </c>
      <c r="AW1221">
        <v>0</v>
      </c>
      <c r="AX1221">
        <v>0</v>
      </c>
      <c r="AY1221">
        <v>0</v>
      </c>
      <c r="AZ1221">
        <v>0</v>
      </c>
      <c r="BA1221">
        <v>0</v>
      </c>
      <c r="BB1221">
        <v>0</v>
      </c>
      <c r="BC1221">
        <v>0</v>
      </c>
      <c r="BD1221">
        <v>0</v>
      </c>
      <c r="BE1221">
        <v>0</v>
      </c>
      <c r="BF1221">
        <v>0</v>
      </c>
      <c r="BG1221">
        <v>0</v>
      </c>
      <c r="BH1221">
        <v>1</v>
      </c>
      <c r="BI1221">
        <v>1</v>
      </c>
      <c r="BJ1221">
        <v>0.2</v>
      </c>
      <c r="BK1221">
        <v>1</v>
      </c>
      <c r="BL1221">
        <v>71.69</v>
      </c>
      <c r="BM1221">
        <v>10.75</v>
      </c>
      <c r="BN1221">
        <v>82.44</v>
      </c>
      <c r="BO1221">
        <v>82.44</v>
      </c>
      <c r="BQ1221" t="s">
        <v>822</v>
      </c>
      <c r="BR1221" t="s">
        <v>84</v>
      </c>
      <c r="BS1221" s="3">
        <v>45880</v>
      </c>
      <c r="BT1221" s="4">
        <v>0.39652777777777776</v>
      </c>
      <c r="BU1221" t="s">
        <v>1936</v>
      </c>
      <c r="BV1221" t="s">
        <v>86</v>
      </c>
      <c r="BY1221">
        <v>1200</v>
      </c>
      <c r="CA1221" t="s">
        <v>824</v>
      </c>
      <c r="CC1221" t="s">
        <v>235</v>
      </c>
      <c r="CD1221" s="5" t="s">
        <v>240</v>
      </c>
      <c r="CE1221" t="s">
        <v>109</v>
      </c>
      <c r="CF1221" s="3">
        <v>45880</v>
      </c>
      <c r="CI1221">
        <v>1</v>
      </c>
      <c r="CJ1221">
        <v>1</v>
      </c>
      <c r="CK1221">
        <v>21</v>
      </c>
      <c r="CL1221" t="s">
        <v>90</v>
      </c>
    </row>
    <row r="1222" spans="1:90" x14ac:dyDescent="0.3">
      <c r="A1222" t="s">
        <v>72</v>
      </c>
      <c r="B1222" t="s">
        <v>73</v>
      </c>
      <c r="C1222" t="s">
        <v>74</v>
      </c>
      <c r="E1222" t="str">
        <f>"080067117045"</f>
        <v>080067117045</v>
      </c>
      <c r="F1222" s="3">
        <v>45877</v>
      </c>
      <c r="G1222">
        <v>202605</v>
      </c>
      <c r="H1222" t="s">
        <v>75</v>
      </c>
      <c r="I1222" t="s">
        <v>76</v>
      </c>
      <c r="J1222" t="s">
        <v>77</v>
      </c>
      <c r="K1222" t="s">
        <v>78</v>
      </c>
      <c r="L1222" t="s">
        <v>162</v>
      </c>
      <c r="M1222" t="s">
        <v>163</v>
      </c>
      <c r="N1222" t="s">
        <v>764</v>
      </c>
      <c r="O1222" t="s">
        <v>82</v>
      </c>
      <c r="P1222" t="str">
        <f>"4170053877                    "</f>
        <v xml:space="preserve">4170053877                    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Q1222">
        <v>23.09</v>
      </c>
      <c r="AR1222">
        <v>0</v>
      </c>
      <c r="AS1222">
        <v>0</v>
      </c>
      <c r="AT1222">
        <v>0</v>
      </c>
      <c r="AU1222">
        <v>0</v>
      </c>
      <c r="AV1222">
        <v>0</v>
      </c>
      <c r="AW1222">
        <v>16.739999999999998</v>
      </c>
      <c r="AX1222">
        <v>0</v>
      </c>
      <c r="AY1222">
        <v>0</v>
      </c>
      <c r="AZ1222">
        <v>0</v>
      </c>
      <c r="BA1222">
        <v>0</v>
      </c>
      <c r="BB1222">
        <v>0</v>
      </c>
      <c r="BC1222">
        <v>0</v>
      </c>
      <c r="BD1222">
        <v>0</v>
      </c>
      <c r="BE1222">
        <v>0</v>
      </c>
      <c r="BF1222">
        <v>0</v>
      </c>
      <c r="BG1222">
        <v>0</v>
      </c>
      <c r="BH1222">
        <v>1</v>
      </c>
      <c r="BI1222">
        <v>1</v>
      </c>
      <c r="BJ1222">
        <v>0.2</v>
      </c>
      <c r="BK1222">
        <v>1</v>
      </c>
      <c r="BL1222">
        <v>88.43</v>
      </c>
      <c r="BM1222">
        <v>13.26</v>
      </c>
      <c r="BN1222">
        <v>101.69</v>
      </c>
      <c r="BO1222">
        <v>101.69</v>
      </c>
      <c r="BQ1222" t="s">
        <v>765</v>
      </c>
      <c r="BR1222" t="s">
        <v>84</v>
      </c>
      <c r="BS1222" s="3">
        <v>45881</v>
      </c>
      <c r="BT1222" s="4">
        <v>0.41666666666666669</v>
      </c>
      <c r="BU1222" t="s">
        <v>1977</v>
      </c>
      <c r="BV1222" t="s">
        <v>86</v>
      </c>
      <c r="BY1222">
        <v>1200</v>
      </c>
      <c r="BZ1222" t="s">
        <v>30</v>
      </c>
      <c r="CA1222" t="s">
        <v>1978</v>
      </c>
      <c r="CC1222" t="s">
        <v>163</v>
      </c>
      <c r="CD1222">
        <v>3699</v>
      </c>
      <c r="CE1222" t="s">
        <v>109</v>
      </c>
      <c r="CF1222" s="3">
        <v>45881</v>
      </c>
      <c r="CI1222">
        <v>1</v>
      </c>
      <c r="CJ1222">
        <v>2</v>
      </c>
      <c r="CK1222">
        <v>21</v>
      </c>
      <c r="CL1222" t="s">
        <v>90</v>
      </c>
    </row>
    <row r="1223" spans="1:90" x14ac:dyDescent="0.3">
      <c r="A1223" t="s">
        <v>72</v>
      </c>
      <c r="B1223" t="s">
        <v>73</v>
      </c>
      <c r="C1223" t="s">
        <v>74</v>
      </c>
      <c r="E1223" t="str">
        <f>"080067117062"</f>
        <v>080067117062</v>
      </c>
      <c r="F1223" s="3">
        <v>45877</v>
      </c>
      <c r="G1223">
        <v>202605</v>
      </c>
      <c r="H1223" t="s">
        <v>75</v>
      </c>
      <c r="I1223" t="s">
        <v>76</v>
      </c>
      <c r="J1223" t="s">
        <v>77</v>
      </c>
      <c r="K1223" t="s">
        <v>78</v>
      </c>
      <c r="L1223" t="s">
        <v>1979</v>
      </c>
      <c r="M1223" t="s">
        <v>1980</v>
      </c>
      <c r="N1223" t="s">
        <v>1981</v>
      </c>
      <c r="O1223" t="s">
        <v>82</v>
      </c>
      <c r="P1223" t="str">
        <f>"4170053992                    "</f>
        <v xml:space="preserve">4170053992                    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Q1223">
        <v>367.88</v>
      </c>
      <c r="AR1223">
        <v>0</v>
      </c>
      <c r="AS1223">
        <v>0</v>
      </c>
      <c r="AT1223">
        <v>0</v>
      </c>
      <c r="AU1223">
        <v>0</v>
      </c>
      <c r="AV1223">
        <v>0</v>
      </c>
      <c r="AW1223">
        <v>0</v>
      </c>
      <c r="AX1223">
        <v>0</v>
      </c>
      <c r="AY1223">
        <v>0</v>
      </c>
      <c r="AZ1223">
        <v>0</v>
      </c>
      <c r="BA1223">
        <v>0</v>
      </c>
      <c r="BB1223">
        <v>0</v>
      </c>
      <c r="BC1223">
        <v>0</v>
      </c>
      <c r="BD1223">
        <v>0</v>
      </c>
      <c r="BE1223">
        <v>0</v>
      </c>
      <c r="BF1223">
        <v>0</v>
      </c>
      <c r="BG1223">
        <v>0</v>
      </c>
      <c r="BH1223">
        <v>1</v>
      </c>
      <c r="BI1223">
        <v>14</v>
      </c>
      <c r="BJ1223">
        <v>17.7</v>
      </c>
      <c r="BK1223">
        <v>18</v>
      </c>
      <c r="BL1223">
        <v>1142.3599999999999</v>
      </c>
      <c r="BM1223">
        <v>171.35</v>
      </c>
      <c r="BN1223">
        <v>1313.71</v>
      </c>
      <c r="BO1223">
        <v>1313.71</v>
      </c>
      <c r="BQ1223" t="s">
        <v>1982</v>
      </c>
      <c r="BR1223" t="s">
        <v>84</v>
      </c>
      <c r="BS1223" s="3">
        <v>45880</v>
      </c>
      <c r="BT1223" s="4">
        <v>0.42777777777777776</v>
      </c>
      <c r="BU1223" t="s">
        <v>1983</v>
      </c>
      <c r="BV1223" t="s">
        <v>86</v>
      </c>
      <c r="BY1223">
        <v>88320</v>
      </c>
      <c r="CA1223" t="s">
        <v>1349</v>
      </c>
      <c r="CC1223" t="s">
        <v>1980</v>
      </c>
      <c r="CD1223">
        <v>7129</v>
      </c>
      <c r="CE1223" t="s">
        <v>147</v>
      </c>
      <c r="CF1223" s="3">
        <v>45881</v>
      </c>
      <c r="CI1223">
        <v>1</v>
      </c>
      <c r="CJ1223">
        <v>1</v>
      </c>
      <c r="CK1223">
        <v>23</v>
      </c>
      <c r="CL1223" t="s">
        <v>90</v>
      </c>
    </row>
    <row r="1224" spans="1:90" x14ac:dyDescent="0.3">
      <c r="A1224" t="s">
        <v>72</v>
      </c>
      <c r="B1224" t="s">
        <v>73</v>
      </c>
      <c r="C1224" t="s">
        <v>74</v>
      </c>
      <c r="E1224" t="str">
        <f>"080067117065"</f>
        <v>080067117065</v>
      </c>
      <c r="F1224" s="3">
        <v>45877</v>
      </c>
      <c r="G1224">
        <v>202605</v>
      </c>
      <c r="H1224" t="s">
        <v>75</v>
      </c>
      <c r="I1224" t="s">
        <v>76</v>
      </c>
      <c r="J1224" t="s">
        <v>77</v>
      </c>
      <c r="K1224" t="s">
        <v>78</v>
      </c>
      <c r="L1224" t="s">
        <v>278</v>
      </c>
      <c r="M1224" t="s">
        <v>279</v>
      </c>
      <c r="N1224" t="s">
        <v>1984</v>
      </c>
      <c r="O1224" t="s">
        <v>82</v>
      </c>
      <c r="P1224" t="str">
        <f>"4170053870                    "</f>
        <v xml:space="preserve">4170053870                    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0</v>
      </c>
      <c r="AQ1224">
        <v>23.09</v>
      </c>
      <c r="AR1224">
        <v>0</v>
      </c>
      <c r="AS1224">
        <v>0</v>
      </c>
      <c r="AT1224">
        <v>0</v>
      </c>
      <c r="AU1224">
        <v>0</v>
      </c>
      <c r="AV1224">
        <v>0</v>
      </c>
      <c r="AW1224">
        <v>0</v>
      </c>
      <c r="AX1224">
        <v>0</v>
      </c>
      <c r="AY1224">
        <v>0</v>
      </c>
      <c r="AZ1224">
        <v>0</v>
      </c>
      <c r="BA1224">
        <v>0</v>
      </c>
      <c r="BB1224">
        <v>0</v>
      </c>
      <c r="BC1224">
        <v>0</v>
      </c>
      <c r="BD1224">
        <v>0</v>
      </c>
      <c r="BE1224">
        <v>0</v>
      </c>
      <c r="BF1224">
        <v>0</v>
      </c>
      <c r="BG1224">
        <v>0</v>
      </c>
      <c r="BH1224">
        <v>1</v>
      </c>
      <c r="BI1224">
        <v>1</v>
      </c>
      <c r="BJ1224">
        <v>0.2</v>
      </c>
      <c r="BK1224">
        <v>1</v>
      </c>
      <c r="BL1224">
        <v>71.69</v>
      </c>
      <c r="BM1224">
        <v>10.75</v>
      </c>
      <c r="BN1224">
        <v>82.44</v>
      </c>
      <c r="BO1224">
        <v>82.44</v>
      </c>
      <c r="BQ1224" t="s">
        <v>1985</v>
      </c>
      <c r="BR1224" t="s">
        <v>84</v>
      </c>
      <c r="BS1224" s="3">
        <v>45880</v>
      </c>
      <c r="BT1224" s="4">
        <v>0.39652777777777776</v>
      </c>
      <c r="BU1224" t="s">
        <v>1986</v>
      </c>
      <c r="BV1224" t="s">
        <v>86</v>
      </c>
      <c r="BY1224">
        <v>1200</v>
      </c>
      <c r="CA1224" t="s">
        <v>1987</v>
      </c>
      <c r="CC1224" t="s">
        <v>279</v>
      </c>
      <c r="CD1224" s="5" t="s">
        <v>533</v>
      </c>
      <c r="CE1224" t="s">
        <v>109</v>
      </c>
      <c r="CF1224" s="3">
        <v>45880</v>
      </c>
      <c r="CI1224">
        <v>1</v>
      </c>
      <c r="CJ1224">
        <v>1</v>
      </c>
      <c r="CK1224">
        <v>21</v>
      </c>
      <c r="CL1224" t="s">
        <v>90</v>
      </c>
    </row>
    <row r="1225" spans="1:90" x14ac:dyDescent="0.3">
      <c r="A1225" t="s">
        <v>72</v>
      </c>
      <c r="B1225" t="s">
        <v>73</v>
      </c>
      <c r="C1225" t="s">
        <v>74</v>
      </c>
      <c r="E1225" t="str">
        <f>"080067117272"</f>
        <v>080067117272</v>
      </c>
      <c r="F1225" s="3">
        <v>45877</v>
      </c>
      <c r="G1225">
        <v>202605</v>
      </c>
      <c r="H1225" t="s">
        <v>75</v>
      </c>
      <c r="I1225" t="s">
        <v>76</v>
      </c>
      <c r="J1225" t="s">
        <v>77</v>
      </c>
      <c r="K1225" t="s">
        <v>78</v>
      </c>
      <c r="L1225" t="s">
        <v>137</v>
      </c>
      <c r="M1225" t="s">
        <v>138</v>
      </c>
      <c r="N1225" t="s">
        <v>1760</v>
      </c>
      <c r="O1225" t="s">
        <v>82</v>
      </c>
      <c r="P1225" t="str">
        <f>"4170053828                    "</f>
        <v xml:space="preserve">4170053828                    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  <c r="AQ1225">
        <v>23.09</v>
      </c>
      <c r="AR1225">
        <v>0</v>
      </c>
      <c r="AS1225">
        <v>0</v>
      </c>
      <c r="AT1225">
        <v>0</v>
      </c>
      <c r="AU1225">
        <v>0</v>
      </c>
      <c r="AV1225">
        <v>0</v>
      </c>
      <c r="AW1225">
        <v>0</v>
      </c>
      <c r="AX1225">
        <v>0</v>
      </c>
      <c r="AY1225">
        <v>0</v>
      </c>
      <c r="AZ1225">
        <v>0</v>
      </c>
      <c r="BA1225">
        <v>0</v>
      </c>
      <c r="BB1225">
        <v>0</v>
      </c>
      <c r="BC1225">
        <v>0</v>
      </c>
      <c r="BD1225">
        <v>0</v>
      </c>
      <c r="BE1225">
        <v>0</v>
      </c>
      <c r="BF1225">
        <v>0</v>
      </c>
      <c r="BG1225">
        <v>0</v>
      </c>
      <c r="BH1225">
        <v>1</v>
      </c>
      <c r="BI1225">
        <v>1</v>
      </c>
      <c r="BJ1225">
        <v>1.1000000000000001</v>
      </c>
      <c r="BK1225">
        <v>1.5</v>
      </c>
      <c r="BL1225">
        <v>71.69</v>
      </c>
      <c r="BM1225">
        <v>10.75</v>
      </c>
      <c r="BN1225">
        <v>82.44</v>
      </c>
      <c r="BO1225">
        <v>82.44</v>
      </c>
      <c r="BQ1225" t="s">
        <v>1761</v>
      </c>
      <c r="BR1225" t="s">
        <v>84</v>
      </c>
      <c r="BS1225" s="3">
        <v>45880</v>
      </c>
      <c r="BT1225" s="4">
        <v>0.46180555555555558</v>
      </c>
      <c r="BU1225" t="s">
        <v>1988</v>
      </c>
      <c r="BV1225" t="s">
        <v>86</v>
      </c>
      <c r="BY1225">
        <v>5320</v>
      </c>
      <c r="CA1225" t="s">
        <v>953</v>
      </c>
      <c r="CC1225" t="s">
        <v>138</v>
      </c>
      <c r="CD1225">
        <v>3610</v>
      </c>
      <c r="CE1225" t="s">
        <v>147</v>
      </c>
      <c r="CF1225" s="3">
        <v>45881</v>
      </c>
      <c r="CI1225">
        <v>1</v>
      </c>
      <c r="CJ1225">
        <v>1</v>
      </c>
      <c r="CK1225">
        <v>21</v>
      </c>
      <c r="CL1225" t="s">
        <v>90</v>
      </c>
    </row>
    <row r="1226" spans="1:90" x14ac:dyDescent="0.3">
      <c r="A1226" t="s">
        <v>72</v>
      </c>
      <c r="B1226" t="s">
        <v>73</v>
      </c>
      <c r="C1226" t="s">
        <v>74</v>
      </c>
      <c r="E1226" t="str">
        <f>"080067117300"</f>
        <v>080067117300</v>
      </c>
      <c r="F1226" s="3">
        <v>45877</v>
      </c>
      <c r="G1226">
        <v>202605</v>
      </c>
      <c r="H1226" t="s">
        <v>75</v>
      </c>
      <c r="I1226" t="s">
        <v>76</v>
      </c>
      <c r="J1226" t="s">
        <v>77</v>
      </c>
      <c r="K1226" t="s">
        <v>78</v>
      </c>
      <c r="L1226" t="s">
        <v>400</v>
      </c>
      <c r="M1226" t="s">
        <v>401</v>
      </c>
      <c r="N1226" t="s">
        <v>1597</v>
      </c>
      <c r="O1226" t="s">
        <v>82</v>
      </c>
      <c r="P1226" t="str">
        <f>"4170053867                    "</f>
        <v xml:space="preserve">4170053867                    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0</v>
      </c>
      <c r="AQ1226">
        <v>23.09</v>
      </c>
      <c r="AR1226">
        <v>0</v>
      </c>
      <c r="AS1226">
        <v>0</v>
      </c>
      <c r="AT1226">
        <v>0</v>
      </c>
      <c r="AU1226">
        <v>0</v>
      </c>
      <c r="AV1226">
        <v>0</v>
      </c>
      <c r="AW1226">
        <v>0</v>
      </c>
      <c r="AX1226">
        <v>0</v>
      </c>
      <c r="AY1226">
        <v>0</v>
      </c>
      <c r="AZ1226">
        <v>0</v>
      </c>
      <c r="BA1226">
        <v>0</v>
      </c>
      <c r="BB1226">
        <v>0</v>
      </c>
      <c r="BC1226">
        <v>0</v>
      </c>
      <c r="BD1226">
        <v>0</v>
      </c>
      <c r="BE1226">
        <v>0</v>
      </c>
      <c r="BF1226">
        <v>0</v>
      </c>
      <c r="BG1226">
        <v>0</v>
      </c>
      <c r="BH1226">
        <v>1</v>
      </c>
      <c r="BI1226">
        <v>1</v>
      </c>
      <c r="BJ1226">
        <v>0.6</v>
      </c>
      <c r="BK1226">
        <v>1</v>
      </c>
      <c r="BL1226">
        <v>71.69</v>
      </c>
      <c r="BM1226">
        <v>10.75</v>
      </c>
      <c r="BN1226">
        <v>82.44</v>
      </c>
      <c r="BO1226">
        <v>82.44</v>
      </c>
      <c r="BQ1226" t="s">
        <v>1598</v>
      </c>
      <c r="BR1226" t="s">
        <v>84</v>
      </c>
      <c r="BS1226" s="3">
        <v>45881</v>
      </c>
      <c r="BT1226" s="4">
        <v>0.35</v>
      </c>
      <c r="BU1226" t="s">
        <v>1989</v>
      </c>
      <c r="BV1226" t="s">
        <v>86</v>
      </c>
      <c r="BY1226">
        <v>3192</v>
      </c>
      <c r="CC1226" t="s">
        <v>401</v>
      </c>
      <c r="CD1226">
        <v>6229</v>
      </c>
      <c r="CE1226" t="s">
        <v>147</v>
      </c>
      <c r="CF1226" s="3">
        <v>45881</v>
      </c>
      <c r="CI1226">
        <v>1</v>
      </c>
      <c r="CJ1226">
        <v>2</v>
      </c>
      <c r="CK1226">
        <v>21</v>
      </c>
      <c r="CL1226" t="s">
        <v>90</v>
      </c>
    </row>
    <row r="1227" spans="1:90" x14ac:dyDescent="0.3">
      <c r="A1227" t="s">
        <v>72</v>
      </c>
      <c r="B1227" t="s">
        <v>73</v>
      </c>
      <c r="C1227" t="s">
        <v>74</v>
      </c>
      <c r="E1227" t="str">
        <f>"080067117334"</f>
        <v>080067117334</v>
      </c>
      <c r="F1227" s="3">
        <v>45877</v>
      </c>
      <c r="G1227">
        <v>202605</v>
      </c>
      <c r="H1227" t="s">
        <v>75</v>
      </c>
      <c r="I1227" t="s">
        <v>76</v>
      </c>
      <c r="J1227" t="s">
        <v>77</v>
      </c>
      <c r="K1227" t="s">
        <v>78</v>
      </c>
      <c r="L1227" t="s">
        <v>129</v>
      </c>
      <c r="M1227" t="s">
        <v>130</v>
      </c>
      <c r="N1227" t="s">
        <v>131</v>
      </c>
      <c r="O1227" t="s">
        <v>82</v>
      </c>
      <c r="P1227" t="str">
        <f>"4170053708                    "</f>
        <v xml:space="preserve">4170053708                    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>
        <v>40.380000000000003</v>
      </c>
      <c r="AR1227">
        <v>0</v>
      </c>
      <c r="AS1227">
        <v>0</v>
      </c>
      <c r="AT1227">
        <v>0</v>
      </c>
      <c r="AU1227">
        <v>0</v>
      </c>
      <c r="AV1227">
        <v>0</v>
      </c>
      <c r="AW1227">
        <v>0</v>
      </c>
      <c r="AX1227">
        <v>0</v>
      </c>
      <c r="AY1227">
        <v>0</v>
      </c>
      <c r="AZ1227">
        <v>0</v>
      </c>
      <c r="BA1227">
        <v>0</v>
      </c>
      <c r="BB1227">
        <v>0</v>
      </c>
      <c r="BC1227">
        <v>0</v>
      </c>
      <c r="BD1227">
        <v>0</v>
      </c>
      <c r="BE1227">
        <v>0</v>
      </c>
      <c r="BF1227">
        <v>0</v>
      </c>
      <c r="BG1227">
        <v>0</v>
      </c>
      <c r="BH1227">
        <v>1</v>
      </c>
      <c r="BI1227">
        <v>2</v>
      </c>
      <c r="BJ1227">
        <v>3.4</v>
      </c>
      <c r="BK1227">
        <v>3.5</v>
      </c>
      <c r="BL1227">
        <v>125.4</v>
      </c>
      <c r="BM1227">
        <v>18.809999999999999</v>
      </c>
      <c r="BN1227">
        <v>144.21</v>
      </c>
      <c r="BO1227">
        <v>144.21</v>
      </c>
      <c r="BQ1227" t="s">
        <v>132</v>
      </c>
      <c r="BR1227" t="s">
        <v>84</v>
      </c>
      <c r="BS1227" s="3">
        <v>45880</v>
      </c>
      <c r="BT1227" s="4">
        <v>0.52083333333333337</v>
      </c>
      <c r="BU1227" t="s">
        <v>133</v>
      </c>
      <c r="BV1227" t="s">
        <v>86</v>
      </c>
      <c r="BY1227">
        <v>16965</v>
      </c>
      <c r="CA1227" t="s">
        <v>136</v>
      </c>
      <c r="CC1227" t="s">
        <v>130</v>
      </c>
      <c r="CD1227">
        <v>4133</v>
      </c>
      <c r="CE1227" t="s">
        <v>147</v>
      </c>
      <c r="CF1227" s="3">
        <v>45881</v>
      </c>
      <c r="CI1227">
        <v>1</v>
      </c>
      <c r="CJ1227">
        <v>1</v>
      </c>
      <c r="CK1227">
        <v>21</v>
      </c>
      <c r="CL1227" t="s">
        <v>90</v>
      </c>
    </row>
    <row r="1228" spans="1:90" x14ac:dyDescent="0.3">
      <c r="A1228" t="s">
        <v>72</v>
      </c>
      <c r="B1228" t="s">
        <v>73</v>
      </c>
      <c r="C1228" t="s">
        <v>74</v>
      </c>
      <c r="E1228" t="str">
        <f>"080067117394"</f>
        <v>080067117394</v>
      </c>
      <c r="F1228" s="3">
        <v>45877</v>
      </c>
      <c r="G1228">
        <v>202605</v>
      </c>
      <c r="H1228" t="s">
        <v>75</v>
      </c>
      <c r="I1228" t="s">
        <v>76</v>
      </c>
      <c r="J1228" t="s">
        <v>77</v>
      </c>
      <c r="K1228" t="s">
        <v>78</v>
      </c>
      <c r="L1228" t="s">
        <v>217</v>
      </c>
      <c r="M1228" t="s">
        <v>218</v>
      </c>
      <c r="N1228" t="s">
        <v>219</v>
      </c>
      <c r="O1228" t="s">
        <v>82</v>
      </c>
      <c r="P1228" t="str">
        <f>"4170053830                    "</f>
        <v xml:space="preserve">4170053830                    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23.09</v>
      </c>
      <c r="AR1228">
        <v>0</v>
      </c>
      <c r="AS1228">
        <v>0</v>
      </c>
      <c r="AT1228">
        <v>0</v>
      </c>
      <c r="AU1228">
        <v>0</v>
      </c>
      <c r="AV1228">
        <v>0</v>
      </c>
      <c r="AW1228">
        <v>0</v>
      </c>
      <c r="AX1228">
        <v>0</v>
      </c>
      <c r="AY1228">
        <v>0</v>
      </c>
      <c r="AZ1228">
        <v>0</v>
      </c>
      <c r="BA1228">
        <v>0</v>
      </c>
      <c r="BB1228">
        <v>0</v>
      </c>
      <c r="BC1228">
        <v>0</v>
      </c>
      <c r="BD1228">
        <v>0</v>
      </c>
      <c r="BE1228">
        <v>0</v>
      </c>
      <c r="BF1228">
        <v>0</v>
      </c>
      <c r="BG1228">
        <v>0</v>
      </c>
      <c r="BH1228">
        <v>1</v>
      </c>
      <c r="BI1228">
        <v>1</v>
      </c>
      <c r="BJ1228">
        <v>0.2</v>
      </c>
      <c r="BK1228">
        <v>1</v>
      </c>
      <c r="BL1228">
        <v>71.69</v>
      </c>
      <c r="BM1228">
        <v>10.75</v>
      </c>
      <c r="BN1228">
        <v>82.44</v>
      </c>
      <c r="BO1228">
        <v>82.44</v>
      </c>
      <c r="BQ1228" t="s">
        <v>220</v>
      </c>
      <c r="BR1228" t="s">
        <v>84</v>
      </c>
      <c r="BS1228" s="3">
        <v>45880</v>
      </c>
      <c r="BT1228" s="4">
        <v>0.33750000000000002</v>
      </c>
      <c r="BU1228" t="s">
        <v>221</v>
      </c>
      <c r="BV1228" t="s">
        <v>86</v>
      </c>
      <c r="BY1228">
        <v>1200</v>
      </c>
      <c r="CA1228" t="s">
        <v>566</v>
      </c>
      <c r="CC1228" t="s">
        <v>218</v>
      </c>
      <c r="CD1228">
        <v>4000</v>
      </c>
      <c r="CE1228" t="s">
        <v>109</v>
      </c>
      <c r="CF1228" s="3">
        <v>45881</v>
      </c>
      <c r="CI1228">
        <v>1</v>
      </c>
      <c r="CJ1228">
        <v>1</v>
      </c>
      <c r="CK1228">
        <v>21</v>
      </c>
      <c r="CL1228" t="s">
        <v>90</v>
      </c>
    </row>
    <row r="1229" spans="1:90" x14ac:dyDescent="0.3">
      <c r="A1229" t="s">
        <v>72</v>
      </c>
      <c r="B1229" t="s">
        <v>73</v>
      </c>
      <c r="C1229" t="s">
        <v>74</v>
      </c>
      <c r="E1229" t="str">
        <f>"080067117428"</f>
        <v>080067117428</v>
      </c>
      <c r="F1229" s="3">
        <v>45877</v>
      </c>
      <c r="G1229">
        <v>202605</v>
      </c>
      <c r="H1229" t="s">
        <v>75</v>
      </c>
      <c r="I1229" t="s">
        <v>76</v>
      </c>
      <c r="J1229" t="s">
        <v>77</v>
      </c>
      <c r="K1229" t="s">
        <v>78</v>
      </c>
      <c r="L1229" t="s">
        <v>123</v>
      </c>
      <c r="M1229" t="s">
        <v>124</v>
      </c>
      <c r="N1229" t="s">
        <v>1173</v>
      </c>
      <c r="O1229" t="s">
        <v>82</v>
      </c>
      <c r="P1229" t="str">
        <f>"4170053896                    "</f>
        <v xml:space="preserve">4170053896                    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23.09</v>
      </c>
      <c r="AR1229">
        <v>0</v>
      </c>
      <c r="AS1229">
        <v>0</v>
      </c>
      <c r="AT1229">
        <v>0</v>
      </c>
      <c r="AU1229">
        <v>0</v>
      </c>
      <c r="AV1229">
        <v>0</v>
      </c>
      <c r="AW1229">
        <v>0</v>
      </c>
      <c r="AX1229">
        <v>0</v>
      </c>
      <c r="AY1229">
        <v>0</v>
      </c>
      <c r="AZ1229">
        <v>0</v>
      </c>
      <c r="BA1229">
        <v>0</v>
      </c>
      <c r="BB1229">
        <v>0</v>
      </c>
      <c r="BC1229">
        <v>0</v>
      </c>
      <c r="BD1229">
        <v>0</v>
      </c>
      <c r="BE1229">
        <v>0</v>
      </c>
      <c r="BF1229">
        <v>0</v>
      </c>
      <c r="BG1229">
        <v>0</v>
      </c>
      <c r="BH1229">
        <v>1</v>
      </c>
      <c r="BI1229">
        <v>1</v>
      </c>
      <c r="BJ1229">
        <v>0.2</v>
      </c>
      <c r="BK1229">
        <v>1</v>
      </c>
      <c r="BL1229">
        <v>71.69</v>
      </c>
      <c r="BM1229">
        <v>10.75</v>
      </c>
      <c r="BN1229">
        <v>82.44</v>
      </c>
      <c r="BO1229">
        <v>82.44</v>
      </c>
      <c r="BQ1229" t="s">
        <v>1174</v>
      </c>
      <c r="BR1229" t="s">
        <v>84</v>
      </c>
      <c r="BS1229" s="3">
        <v>45880</v>
      </c>
      <c r="BT1229" s="4">
        <v>0.40694444444444444</v>
      </c>
      <c r="BU1229" t="s">
        <v>1175</v>
      </c>
      <c r="BV1229" t="s">
        <v>86</v>
      </c>
      <c r="BY1229">
        <v>1200</v>
      </c>
      <c r="CA1229" t="s">
        <v>192</v>
      </c>
      <c r="CC1229" t="s">
        <v>124</v>
      </c>
      <c r="CD1229">
        <v>7405</v>
      </c>
      <c r="CE1229" t="s">
        <v>109</v>
      </c>
      <c r="CF1229" s="3">
        <v>45881</v>
      </c>
      <c r="CI1229">
        <v>1</v>
      </c>
      <c r="CJ1229">
        <v>1</v>
      </c>
      <c r="CK1229">
        <v>21</v>
      </c>
      <c r="CL1229" t="s">
        <v>90</v>
      </c>
    </row>
    <row r="1230" spans="1:90" x14ac:dyDescent="0.3">
      <c r="A1230" t="s">
        <v>72</v>
      </c>
      <c r="B1230" t="s">
        <v>73</v>
      </c>
      <c r="C1230" t="s">
        <v>74</v>
      </c>
      <c r="E1230" t="str">
        <f>"080067117446"</f>
        <v>080067117446</v>
      </c>
      <c r="F1230" s="3">
        <v>45877</v>
      </c>
      <c r="G1230">
        <v>202605</v>
      </c>
      <c r="H1230" t="s">
        <v>75</v>
      </c>
      <c r="I1230" t="s">
        <v>76</v>
      </c>
      <c r="J1230" t="s">
        <v>77</v>
      </c>
      <c r="K1230" t="s">
        <v>78</v>
      </c>
      <c r="L1230" t="s">
        <v>217</v>
      </c>
      <c r="M1230" t="s">
        <v>218</v>
      </c>
      <c r="N1230" t="s">
        <v>1990</v>
      </c>
      <c r="O1230" t="s">
        <v>82</v>
      </c>
      <c r="P1230" t="str">
        <f>"4170053743                    "</f>
        <v xml:space="preserve">4170053743                    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>
        <v>80.75</v>
      </c>
      <c r="AR1230">
        <v>0</v>
      </c>
      <c r="AS1230">
        <v>0</v>
      </c>
      <c r="AT1230">
        <v>0</v>
      </c>
      <c r="AU1230">
        <v>0</v>
      </c>
      <c r="AV1230">
        <v>0</v>
      </c>
      <c r="AW1230">
        <v>0</v>
      </c>
      <c r="AX1230">
        <v>0</v>
      </c>
      <c r="AY1230">
        <v>0</v>
      </c>
      <c r="AZ1230">
        <v>0</v>
      </c>
      <c r="BA1230">
        <v>0</v>
      </c>
      <c r="BB1230">
        <v>0</v>
      </c>
      <c r="BC1230">
        <v>0</v>
      </c>
      <c r="BD1230">
        <v>0</v>
      </c>
      <c r="BE1230">
        <v>0</v>
      </c>
      <c r="BF1230">
        <v>0</v>
      </c>
      <c r="BG1230">
        <v>0</v>
      </c>
      <c r="BH1230">
        <v>1</v>
      </c>
      <c r="BI1230">
        <v>3</v>
      </c>
      <c r="BJ1230">
        <v>6.9</v>
      </c>
      <c r="BK1230">
        <v>7</v>
      </c>
      <c r="BL1230">
        <v>250.75</v>
      </c>
      <c r="BM1230">
        <v>37.61</v>
      </c>
      <c r="BN1230">
        <v>288.36</v>
      </c>
      <c r="BO1230">
        <v>288.36</v>
      </c>
      <c r="BQ1230" t="s">
        <v>1991</v>
      </c>
      <c r="BR1230" t="s">
        <v>84</v>
      </c>
      <c r="BS1230" s="3">
        <v>45880</v>
      </c>
      <c r="BT1230" s="4">
        <v>0.42569444444444443</v>
      </c>
      <c r="BU1230" t="s">
        <v>1992</v>
      </c>
      <c r="BV1230" t="s">
        <v>86</v>
      </c>
      <c r="BY1230">
        <v>34560</v>
      </c>
      <c r="CA1230" t="s">
        <v>425</v>
      </c>
      <c r="CC1230" t="s">
        <v>218</v>
      </c>
      <c r="CD1230">
        <v>4051</v>
      </c>
      <c r="CE1230" t="s">
        <v>117</v>
      </c>
      <c r="CF1230" s="3">
        <v>45881</v>
      </c>
      <c r="CI1230">
        <v>1</v>
      </c>
      <c r="CJ1230">
        <v>1</v>
      </c>
      <c r="CK1230">
        <v>21</v>
      </c>
      <c r="CL1230" t="s">
        <v>90</v>
      </c>
    </row>
    <row r="1231" spans="1:90" x14ac:dyDescent="0.3">
      <c r="A1231" t="s">
        <v>72</v>
      </c>
      <c r="B1231" t="s">
        <v>73</v>
      </c>
      <c r="C1231" t="s">
        <v>74</v>
      </c>
      <c r="E1231" t="str">
        <f>"080067117464"</f>
        <v>080067117464</v>
      </c>
      <c r="F1231" s="3">
        <v>45877</v>
      </c>
      <c r="G1231">
        <v>202605</v>
      </c>
      <c r="H1231" t="s">
        <v>75</v>
      </c>
      <c r="I1231" t="s">
        <v>76</v>
      </c>
      <c r="J1231" t="s">
        <v>77</v>
      </c>
      <c r="K1231" t="s">
        <v>78</v>
      </c>
      <c r="L1231" t="s">
        <v>217</v>
      </c>
      <c r="M1231" t="s">
        <v>218</v>
      </c>
      <c r="N1231" t="s">
        <v>219</v>
      </c>
      <c r="O1231" t="s">
        <v>82</v>
      </c>
      <c r="P1231" t="str">
        <f>"4170053912                    "</f>
        <v xml:space="preserve">4170053912                    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23.09</v>
      </c>
      <c r="AR1231">
        <v>0</v>
      </c>
      <c r="AS1231">
        <v>0</v>
      </c>
      <c r="AT1231">
        <v>0</v>
      </c>
      <c r="AU1231">
        <v>0</v>
      </c>
      <c r="AV1231">
        <v>0</v>
      </c>
      <c r="AW1231">
        <v>0</v>
      </c>
      <c r="AX1231">
        <v>0</v>
      </c>
      <c r="AY1231">
        <v>0</v>
      </c>
      <c r="AZ1231">
        <v>0</v>
      </c>
      <c r="BA1231">
        <v>0</v>
      </c>
      <c r="BB1231">
        <v>0</v>
      </c>
      <c r="BC1231">
        <v>0</v>
      </c>
      <c r="BD1231">
        <v>0</v>
      </c>
      <c r="BE1231">
        <v>0</v>
      </c>
      <c r="BF1231">
        <v>0</v>
      </c>
      <c r="BG1231">
        <v>0</v>
      </c>
      <c r="BH1231">
        <v>1</v>
      </c>
      <c r="BI1231">
        <v>1</v>
      </c>
      <c r="BJ1231">
        <v>0.2</v>
      </c>
      <c r="BK1231">
        <v>1</v>
      </c>
      <c r="BL1231">
        <v>71.69</v>
      </c>
      <c r="BM1231">
        <v>10.75</v>
      </c>
      <c r="BN1231">
        <v>82.44</v>
      </c>
      <c r="BO1231">
        <v>82.44</v>
      </c>
      <c r="BQ1231" t="s">
        <v>220</v>
      </c>
      <c r="BR1231" t="s">
        <v>84</v>
      </c>
      <c r="BS1231" s="3">
        <v>45880</v>
      </c>
      <c r="BT1231" s="4">
        <v>0.33750000000000002</v>
      </c>
      <c r="BU1231" t="s">
        <v>221</v>
      </c>
      <c r="BV1231" t="s">
        <v>86</v>
      </c>
      <c r="BY1231">
        <v>1200</v>
      </c>
      <c r="CA1231" t="s">
        <v>566</v>
      </c>
      <c r="CC1231" t="s">
        <v>218</v>
      </c>
      <c r="CD1231">
        <v>4000</v>
      </c>
      <c r="CE1231" t="s">
        <v>109</v>
      </c>
      <c r="CF1231" s="3">
        <v>45881</v>
      </c>
      <c r="CI1231">
        <v>1</v>
      </c>
      <c r="CJ1231">
        <v>1</v>
      </c>
      <c r="CK1231">
        <v>21</v>
      </c>
      <c r="CL1231" t="s">
        <v>90</v>
      </c>
    </row>
    <row r="1232" spans="1:90" x14ac:dyDescent="0.3">
      <c r="A1232" t="s">
        <v>72</v>
      </c>
      <c r="B1232" t="s">
        <v>73</v>
      </c>
      <c r="C1232" t="s">
        <v>74</v>
      </c>
      <c r="E1232" t="str">
        <f>"080067117511"</f>
        <v>080067117511</v>
      </c>
      <c r="F1232" s="3">
        <v>45877</v>
      </c>
      <c r="G1232">
        <v>202605</v>
      </c>
      <c r="H1232" t="s">
        <v>75</v>
      </c>
      <c r="I1232" t="s">
        <v>76</v>
      </c>
      <c r="J1232" t="s">
        <v>77</v>
      </c>
      <c r="K1232" t="s">
        <v>78</v>
      </c>
      <c r="L1232" t="s">
        <v>75</v>
      </c>
      <c r="M1232" t="s">
        <v>76</v>
      </c>
      <c r="N1232" t="s">
        <v>152</v>
      </c>
      <c r="O1232" t="s">
        <v>82</v>
      </c>
      <c r="P1232" t="str">
        <f>"4170053831                    "</f>
        <v xml:space="preserve">4170053831                    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>
        <v>18.03</v>
      </c>
      <c r="AR1232">
        <v>0</v>
      </c>
      <c r="AS1232">
        <v>0</v>
      </c>
      <c r="AT1232">
        <v>0</v>
      </c>
      <c r="AU1232">
        <v>0</v>
      </c>
      <c r="AV1232">
        <v>0</v>
      </c>
      <c r="AW1232">
        <v>0</v>
      </c>
      <c r="AX1232">
        <v>0</v>
      </c>
      <c r="AY1232">
        <v>0</v>
      </c>
      <c r="AZ1232">
        <v>0</v>
      </c>
      <c r="BA1232">
        <v>0</v>
      </c>
      <c r="BB1232">
        <v>0</v>
      </c>
      <c r="BC1232">
        <v>0</v>
      </c>
      <c r="BD1232">
        <v>0</v>
      </c>
      <c r="BE1232">
        <v>0</v>
      </c>
      <c r="BF1232">
        <v>0</v>
      </c>
      <c r="BG1232">
        <v>0</v>
      </c>
      <c r="BH1232">
        <v>1</v>
      </c>
      <c r="BI1232">
        <v>1</v>
      </c>
      <c r="BJ1232">
        <v>0.2</v>
      </c>
      <c r="BK1232">
        <v>1</v>
      </c>
      <c r="BL1232">
        <v>55.99</v>
      </c>
      <c r="BM1232">
        <v>8.4</v>
      </c>
      <c r="BN1232">
        <v>64.39</v>
      </c>
      <c r="BO1232">
        <v>64.39</v>
      </c>
      <c r="BQ1232" t="s">
        <v>153</v>
      </c>
      <c r="BR1232" t="s">
        <v>84</v>
      </c>
      <c r="BS1232" s="3">
        <v>45880</v>
      </c>
      <c r="BT1232" s="4">
        <v>0.30555555555555558</v>
      </c>
      <c r="BU1232" t="s">
        <v>154</v>
      </c>
      <c r="BV1232" t="s">
        <v>86</v>
      </c>
      <c r="BY1232">
        <v>1200</v>
      </c>
      <c r="CA1232" t="s">
        <v>155</v>
      </c>
      <c r="CC1232" t="s">
        <v>76</v>
      </c>
      <c r="CD1232">
        <v>1600</v>
      </c>
      <c r="CE1232" t="s">
        <v>109</v>
      </c>
      <c r="CF1232" s="3">
        <v>45880</v>
      </c>
      <c r="CI1232">
        <v>1</v>
      </c>
      <c r="CJ1232">
        <v>1</v>
      </c>
      <c r="CK1232">
        <v>22</v>
      </c>
      <c r="CL1232" t="s">
        <v>90</v>
      </c>
    </row>
    <row r="1233" spans="1:90" x14ac:dyDescent="0.3">
      <c r="A1233" t="s">
        <v>72</v>
      </c>
      <c r="B1233" t="s">
        <v>73</v>
      </c>
      <c r="C1233" t="s">
        <v>74</v>
      </c>
      <c r="E1233" t="str">
        <f>"080067117518"</f>
        <v>080067117518</v>
      </c>
      <c r="F1233" s="3">
        <v>45877</v>
      </c>
      <c r="G1233">
        <v>202605</v>
      </c>
      <c r="H1233" t="s">
        <v>75</v>
      </c>
      <c r="I1233" t="s">
        <v>76</v>
      </c>
      <c r="J1233" t="s">
        <v>77</v>
      </c>
      <c r="K1233" t="s">
        <v>78</v>
      </c>
      <c r="L1233" t="s">
        <v>75</v>
      </c>
      <c r="M1233" t="s">
        <v>76</v>
      </c>
      <c r="N1233" t="s">
        <v>537</v>
      </c>
      <c r="O1233" t="s">
        <v>113</v>
      </c>
      <c r="P1233" t="str">
        <f>"4170053768                    "</f>
        <v xml:space="preserve">4170053768                    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18.04</v>
      </c>
      <c r="AR1233">
        <v>0</v>
      </c>
      <c r="AS1233">
        <v>0</v>
      </c>
      <c r="AT1233">
        <v>0</v>
      </c>
      <c r="AU1233">
        <v>0</v>
      </c>
      <c r="AV1233">
        <v>0</v>
      </c>
      <c r="AW1233">
        <v>0</v>
      </c>
      <c r="AX1233">
        <v>0</v>
      </c>
      <c r="AY1233">
        <v>0</v>
      </c>
      <c r="AZ1233">
        <v>0</v>
      </c>
      <c r="BA1233">
        <v>0</v>
      </c>
      <c r="BB1233">
        <v>0</v>
      </c>
      <c r="BC1233">
        <v>0</v>
      </c>
      <c r="BD1233">
        <v>0</v>
      </c>
      <c r="BE1233">
        <v>0</v>
      </c>
      <c r="BF1233">
        <v>0</v>
      </c>
      <c r="BG1233">
        <v>0</v>
      </c>
      <c r="BH1233">
        <v>1</v>
      </c>
      <c r="BI1233">
        <v>2</v>
      </c>
      <c r="BJ1233">
        <v>4</v>
      </c>
      <c r="BK1233">
        <v>4</v>
      </c>
      <c r="BL1233">
        <v>56.01</v>
      </c>
      <c r="BM1233">
        <v>8.4</v>
      </c>
      <c r="BN1233">
        <v>64.41</v>
      </c>
      <c r="BO1233">
        <v>64.41</v>
      </c>
      <c r="BQ1233" t="s">
        <v>538</v>
      </c>
      <c r="BR1233" t="s">
        <v>84</v>
      </c>
      <c r="BS1233" s="3">
        <v>45880</v>
      </c>
      <c r="BT1233" s="4">
        <v>0.4236111111111111</v>
      </c>
      <c r="BU1233" t="s">
        <v>738</v>
      </c>
      <c r="BV1233" t="s">
        <v>86</v>
      </c>
      <c r="BY1233">
        <v>19992</v>
      </c>
      <c r="CA1233" t="s">
        <v>739</v>
      </c>
      <c r="CC1233" t="s">
        <v>76</v>
      </c>
      <c r="CD1233">
        <v>1619</v>
      </c>
      <c r="CE1233" t="s">
        <v>117</v>
      </c>
      <c r="CF1233" s="3">
        <v>45880</v>
      </c>
      <c r="CI1233">
        <v>1</v>
      </c>
      <c r="CJ1233">
        <v>1</v>
      </c>
      <c r="CK1233">
        <v>32</v>
      </c>
      <c r="CL1233" t="s">
        <v>90</v>
      </c>
    </row>
    <row r="1234" spans="1:90" x14ac:dyDescent="0.3">
      <c r="A1234" t="s">
        <v>72</v>
      </c>
      <c r="B1234" t="s">
        <v>73</v>
      </c>
      <c r="C1234" t="s">
        <v>74</v>
      </c>
      <c r="E1234" t="str">
        <f>"080067117567"</f>
        <v>080067117567</v>
      </c>
      <c r="F1234" s="3">
        <v>45877</v>
      </c>
      <c r="G1234">
        <v>202605</v>
      </c>
      <c r="H1234" t="s">
        <v>75</v>
      </c>
      <c r="I1234" t="s">
        <v>76</v>
      </c>
      <c r="J1234" t="s">
        <v>77</v>
      </c>
      <c r="K1234" t="s">
        <v>78</v>
      </c>
      <c r="L1234" t="s">
        <v>118</v>
      </c>
      <c r="M1234" t="s">
        <v>118</v>
      </c>
      <c r="N1234" t="s">
        <v>213</v>
      </c>
      <c r="O1234" t="s">
        <v>82</v>
      </c>
      <c r="P1234" t="str">
        <f>"4170053876                    "</f>
        <v xml:space="preserve">4170053876                    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Q1234">
        <v>44.73</v>
      </c>
      <c r="AR1234">
        <v>0</v>
      </c>
      <c r="AS1234">
        <v>0</v>
      </c>
      <c r="AT1234">
        <v>0</v>
      </c>
      <c r="AU1234">
        <v>0</v>
      </c>
      <c r="AV1234">
        <v>0</v>
      </c>
      <c r="AW1234">
        <v>0</v>
      </c>
      <c r="AX1234">
        <v>0</v>
      </c>
      <c r="AY1234">
        <v>0</v>
      </c>
      <c r="AZ1234">
        <v>0</v>
      </c>
      <c r="BA1234">
        <v>0</v>
      </c>
      <c r="BB1234">
        <v>0</v>
      </c>
      <c r="BC1234">
        <v>0</v>
      </c>
      <c r="BD1234">
        <v>0</v>
      </c>
      <c r="BE1234">
        <v>0</v>
      </c>
      <c r="BF1234">
        <v>0</v>
      </c>
      <c r="BG1234">
        <v>0</v>
      </c>
      <c r="BH1234">
        <v>1</v>
      </c>
      <c r="BI1234">
        <v>1</v>
      </c>
      <c r="BJ1234">
        <v>0.2</v>
      </c>
      <c r="BK1234">
        <v>1</v>
      </c>
      <c r="BL1234">
        <v>138.88999999999999</v>
      </c>
      <c r="BM1234">
        <v>20.83</v>
      </c>
      <c r="BN1234">
        <v>159.72</v>
      </c>
      <c r="BO1234">
        <v>159.72</v>
      </c>
      <c r="BQ1234" t="s">
        <v>214</v>
      </c>
      <c r="BR1234" t="s">
        <v>84</v>
      </c>
      <c r="BS1234" s="3">
        <v>45880</v>
      </c>
      <c r="BT1234" s="4">
        <v>0.51736111111111116</v>
      </c>
      <c r="BU1234" t="s">
        <v>215</v>
      </c>
      <c r="BV1234" t="s">
        <v>86</v>
      </c>
      <c r="BY1234">
        <v>1200</v>
      </c>
      <c r="CA1234" t="s">
        <v>122</v>
      </c>
      <c r="CC1234" t="s">
        <v>118</v>
      </c>
      <c r="CD1234">
        <v>7654</v>
      </c>
      <c r="CE1234" t="s">
        <v>109</v>
      </c>
      <c r="CF1234" s="3">
        <v>45881</v>
      </c>
      <c r="CI1234">
        <v>1</v>
      </c>
      <c r="CJ1234">
        <v>1</v>
      </c>
      <c r="CK1234">
        <v>23</v>
      </c>
      <c r="CL1234" t="s">
        <v>90</v>
      </c>
    </row>
    <row r="1235" spans="1:90" x14ac:dyDescent="0.3">
      <c r="A1235" t="s">
        <v>72</v>
      </c>
      <c r="B1235" t="s">
        <v>73</v>
      </c>
      <c r="C1235" t="s">
        <v>74</v>
      </c>
      <c r="E1235" t="str">
        <f>"080067117594"</f>
        <v>080067117594</v>
      </c>
      <c r="F1235" s="3">
        <v>45877</v>
      </c>
      <c r="G1235">
        <v>202605</v>
      </c>
      <c r="H1235" t="s">
        <v>75</v>
      </c>
      <c r="I1235" t="s">
        <v>76</v>
      </c>
      <c r="J1235" t="s">
        <v>77</v>
      </c>
      <c r="K1235" t="s">
        <v>78</v>
      </c>
      <c r="L1235" t="s">
        <v>520</v>
      </c>
      <c r="M1235" t="s">
        <v>521</v>
      </c>
      <c r="N1235" t="s">
        <v>1826</v>
      </c>
      <c r="O1235" t="s">
        <v>95</v>
      </c>
      <c r="P1235" t="str">
        <f>"4170053699                    "</f>
        <v xml:space="preserve">4170053699                    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95.12</v>
      </c>
      <c r="AR1235">
        <v>0</v>
      </c>
      <c r="AS1235">
        <v>0</v>
      </c>
      <c r="AT1235">
        <v>0</v>
      </c>
      <c r="AU1235">
        <v>0</v>
      </c>
      <c r="AV1235">
        <v>0</v>
      </c>
      <c r="AW1235">
        <v>0</v>
      </c>
      <c r="AX1235">
        <v>0</v>
      </c>
      <c r="AY1235">
        <v>0</v>
      </c>
      <c r="AZ1235">
        <v>0</v>
      </c>
      <c r="BA1235">
        <v>0</v>
      </c>
      <c r="BB1235">
        <v>0</v>
      </c>
      <c r="BC1235">
        <v>0</v>
      </c>
      <c r="BD1235">
        <v>0</v>
      </c>
      <c r="BE1235">
        <v>0</v>
      </c>
      <c r="BF1235">
        <v>0</v>
      </c>
      <c r="BG1235">
        <v>0</v>
      </c>
      <c r="BH1235">
        <v>2</v>
      </c>
      <c r="BI1235">
        <v>16</v>
      </c>
      <c r="BJ1235">
        <v>25</v>
      </c>
      <c r="BK1235">
        <v>25</v>
      </c>
      <c r="BL1235">
        <v>301.24</v>
      </c>
      <c r="BM1235">
        <v>45.19</v>
      </c>
      <c r="BN1235">
        <v>346.43</v>
      </c>
      <c r="BO1235">
        <v>346.43</v>
      </c>
      <c r="BQ1235" t="s">
        <v>1827</v>
      </c>
      <c r="BR1235" t="s">
        <v>84</v>
      </c>
      <c r="BS1235" s="3">
        <v>45880</v>
      </c>
      <c r="BT1235" s="4">
        <v>0.58472222222222225</v>
      </c>
      <c r="BU1235" t="s">
        <v>1828</v>
      </c>
      <c r="BV1235" t="s">
        <v>86</v>
      </c>
      <c r="BY1235">
        <v>62465</v>
      </c>
      <c r="CA1235" t="s">
        <v>525</v>
      </c>
      <c r="CC1235" t="s">
        <v>521</v>
      </c>
      <c r="CD1235">
        <v>1961</v>
      </c>
      <c r="CE1235" t="s">
        <v>1095</v>
      </c>
      <c r="CF1235" s="3">
        <v>45881</v>
      </c>
      <c r="CI1235">
        <v>1</v>
      </c>
      <c r="CJ1235">
        <v>1</v>
      </c>
      <c r="CK1235">
        <v>43</v>
      </c>
      <c r="CL1235" t="s">
        <v>90</v>
      </c>
    </row>
    <row r="1236" spans="1:90" x14ac:dyDescent="0.3">
      <c r="A1236" t="s">
        <v>72</v>
      </c>
      <c r="B1236" t="s">
        <v>73</v>
      </c>
      <c r="C1236" t="s">
        <v>74</v>
      </c>
      <c r="E1236" t="str">
        <f>"080067117619"</f>
        <v>080067117619</v>
      </c>
      <c r="F1236" s="3">
        <v>45877</v>
      </c>
      <c r="G1236">
        <v>202605</v>
      </c>
      <c r="H1236" t="s">
        <v>75</v>
      </c>
      <c r="I1236" t="s">
        <v>76</v>
      </c>
      <c r="J1236" t="s">
        <v>77</v>
      </c>
      <c r="K1236" t="s">
        <v>78</v>
      </c>
      <c r="L1236" t="s">
        <v>325</v>
      </c>
      <c r="M1236" t="s">
        <v>326</v>
      </c>
      <c r="N1236" t="s">
        <v>1055</v>
      </c>
      <c r="O1236" t="s">
        <v>82</v>
      </c>
      <c r="P1236" t="str">
        <f>"4170053833                    "</f>
        <v xml:space="preserve">4170053833                    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Q1236">
        <v>18.03</v>
      </c>
      <c r="AR1236">
        <v>0</v>
      </c>
      <c r="AS1236">
        <v>0</v>
      </c>
      <c r="AT1236">
        <v>0</v>
      </c>
      <c r="AU1236">
        <v>0</v>
      </c>
      <c r="AV1236">
        <v>0</v>
      </c>
      <c r="AW1236">
        <v>0</v>
      </c>
      <c r="AX1236">
        <v>0</v>
      </c>
      <c r="AY1236">
        <v>0</v>
      </c>
      <c r="AZ1236">
        <v>0</v>
      </c>
      <c r="BA1236">
        <v>0</v>
      </c>
      <c r="BB1236">
        <v>0</v>
      </c>
      <c r="BC1236">
        <v>0</v>
      </c>
      <c r="BD1236">
        <v>0</v>
      </c>
      <c r="BE1236">
        <v>0</v>
      </c>
      <c r="BF1236">
        <v>0</v>
      </c>
      <c r="BG1236">
        <v>0</v>
      </c>
      <c r="BH1236">
        <v>1</v>
      </c>
      <c r="BI1236">
        <v>1</v>
      </c>
      <c r="BJ1236">
        <v>0.2</v>
      </c>
      <c r="BK1236">
        <v>1</v>
      </c>
      <c r="BL1236">
        <v>55.99</v>
      </c>
      <c r="BM1236">
        <v>8.4</v>
      </c>
      <c r="BN1236">
        <v>64.39</v>
      </c>
      <c r="BO1236">
        <v>64.39</v>
      </c>
      <c r="BQ1236" t="s">
        <v>1056</v>
      </c>
      <c r="BR1236" t="s">
        <v>84</v>
      </c>
      <c r="BS1236" s="3">
        <v>45880</v>
      </c>
      <c r="BT1236" s="4">
        <v>0.37916666666666665</v>
      </c>
      <c r="BU1236" t="s">
        <v>1057</v>
      </c>
      <c r="BV1236" t="s">
        <v>86</v>
      </c>
      <c r="BY1236">
        <v>1200</v>
      </c>
      <c r="CA1236" t="s">
        <v>461</v>
      </c>
      <c r="CC1236" t="s">
        <v>326</v>
      </c>
      <c r="CD1236">
        <v>2094</v>
      </c>
      <c r="CE1236" t="s">
        <v>109</v>
      </c>
      <c r="CF1236" s="3">
        <v>45880</v>
      </c>
      <c r="CI1236">
        <v>1</v>
      </c>
      <c r="CJ1236">
        <v>1</v>
      </c>
      <c r="CK1236">
        <v>22</v>
      </c>
      <c r="CL1236" t="s">
        <v>90</v>
      </c>
    </row>
    <row r="1237" spans="1:90" x14ac:dyDescent="0.3">
      <c r="A1237" t="s">
        <v>72</v>
      </c>
      <c r="B1237" t="s">
        <v>73</v>
      </c>
      <c r="C1237" t="s">
        <v>74</v>
      </c>
      <c r="E1237" t="str">
        <f>"080067117675"</f>
        <v>080067117675</v>
      </c>
      <c r="F1237" s="3">
        <v>45877</v>
      </c>
      <c r="G1237">
        <v>202605</v>
      </c>
      <c r="H1237" t="s">
        <v>75</v>
      </c>
      <c r="I1237" t="s">
        <v>76</v>
      </c>
      <c r="J1237" t="s">
        <v>77</v>
      </c>
      <c r="K1237" t="s">
        <v>78</v>
      </c>
      <c r="L1237" t="s">
        <v>123</v>
      </c>
      <c r="M1237" t="s">
        <v>124</v>
      </c>
      <c r="N1237" t="s">
        <v>1993</v>
      </c>
      <c r="O1237" t="s">
        <v>82</v>
      </c>
      <c r="P1237" t="str">
        <f>"4170053845                    "</f>
        <v xml:space="preserve">4170053845                    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23.09</v>
      </c>
      <c r="AR1237">
        <v>0</v>
      </c>
      <c r="AS1237">
        <v>0</v>
      </c>
      <c r="AT1237">
        <v>0</v>
      </c>
      <c r="AU1237">
        <v>0</v>
      </c>
      <c r="AV1237">
        <v>0</v>
      </c>
      <c r="AW1237">
        <v>0</v>
      </c>
      <c r="AX1237">
        <v>0</v>
      </c>
      <c r="AY1237">
        <v>0</v>
      </c>
      <c r="AZ1237">
        <v>0</v>
      </c>
      <c r="BA1237">
        <v>0</v>
      </c>
      <c r="BB1237">
        <v>0</v>
      </c>
      <c r="BC1237">
        <v>0</v>
      </c>
      <c r="BD1237">
        <v>0</v>
      </c>
      <c r="BE1237">
        <v>0</v>
      </c>
      <c r="BF1237">
        <v>0</v>
      </c>
      <c r="BG1237">
        <v>0</v>
      </c>
      <c r="BH1237">
        <v>1</v>
      </c>
      <c r="BI1237">
        <v>1</v>
      </c>
      <c r="BJ1237">
        <v>1.1000000000000001</v>
      </c>
      <c r="BK1237">
        <v>1.5</v>
      </c>
      <c r="BL1237">
        <v>71.69</v>
      </c>
      <c r="BM1237">
        <v>10.75</v>
      </c>
      <c r="BN1237">
        <v>82.44</v>
      </c>
      <c r="BO1237">
        <v>82.44</v>
      </c>
      <c r="BQ1237" t="s">
        <v>1994</v>
      </c>
      <c r="BR1237" t="s">
        <v>84</v>
      </c>
      <c r="BS1237" s="3">
        <v>45880</v>
      </c>
      <c r="BT1237" s="4">
        <v>0.42569444444444443</v>
      </c>
      <c r="BU1237" t="s">
        <v>1995</v>
      </c>
      <c r="BV1237" t="s">
        <v>86</v>
      </c>
      <c r="BY1237">
        <v>5320</v>
      </c>
      <c r="CA1237" t="s">
        <v>1996</v>
      </c>
      <c r="CC1237" t="s">
        <v>124</v>
      </c>
      <c r="CD1237">
        <v>7925</v>
      </c>
      <c r="CE1237" t="s">
        <v>147</v>
      </c>
      <c r="CF1237" s="3">
        <v>45881</v>
      </c>
      <c r="CI1237">
        <v>1</v>
      </c>
      <c r="CJ1237">
        <v>1</v>
      </c>
      <c r="CK1237">
        <v>21</v>
      </c>
      <c r="CL1237" t="s">
        <v>90</v>
      </c>
    </row>
    <row r="1238" spans="1:90" x14ac:dyDescent="0.3">
      <c r="A1238" t="s">
        <v>72</v>
      </c>
      <c r="B1238" t="s">
        <v>73</v>
      </c>
      <c r="C1238" t="s">
        <v>74</v>
      </c>
      <c r="E1238" t="str">
        <f>"080067117690"</f>
        <v>080067117690</v>
      </c>
      <c r="F1238" s="3">
        <v>45877</v>
      </c>
      <c r="G1238">
        <v>202605</v>
      </c>
      <c r="H1238" t="s">
        <v>75</v>
      </c>
      <c r="I1238" t="s">
        <v>76</v>
      </c>
      <c r="J1238" t="s">
        <v>77</v>
      </c>
      <c r="K1238" t="s">
        <v>78</v>
      </c>
      <c r="L1238" t="s">
        <v>217</v>
      </c>
      <c r="M1238" t="s">
        <v>218</v>
      </c>
      <c r="N1238" t="s">
        <v>219</v>
      </c>
      <c r="O1238" t="s">
        <v>82</v>
      </c>
      <c r="P1238" t="str">
        <f>"4170053911                    "</f>
        <v xml:space="preserve">4170053911                    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23.09</v>
      </c>
      <c r="AR1238">
        <v>0</v>
      </c>
      <c r="AS1238">
        <v>0</v>
      </c>
      <c r="AT1238">
        <v>0</v>
      </c>
      <c r="AU1238">
        <v>0</v>
      </c>
      <c r="AV1238">
        <v>0</v>
      </c>
      <c r="AW1238">
        <v>0</v>
      </c>
      <c r="AX1238">
        <v>0</v>
      </c>
      <c r="AY1238">
        <v>0</v>
      </c>
      <c r="AZ1238">
        <v>0</v>
      </c>
      <c r="BA1238">
        <v>0</v>
      </c>
      <c r="BB1238">
        <v>0</v>
      </c>
      <c r="BC1238">
        <v>0</v>
      </c>
      <c r="BD1238">
        <v>0</v>
      </c>
      <c r="BE1238">
        <v>0</v>
      </c>
      <c r="BF1238">
        <v>0</v>
      </c>
      <c r="BG1238">
        <v>0</v>
      </c>
      <c r="BH1238">
        <v>1</v>
      </c>
      <c r="BI1238">
        <v>1</v>
      </c>
      <c r="BJ1238">
        <v>0.2</v>
      </c>
      <c r="BK1238">
        <v>1</v>
      </c>
      <c r="BL1238">
        <v>71.69</v>
      </c>
      <c r="BM1238">
        <v>10.75</v>
      </c>
      <c r="BN1238">
        <v>82.44</v>
      </c>
      <c r="BO1238">
        <v>82.44</v>
      </c>
      <c r="BQ1238" t="s">
        <v>220</v>
      </c>
      <c r="BR1238" t="s">
        <v>84</v>
      </c>
      <c r="BS1238" s="3">
        <v>45880</v>
      </c>
      <c r="BT1238" s="4">
        <v>0.33750000000000002</v>
      </c>
      <c r="BU1238" t="s">
        <v>221</v>
      </c>
      <c r="BV1238" t="s">
        <v>86</v>
      </c>
      <c r="BY1238">
        <v>1200</v>
      </c>
      <c r="CA1238" t="s">
        <v>566</v>
      </c>
      <c r="CC1238" t="s">
        <v>218</v>
      </c>
      <c r="CD1238">
        <v>4000</v>
      </c>
      <c r="CE1238" t="s">
        <v>109</v>
      </c>
      <c r="CF1238" s="3">
        <v>45881</v>
      </c>
      <c r="CI1238">
        <v>1</v>
      </c>
      <c r="CJ1238">
        <v>1</v>
      </c>
      <c r="CK1238">
        <v>21</v>
      </c>
      <c r="CL1238" t="s">
        <v>90</v>
      </c>
    </row>
    <row r="1239" spans="1:90" x14ac:dyDescent="0.3">
      <c r="A1239" t="s">
        <v>72</v>
      </c>
      <c r="B1239" t="s">
        <v>73</v>
      </c>
      <c r="C1239" t="s">
        <v>74</v>
      </c>
      <c r="E1239" t="str">
        <f>"080067117765"</f>
        <v>080067117765</v>
      </c>
      <c r="F1239" s="3">
        <v>45877</v>
      </c>
      <c r="G1239">
        <v>202605</v>
      </c>
      <c r="H1239" t="s">
        <v>75</v>
      </c>
      <c r="I1239" t="s">
        <v>76</v>
      </c>
      <c r="J1239" t="s">
        <v>77</v>
      </c>
      <c r="K1239" t="s">
        <v>78</v>
      </c>
      <c r="L1239" t="s">
        <v>172</v>
      </c>
      <c r="M1239" t="s">
        <v>173</v>
      </c>
      <c r="N1239" t="s">
        <v>174</v>
      </c>
      <c r="O1239" t="s">
        <v>82</v>
      </c>
      <c r="P1239" t="str">
        <f>"4170053823                    "</f>
        <v xml:space="preserve">4170053823                    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23.09</v>
      </c>
      <c r="AR1239">
        <v>0</v>
      </c>
      <c r="AS1239">
        <v>0</v>
      </c>
      <c r="AT1239">
        <v>0</v>
      </c>
      <c r="AU1239">
        <v>0</v>
      </c>
      <c r="AV1239">
        <v>0</v>
      </c>
      <c r="AW1239">
        <v>0</v>
      </c>
      <c r="AX1239">
        <v>0</v>
      </c>
      <c r="AY1239">
        <v>0</v>
      </c>
      <c r="AZ1239">
        <v>0</v>
      </c>
      <c r="BA1239">
        <v>0</v>
      </c>
      <c r="BB1239">
        <v>0</v>
      </c>
      <c r="BC1239">
        <v>0</v>
      </c>
      <c r="BD1239">
        <v>0</v>
      </c>
      <c r="BE1239">
        <v>0</v>
      </c>
      <c r="BF1239">
        <v>0</v>
      </c>
      <c r="BG1239">
        <v>0</v>
      </c>
      <c r="BH1239">
        <v>1</v>
      </c>
      <c r="BI1239">
        <v>1</v>
      </c>
      <c r="BJ1239">
        <v>0.2</v>
      </c>
      <c r="BK1239">
        <v>1</v>
      </c>
      <c r="BL1239">
        <v>71.69</v>
      </c>
      <c r="BM1239">
        <v>10.75</v>
      </c>
      <c r="BN1239">
        <v>82.44</v>
      </c>
      <c r="BO1239">
        <v>82.44</v>
      </c>
      <c r="BQ1239" t="s">
        <v>175</v>
      </c>
      <c r="BR1239" t="s">
        <v>84</v>
      </c>
      <c r="BS1239" s="3">
        <v>45880</v>
      </c>
      <c r="BT1239" s="4">
        <v>0.39027777777777778</v>
      </c>
      <c r="BU1239" t="s">
        <v>944</v>
      </c>
      <c r="BV1239" t="s">
        <v>86</v>
      </c>
      <c r="BY1239">
        <v>1200</v>
      </c>
      <c r="CA1239" t="s">
        <v>1779</v>
      </c>
      <c r="CC1239" t="s">
        <v>173</v>
      </c>
      <c r="CD1239">
        <v>7600</v>
      </c>
      <c r="CE1239" t="s">
        <v>109</v>
      </c>
      <c r="CF1239" s="3">
        <v>45881</v>
      </c>
      <c r="CI1239">
        <v>1</v>
      </c>
      <c r="CJ1239">
        <v>1</v>
      </c>
      <c r="CK1239">
        <v>21</v>
      </c>
      <c r="CL1239" t="s">
        <v>90</v>
      </c>
    </row>
    <row r="1240" spans="1:90" x14ac:dyDescent="0.3">
      <c r="A1240" t="s">
        <v>72</v>
      </c>
      <c r="B1240" t="s">
        <v>73</v>
      </c>
      <c r="C1240" t="s">
        <v>74</v>
      </c>
      <c r="E1240" t="str">
        <f>"080067117802"</f>
        <v>080067117802</v>
      </c>
      <c r="F1240" s="3">
        <v>45877</v>
      </c>
      <c r="G1240">
        <v>202605</v>
      </c>
      <c r="H1240" t="s">
        <v>75</v>
      </c>
      <c r="I1240" t="s">
        <v>76</v>
      </c>
      <c r="J1240" t="s">
        <v>77</v>
      </c>
      <c r="K1240" t="s">
        <v>78</v>
      </c>
      <c r="L1240" t="s">
        <v>303</v>
      </c>
      <c r="M1240" t="s">
        <v>304</v>
      </c>
      <c r="N1240" t="s">
        <v>840</v>
      </c>
      <c r="O1240" t="s">
        <v>82</v>
      </c>
      <c r="P1240" t="str">
        <f>"4170053692                    "</f>
        <v xml:space="preserve">4170053692                    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44.73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</v>
      </c>
      <c r="AX1240">
        <v>0</v>
      </c>
      <c r="AY1240">
        <v>0</v>
      </c>
      <c r="AZ1240">
        <v>0</v>
      </c>
      <c r="BA1240">
        <v>0</v>
      </c>
      <c r="BB1240">
        <v>0</v>
      </c>
      <c r="BC1240">
        <v>0</v>
      </c>
      <c r="BD1240">
        <v>0</v>
      </c>
      <c r="BE1240">
        <v>0</v>
      </c>
      <c r="BF1240">
        <v>0</v>
      </c>
      <c r="BG1240">
        <v>0</v>
      </c>
      <c r="BH1240">
        <v>1</v>
      </c>
      <c r="BI1240">
        <v>1</v>
      </c>
      <c r="BJ1240">
        <v>0.2</v>
      </c>
      <c r="BK1240">
        <v>1</v>
      </c>
      <c r="BL1240">
        <v>138.88999999999999</v>
      </c>
      <c r="BM1240">
        <v>20.83</v>
      </c>
      <c r="BN1240">
        <v>159.72</v>
      </c>
      <c r="BO1240">
        <v>159.72</v>
      </c>
      <c r="BQ1240" t="s">
        <v>841</v>
      </c>
      <c r="BR1240" t="s">
        <v>84</v>
      </c>
      <c r="BS1240" s="3">
        <v>45880</v>
      </c>
      <c r="BT1240" s="4">
        <v>0.4909722222222222</v>
      </c>
      <c r="BU1240" t="s">
        <v>1997</v>
      </c>
      <c r="BV1240" t="s">
        <v>86</v>
      </c>
      <c r="BY1240">
        <v>1200</v>
      </c>
      <c r="CA1240" t="s">
        <v>308</v>
      </c>
      <c r="CC1240" t="s">
        <v>304</v>
      </c>
      <c r="CD1240">
        <v>7130</v>
      </c>
      <c r="CE1240" t="s">
        <v>109</v>
      </c>
      <c r="CF1240" s="3">
        <v>45881</v>
      </c>
      <c r="CI1240">
        <v>1</v>
      </c>
      <c r="CJ1240">
        <v>1</v>
      </c>
      <c r="CK1240">
        <v>23</v>
      </c>
      <c r="CL1240" t="s">
        <v>90</v>
      </c>
    </row>
    <row r="1241" spans="1:90" x14ac:dyDescent="0.3">
      <c r="A1241" t="s">
        <v>72</v>
      </c>
      <c r="B1241" t="s">
        <v>73</v>
      </c>
      <c r="C1241" t="s">
        <v>74</v>
      </c>
      <c r="E1241" t="str">
        <f>"080067117827"</f>
        <v>080067117827</v>
      </c>
      <c r="F1241" s="3">
        <v>45877</v>
      </c>
      <c r="G1241">
        <v>202605</v>
      </c>
      <c r="H1241" t="s">
        <v>75</v>
      </c>
      <c r="I1241" t="s">
        <v>76</v>
      </c>
      <c r="J1241" t="s">
        <v>77</v>
      </c>
      <c r="K1241" t="s">
        <v>78</v>
      </c>
      <c r="L1241" t="s">
        <v>79</v>
      </c>
      <c r="M1241" t="s">
        <v>80</v>
      </c>
      <c r="N1241" t="s">
        <v>635</v>
      </c>
      <c r="O1241" t="s">
        <v>82</v>
      </c>
      <c r="P1241" t="str">
        <f>"4170053862                    "</f>
        <v xml:space="preserve">4170053862                    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18.03</v>
      </c>
      <c r="AR1241">
        <v>0</v>
      </c>
      <c r="AS1241">
        <v>0</v>
      </c>
      <c r="AT1241">
        <v>0</v>
      </c>
      <c r="AU1241">
        <v>0</v>
      </c>
      <c r="AV1241">
        <v>0</v>
      </c>
      <c r="AW1241">
        <v>0</v>
      </c>
      <c r="AX1241">
        <v>0</v>
      </c>
      <c r="AY1241">
        <v>0</v>
      </c>
      <c r="AZ1241">
        <v>0</v>
      </c>
      <c r="BA1241">
        <v>0</v>
      </c>
      <c r="BB1241">
        <v>0</v>
      </c>
      <c r="BC1241">
        <v>0</v>
      </c>
      <c r="BD1241">
        <v>0</v>
      </c>
      <c r="BE1241">
        <v>0</v>
      </c>
      <c r="BF1241">
        <v>0</v>
      </c>
      <c r="BG1241">
        <v>0</v>
      </c>
      <c r="BH1241">
        <v>1</v>
      </c>
      <c r="BI1241">
        <v>1</v>
      </c>
      <c r="BJ1241">
        <v>0.2</v>
      </c>
      <c r="BK1241">
        <v>1</v>
      </c>
      <c r="BL1241">
        <v>55.99</v>
      </c>
      <c r="BM1241">
        <v>8.4</v>
      </c>
      <c r="BN1241">
        <v>64.39</v>
      </c>
      <c r="BO1241">
        <v>64.39</v>
      </c>
      <c r="BQ1241" t="s">
        <v>636</v>
      </c>
      <c r="BR1241" t="s">
        <v>84</v>
      </c>
      <c r="BS1241" s="3">
        <v>45880</v>
      </c>
      <c r="BT1241" s="4">
        <v>0.375</v>
      </c>
      <c r="BU1241" t="s">
        <v>1875</v>
      </c>
      <c r="BV1241" t="s">
        <v>86</v>
      </c>
      <c r="BY1241">
        <v>1200</v>
      </c>
      <c r="CA1241" t="s">
        <v>1069</v>
      </c>
      <c r="CC1241" t="s">
        <v>80</v>
      </c>
      <c r="CD1241">
        <v>1428</v>
      </c>
      <c r="CE1241" t="s">
        <v>109</v>
      </c>
      <c r="CF1241" s="3">
        <v>45880</v>
      </c>
      <c r="CI1241">
        <v>1</v>
      </c>
      <c r="CJ1241">
        <v>1</v>
      </c>
      <c r="CK1241">
        <v>22</v>
      </c>
      <c r="CL1241" t="s">
        <v>90</v>
      </c>
    </row>
    <row r="1242" spans="1:90" x14ac:dyDescent="0.3">
      <c r="A1242" t="s">
        <v>72</v>
      </c>
      <c r="B1242" t="s">
        <v>73</v>
      </c>
      <c r="C1242" t="s">
        <v>74</v>
      </c>
      <c r="E1242" t="str">
        <f>"080067117853"</f>
        <v>080067117853</v>
      </c>
      <c r="F1242" s="3">
        <v>45877</v>
      </c>
      <c r="G1242">
        <v>202605</v>
      </c>
      <c r="H1242" t="s">
        <v>75</v>
      </c>
      <c r="I1242" t="s">
        <v>76</v>
      </c>
      <c r="J1242" t="s">
        <v>77</v>
      </c>
      <c r="K1242" t="s">
        <v>78</v>
      </c>
      <c r="L1242" t="s">
        <v>75</v>
      </c>
      <c r="M1242" t="s">
        <v>76</v>
      </c>
      <c r="N1242" t="s">
        <v>830</v>
      </c>
      <c r="O1242" t="s">
        <v>82</v>
      </c>
      <c r="P1242" t="str">
        <f>"4170053942                    "</f>
        <v xml:space="preserve">4170053942                    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18.03</v>
      </c>
      <c r="AR1242">
        <v>0</v>
      </c>
      <c r="AS1242">
        <v>0</v>
      </c>
      <c r="AT1242">
        <v>0</v>
      </c>
      <c r="AU1242">
        <v>0</v>
      </c>
      <c r="AV1242">
        <v>0</v>
      </c>
      <c r="AW1242">
        <v>0</v>
      </c>
      <c r="AX1242">
        <v>0</v>
      </c>
      <c r="AY1242">
        <v>0</v>
      </c>
      <c r="AZ1242">
        <v>0</v>
      </c>
      <c r="BA1242">
        <v>0</v>
      </c>
      <c r="BB1242">
        <v>0</v>
      </c>
      <c r="BC1242">
        <v>0</v>
      </c>
      <c r="BD1242">
        <v>0</v>
      </c>
      <c r="BE1242">
        <v>0</v>
      </c>
      <c r="BF1242">
        <v>0</v>
      </c>
      <c r="BG1242">
        <v>0</v>
      </c>
      <c r="BH1242">
        <v>1</v>
      </c>
      <c r="BI1242">
        <v>1</v>
      </c>
      <c r="BJ1242">
        <v>0.2</v>
      </c>
      <c r="BK1242">
        <v>1</v>
      </c>
      <c r="BL1242">
        <v>55.99</v>
      </c>
      <c r="BM1242">
        <v>8.4</v>
      </c>
      <c r="BN1242">
        <v>64.39</v>
      </c>
      <c r="BO1242">
        <v>64.39</v>
      </c>
      <c r="BQ1242" t="s">
        <v>831</v>
      </c>
      <c r="BR1242" t="s">
        <v>84</v>
      </c>
      <c r="BS1242" s="3">
        <v>45880</v>
      </c>
      <c r="BT1242" s="4">
        <v>0.41666666666666669</v>
      </c>
      <c r="BU1242" t="s">
        <v>1741</v>
      </c>
      <c r="BV1242" t="s">
        <v>86</v>
      </c>
      <c r="BY1242">
        <v>1200</v>
      </c>
      <c r="CA1242" t="s">
        <v>1743</v>
      </c>
      <c r="CC1242" t="s">
        <v>76</v>
      </c>
      <c r="CD1242">
        <v>1601</v>
      </c>
      <c r="CE1242" t="s">
        <v>109</v>
      </c>
      <c r="CF1242" s="3">
        <v>45880</v>
      </c>
      <c r="CI1242">
        <v>1</v>
      </c>
      <c r="CJ1242">
        <v>1</v>
      </c>
      <c r="CK1242">
        <v>22</v>
      </c>
      <c r="CL1242" t="s">
        <v>90</v>
      </c>
    </row>
    <row r="1243" spans="1:90" x14ac:dyDescent="0.3">
      <c r="A1243" t="s">
        <v>72</v>
      </c>
      <c r="B1243" t="s">
        <v>73</v>
      </c>
      <c r="C1243" t="s">
        <v>74</v>
      </c>
      <c r="E1243" t="str">
        <f>"080067117873"</f>
        <v>080067117873</v>
      </c>
      <c r="F1243" s="3">
        <v>45877</v>
      </c>
      <c r="G1243">
        <v>202605</v>
      </c>
      <c r="H1243" t="s">
        <v>75</v>
      </c>
      <c r="I1243" t="s">
        <v>76</v>
      </c>
      <c r="J1243" t="s">
        <v>77</v>
      </c>
      <c r="K1243" t="s">
        <v>78</v>
      </c>
      <c r="L1243" t="s">
        <v>234</v>
      </c>
      <c r="M1243" t="s">
        <v>235</v>
      </c>
      <c r="N1243" t="s">
        <v>236</v>
      </c>
      <c r="O1243" t="s">
        <v>82</v>
      </c>
      <c r="P1243" t="str">
        <f>"4170053907                    "</f>
        <v xml:space="preserve">4170053907                    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23.09</v>
      </c>
      <c r="AR1243">
        <v>0</v>
      </c>
      <c r="AS1243">
        <v>0</v>
      </c>
      <c r="AT1243">
        <v>0</v>
      </c>
      <c r="AU1243">
        <v>0</v>
      </c>
      <c r="AV1243">
        <v>0</v>
      </c>
      <c r="AW1243">
        <v>0</v>
      </c>
      <c r="AX1243">
        <v>0</v>
      </c>
      <c r="AY1243">
        <v>0</v>
      </c>
      <c r="AZ1243">
        <v>0</v>
      </c>
      <c r="BA1243">
        <v>0</v>
      </c>
      <c r="BB1243">
        <v>0</v>
      </c>
      <c r="BC1243">
        <v>0</v>
      </c>
      <c r="BD1243">
        <v>0</v>
      </c>
      <c r="BE1243">
        <v>0</v>
      </c>
      <c r="BF1243">
        <v>0</v>
      </c>
      <c r="BG1243">
        <v>0</v>
      </c>
      <c r="BH1243">
        <v>1</v>
      </c>
      <c r="BI1243">
        <v>1</v>
      </c>
      <c r="BJ1243">
        <v>0.2</v>
      </c>
      <c r="BK1243">
        <v>1</v>
      </c>
      <c r="BL1243">
        <v>71.69</v>
      </c>
      <c r="BM1243">
        <v>10.75</v>
      </c>
      <c r="BN1243">
        <v>82.44</v>
      </c>
      <c r="BO1243">
        <v>82.44</v>
      </c>
      <c r="BQ1243" t="s">
        <v>237</v>
      </c>
      <c r="BR1243" t="s">
        <v>84</v>
      </c>
      <c r="BS1243" s="3">
        <v>45880</v>
      </c>
      <c r="BT1243" s="4">
        <v>0.37638888888888888</v>
      </c>
      <c r="BU1243" t="s">
        <v>650</v>
      </c>
      <c r="BV1243" t="s">
        <v>86</v>
      </c>
      <c r="BY1243">
        <v>1200</v>
      </c>
      <c r="CA1243" t="s">
        <v>239</v>
      </c>
      <c r="CC1243" t="s">
        <v>235</v>
      </c>
      <c r="CD1243" s="5" t="s">
        <v>240</v>
      </c>
      <c r="CE1243" t="s">
        <v>109</v>
      </c>
      <c r="CF1243" s="3">
        <v>45880</v>
      </c>
      <c r="CI1243">
        <v>1</v>
      </c>
      <c r="CJ1243">
        <v>1</v>
      </c>
      <c r="CK1243">
        <v>21</v>
      </c>
      <c r="CL1243" t="s">
        <v>90</v>
      </c>
    </row>
    <row r="1244" spans="1:90" x14ac:dyDescent="0.3">
      <c r="A1244" t="s">
        <v>72</v>
      </c>
      <c r="B1244" t="s">
        <v>73</v>
      </c>
      <c r="C1244" t="s">
        <v>74</v>
      </c>
      <c r="E1244" t="str">
        <f>"080067117914"</f>
        <v>080067117914</v>
      </c>
      <c r="F1244" s="3">
        <v>45877</v>
      </c>
      <c r="G1244">
        <v>202605</v>
      </c>
      <c r="H1244" t="s">
        <v>75</v>
      </c>
      <c r="I1244" t="s">
        <v>76</v>
      </c>
      <c r="J1244" t="s">
        <v>77</v>
      </c>
      <c r="K1244" t="s">
        <v>78</v>
      </c>
      <c r="L1244" t="s">
        <v>325</v>
      </c>
      <c r="M1244" t="s">
        <v>326</v>
      </c>
      <c r="N1244" t="s">
        <v>1998</v>
      </c>
      <c r="O1244" t="s">
        <v>82</v>
      </c>
      <c r="P1244" t="str">
        <f>"4170053939                    "</f>
        <v xml:space="preserve">4170053939                    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18.03</v>
      </c>
      <c r="AR1244">
        <v>0</v>
      </c>
      <c r="AS1244">
        <v>0</v>
      </c>
      <c r="AT1244">
        <v>0</v>
      </c>
      <c r="AU1244">
        <v>0</v>
      </c>
      <c r="AV1244">
        <v>0</v>
      </c>
      <c r="AW1244">
        <v>0</v>
      </c>
      <c r="AX1244">
        <v>0</v>
      </c>
      <c r="AY1244">
        <v>0</v>
      </c>
      <c r="AZ1244">
        <v>0</v>
      </c>
      <c r="BA1244">
        <v>0</v>
      </c>
      <c r="BB1244">
        <v>0</v>
      </c>
      <c r="BC1244">
        <v>0</v>
      </c>
      <c r="BD1244">
        <v>0</v>
      </c>
      <c r="BE1244">
        <v>0</v>
      </c>
      <c r="BF1244">
        <v>0</v>
      </c>
      <c r="BG1244">
        <v>0</v>
      </c>
      <c r="BH1244">
        <v>1</v>
      </c>
      <c r="BI1244">
        <v>1</v>
      </c>
      <c r="BJ1244">
        <v>0.2</v>
      </c>
      <c r="BK1244">
        <v>1</v>
      </c>
      <c r="BL1244">
        <v>55.99</v>
      </c>
      <c r="BM1244">
        <v>8.4</v>
      </c>
      <c r="BN1244">
        <v>64.39</v>
      </c>
      <c r="BO1244">
        <v>64.39</v>
      </c>
      <c r="BQ1244" t="s">
        <v>1999</v>
      </c>
      <c r="BR1244" t="s">
        <v>84</v>
      </c>
      <c r="BS1244" s="3">
        <v>45880</v>
      </c>
      <c r="BT1244" s="4">
        <v>0.41666666666666669</v>
      </c>
      <c r="BU1244" t="s">
        <v>2000</v>
      </c>
      <c r="BV1244" t="s">
        <v>86</v>
      </c>
      <c r="BY1244">
        <v>1200</v>
      </c>
      <c r="CA1244" t="s">
        <v>331</v>
      </c>
      <c r="CC1244" t="s">
        <v>326</v>
      </c>
      <c r="CD1244">
        <v>2013</v>
      </c>
      <c r="CE1244" t="s">
        <v>109</v>
      </c>
      <c r="CF1244" s="3">
        <v>45881</v>
      </c>
      <c r="CI1244">
        <v>1</v>
      </c>
      <c r="CJ1244">
        <v>1</v>
      </c>
      <c r="CK1244">
        <v>22</v>
      </c>
      <c r="CL1244" t="s">
        <v>90</v>
      </c>
    </row>
    <row r="1245" spans="1:90" x14ac:dyDescent="0.3">
      <c r="A1245" t="s">
        <v>72</v>
      </c>
      <c r="B1245" t="s">
        <v>73</v>
      </c>
      <c r="C1245" t="s">
        <v>74</v>
      </c>
      <c r="E1245" t="str">
        <f>"080067117942"</f>
        <v>080067117942</v>
      </c>
      <c r="F1245" s="3">
        <v>45877</v>
      </c>
      <c r="G1245">
        <v>202605</v>
      </c>
      <c r="H1245" t="s">
        <v>75</v>
      </c>
      <c r="I1245" t="s">
        <v>76</v>
      </c>
      <c r="J1245" t="s">
        <v>77</v>
      </c>
      <c r="K1245" t="s">
        <v>78</v>
      </c>
      <c r="L1245" t="s">
        <v>123</v>
      </c>
      <c r="M1245" t="s">
        <v>124</v>
      </c>
      <c r="N1245" t="s">
        <v>125</v>
      </c>
      <c r="O1245" t="s">
        <v>82</v>
      </c>
      <c r="P1245" t="str">
        <f>"4170053937                    "</f>
        <v xml:space="preserve">4170053937                    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Q1245">
        <v>23.09</v>
      </c>
      <c r="AR1245">
        <v>0</v>
      </c>
      <c r="AS1245">
        <v>0</v>
      </c>
      <c r="AT1245">
        <v>0</v>
      </c>
      <c r="AU1245">
        <v>0</v>
      </c>
      <c r="AV1245">
        <v>0</v>
      </c>
      <c r="AW1245">
        <v>0</v>
      </c>
      <c r="AX1245">
        <v>0</v>
      </c>
      <c r="AY1245">
        <v>0</v>
      </c>
      <c r="AZ1245">
        <v>0</v>
      </c>
      <c r="BA1245">
        <v>0</v>
      </c>
      <c r="BB1245">
        <v>0</v>
      </c>
      <c r="BC1245">
        <v>0</v>
      </c>
      <c r="BD1245">
        <v>0</v>
      </c>
      <c r="BE1245">
        <v>0</v>
      </c>
      <c r="BF1245">
        <v>0</v>
      </c>
      <c r="BG1245">
        <v>0</v>
      </c>
      <c r="BH1245">
        <v>1</v>
      </c>
      <c r="BI1245">
        <v>1</v>
      </c>
      <c r="BJ1245">
        <v>0.2</v>
      </c>
      <c r="BK1245">
        <v>1</v>
      </c>
      <c r="BL1245">
        <v>71.69</v>
      </c>
      <c r="BM1245">
        <v>10.75</v>
      </c>
      <c r="BN1245">
        <v>82.44</v>
      </c>
      <c r="BO1245">
        <v>82.44</v>
      </c>
      <c r="BQ1245" t="s">
        <v>126</v>
      </c>
      <c r="BR1245" t="s">
        <v>84</v>
      </c>
      <c r="BS1245" s="3">
        <v>45880</v>
      </c>
      <c r="BT1245" s="4">
        <v>0.3576388888888889</v>
      </c>
      <c r="BU1245" t="s">
        <v>605</v>
      </c>
      <c r="BV1245" t="s">
        <v>86</v>
      </c>
      <c r="BY1245">
        <v>1200</v>
      </c>
      <c r="CA1245" t="s">
        <v>128</v>
      </c>
      <c r="CC1245" t="s">
        <v>124</v>
      </c>
      <c r="CD1245">
        <v>7530</v>
      </c>
      <c r="CE1245" t="s">
        <v>109</v>
      </c>
      <c r="CF1245" s="3">
        <v>45881</v>
      </c>
      <c r="CI1245">
        <v>1</v>
      </c>
      <c r="CJ1245">
        <v>1</v>
      </c>
      <c r="CK1245">
        <v>21</v>
      </c>
      <c r="CL1245" t="s">
        <v>90</v>
      </c>
    </row>
    <row r="1246" spans="1:90" x14ac:dyDescent="0.3">
      <c r="A1246" t="s">
        <v>72</v>
      </c>
      <c r="B1246" t="s">
        <v>73</v>
      </c>
      <c r="C1246" t="s">
        <v>74</v>
      </c>
      <c r="E1246" t="str">
        <f>"080067118062"</f>
        <v>080067118062</v>
      </c>
      <c r="F1246" s="3">
        <v>45877</v>
      </c>
      <c r="G1246">
        <v>202605</v>
      </c>
      <c r="H1246" t="s">
        <v>75</v>
      </c>
      <c r="I1246" t="s">
        <v>76</v>
      </c>
      <c r="J1246" t="s">
        <v>77</v>
      </c>
      <c r="K1246" t="s">
        <v>78</v>
      </c>
      <c r="L1246" t="s">
        <v>1316</v>
      </c>
      <c r="M1246" t="s">
        <v>1317</v>
      </c>
      <c r="N1246" t="s">
        <v>1318</v>
      </c>
      <c r="O1246" t="s">
        <v>82</v>
      </c>
      <c r="P1246" t="str">
        <f>"4170053904                    "</f>
        <v xml:space="preserve">4170053904                    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23.09</v>
      </c>
      <c r="AR1246">
        <v>0</v>
      </c>
      <c r="AS1246">
        <v>0</v>
      </c>
      <c r="AT1246">
        <v>0</v>
      </c>
      <c r="AU1246">
        <v>0</v>
      </c>
      <c r="AV1246">
        <v>0</v>
      </c>
      <c r="AW1246">
        <v>0</v>
      </c>
      <c r="AX1246">
        <v>0</v>
      </c>
      <c r="AY1246">
        <v>0</v>
      </c>
      <c r="AZ1246">
        <v>0</v>
      </c>
      <c r="BA1246">
        <v>0</v>
      </c>
      <c r="BB1246">
        <v>0</v>
      </c>
      <c r="BC1246">
        <v>0</v>
      </c>
      <c r="BD1246">
        <v>0</v>
      </c>
      <c r="BE1246">
        <v>0</v>
      </c>
      <c r="BF1246">
        <v>0</v>
      </c>
      <c r="BG1246">
        <v>0</v>
      </c>
      <c r="BH1246">
        <v>1</v>
      </c>
      <c r="BI1246">
        <v>1</v>
      </c>
      <c r="BJ1246">
        <v>0.2</v>
      </c>
      <c r="BK1246">
        <v>1</v>
      </c>
      <c r="BL1246">
        <v>71.69</v>
      </c>
      <c r="BM1246">
        <v>10.75</v>
      </c>
      <c r="BN1246">
        <v>82.44</v>
      </c>
      <c r="BO1246">
        <v>82.44</v>
      </c>
      <c r="BQ1246" t="s">
        <v>1319</v>
      </c>
      <c r="BR1246" t="s">
        <v>84</v>
      </c>
      <c r="BS1246" s="3">
        <v>45880</v>
      </c>
      <c r="BT1246" s="4">
        <v>0.36736111111111114</v>
      </c>
      <c r="BU1246" t="s">
        <v>1646</v>
      </c>
      <c r="BV1246" t="s">
        <v>86</v>
      </c>
      <c r="BY1246">
        <v>1200</v>
      </c>
      <c r="CA1246" t="s">
        <v>136</v>
      </c>
      <c r="CC1246" t="s">
        <v>1317</v>
      </c>
      <c r="CD1246">
        <v>4026</v>
      </c>
      <c r="CE1246" t="s">
        <v>109</v>
      </c>
      <c r="CF1246" s="3">
        <v>45881</v>
      </c>
      <c r="CI1246">
        <v>1</v>
      </c>
      <c r="CJ1246">
        <v>1</v>
      </c>
      <c r="CK1246">
        <v>21</v>
      </c>
      <c r="CL1246" t="s">
        <v>90</v>
      </c>
    </row>
    <row r="1247" spans="1:90" x14ac:dyDescent="0.3">
      <c r="A1247" t="s">
        <v>72</v>
      </c>
      <c r="B1247" t="s">
        <v>73</v>
      </c>
      <c r="C1247" t="s">
        <v>74</v>
      </c>
      <c r="E1247" t="str">
        <f>"080067118084"</f>
        <v>080067118084</v>
      </c>
      <c r="F1247" s="3">
        <v>45877</v>
      </c>
      <c r="G1247">
        <v>202605</v>
      </c>
      <c r="H1247" t="s">
        <v>75</v>
      </c>
      <c r="I1247" t="s">
        <v>76</v>
      </c>
      <c r="J1247" t="s">
        <v>77</v>
      </c>
      <c r="K1247" t="s">
        <v>78</v>
      </c>
      <c r="L1247" t="s">
        <v>123</v>
      </c>
      <c r="M1247" t="s">
        <v>124</v>
      </c>
      <c r="N1247" t="s">
        <v>1841</v>
      </c>
      <c r="O1247" t="s">
        <v>82</v>
      </c>
      <c r="P1247" t="str">
        <f>"4170053889                    "</f>
        <v xml:space="preserve">4170053889                    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>
        <v>23.09</v>
      </c>
      <c r="AR1247">
        <v>0</v>
      </c>
      <c r="AS1247">
        <v>0</v>
      </c>
      <c r="AT1247">
        <v>0</v>
      </c>
      <c r="AU1247">
        <v>0</v>
      </c>
      <c r="AV1247">
        <v>0</v>
      </c>
      <c r="AW1247">
        <v>0</v>
      </c>
      <c r="AX1247">
        <v>0</v>
      </c>
      <c r="AY1247">
        <v>0</v>
      </c>
      <c r="AZ1247">
        <v>0</v>
      </c>
      <c r="BA1247">
        <v>0</v>
      </c>
      <c r="BB1247">
        <v>0</v>
      </c>
      <c r="BC1247">
        <v>0</v>
      </c>
      <c r="BD1247">
        <v>0</v>
      </c>
      <c r="BE1247">
        <v>0</v>
      </c>
      <c r="BF1247">
        <v>0</v>
      </c>
      <c r="BG1247">
        <v>0</v>
      </c>
      <c r="BH1247">
        <v>1</v>
      </c>
      <c r="BI1247">
        <v>1</v>
      </c>
      <c r="BJ1247">
        <v>0.2</v>
      </c>
      <c r="BK1247">
        <v>1</v>
      </c>
      <c r="BL1247">
        <v>71.69</v>
      </c>
      <c r="BM1247">
        <v>10.75</v>
      </c>
      <c r="BN1247">
        <v>82.44</v>
      </c>
      <c r="BO1247">
        <v>82.44</v>
      </c>
      <c r="BQ1247" t="s">
        <v>1842</v>
      </c>
      <c r="BR1247" t="s">
        <v>84</v>
      </c>
      <c r="BS1247" s="3">
        <v>45880</v>
      </c>
      <c r="BT1247" s="4">
        <v>0.42222222222222222</v>
      </c>
      <c r="BU1247" t="s">
        <v>2001</v>
      </c>
      <c r="BV1247" t="s">
        <v>86</v>
      </c>
      <c r="BY1247">
        <v>1200</v>
      </c>
      <c r="CA1247" t="s">
        <v>2002</v>
      </c>
      <c r="CC1247" t="s">
        <v>124</v>
      </c>
      <c r="CD1247">
        <v>7441</v>
      </c>
      <c r="CE1247" t="s">
        <v>109</v>
      </c>
      <c r="CF1247" s="3">
        <v>45881</v>
      </c>
      <c r="CI1247">
        <v>1</v>
      </c>
      <c r="CJ1247">
        <v>1</v>
      </c>
      <c r="CK1247">
        <v>21</v>
      </c>
      <c r="CL1247" t="s">
        <v>90</v>
      </c>
    </row>
    <row r="1248" spans="1:90" x14ac:dyDescent="0.3">
      <c r="A1248" t="s">
        <v>72</v>
      </c>
      <c r="B1248" t="s">
        <v>73</v>
      </c>
      <c r="C1248" t="s">
        <v>74</v>
      </c>
      <c r="E1248" t="str">
        <f>"080067118102"</f>
        <v>080067118102</v>
      </c>
      <c r="F1248" s="3">
        <v>45877</v>
      </c>
      <c r="G1248">
        <v>202605</v>
      </c>
      <c r="H1248" t="s">
        <v>75</v>
      </c>
      <c r="I1248" t="s">
        <v>76</v>
      </c>
      <c r="J1248" t="s">
        <v>77</v>
      </c>
      <c r="K1248" t="s">
        <v>78</v>
      </c>
      <c r="L1248" t="s">
        <v>2003</v>
      </c>
      <c r="M1248" t="s">
        <v>2004</v>
      </c>
      <c r="N1248" t="s">
        <v>2005</v>
      </c>
      <c r="O1248" t="s">
        <v>82</v>
      </c>
      <c r="P1248" t="str">
        <f>"4170053865                    "</f>
        <v xml:space="preserve">4170053865                    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Q1248">
        <v>44.73</v>
      </c>
      <c r="AR1248">
        <v>0</v>
      </c>
      <c r="AS1248">
        <v>0</v>
      </c>
      <c r="AT1248">
        <v>0</v>
      </c>
      <c r="AU1248">
        <v>0</v>
      </c>
      <c r="AV1248">
        <v>0</v>
      </c>
      <c r="AW1248">
        <v>0</v>
      </c>
      <c r="AX1248">
        <v>0</v>
      </c>
      <c r="AY1248">
        <v>0</v>
      </c>
      <c r="AZ1248">
        <v>0</v>
      </c>
      <c r="BA1248">
        <v>0</v>
      </c>
      <c r="BB1248">
        <v>0</v>
      </c>
      <c r="BC1248">
        <v>0</v>
      </c>
      <c r="BD1248">
        <v>0</v>
      </c>
      <c r="BE1248">
        <v>0</v>
      </c>
      <c r="BF1248">
        <v>0</v>
      </c>
      <c r="BG1248">
        <v>0</v>
      </c>
      <c r="BH1248">
        <v>1</v>
      </c>
      <c r="BI1248">
        <v>1</v>
      </c>
      <c r="BJ1248">
        <v>0.2</v>
      </c>
      <c r="BK1248">
        <v>1</v>
      </c>
      <c r="BL1248">
        <v>138.88999999999999</v>
      </c>
      <c r="BM1248">
        <v>20.83</v>
      </c>
      <c r="BN1248">
        <v>159.72</v>
      </c>
      <c r="BO1248">
        <v>159.72</v>
      </c>
      <c r="BQ1248" t="s">
        <v>2006</v>
      </c>
      <c r="BR1248" t="s">
        <v>84</v>
      </c>
      <c r="BS1248" s="3">
        <v>45880</v>
      </c>
      <c r="BT1248" s="4">
        <v>0.4597222222222222</v>
      </c>
      <c r="BU1248" t="s">
        <v>2007</v>
      </c>
      <c r="BV1248" t="s">
        <v>86</v>
      </c>
      <c r="BY1248">
        <v>1200</v>
      </c>
      <c r="CA1248" t="s">
        <v>2008</v>
      </c>
      <c r="CC1248" t="s">
        <v>2004</v>
      </c>
      <c r="CD1248">
        <v>9445</v>
      </c>
      <c r="CE1248" t="s">
        <v>109</v>
      </c>
      <c r="CF1248" s="3">
        <v>45880</v>
      </c>
      <c r="CI1248">
        <v>2</v>
      </c>
      <c r="CJ1248">
        <v>1</v>
      </c>
      <c r="CK1248">
        <v>23</v>
      </c>
      <c r="CL1248" t="s">
        <v>90</v>
      </c>
    </row>
    <row r="1249" spans="1:90" x14ac:dyDescent="0.3">
      <c r="A1249" t="s">
        <v>72</v>
      </c>
      <c r="B1249" t="s">
        <v>73</v>
      </c>
      <c r="C1249" t="s">
        <v>74</v>
      </c>
      <c r="E1249" t="str">
        <f>"080067118125"</f>
        <v>080067118125</v>
      </c>
      <c r="F1249" s="3">
        <v>45877</v>
      </c>
      <c r="G1249">
        <v>202605</v>
      </c>
      <c r="H1249" t="s">
        <v>75</v>
      </c>
      <c r="I1249" t="s">
        <v>76</v>
      </c>
      <c r="J1249" t="s">
        <v>77</v>
      </c>
      <c r="K1249" t="s">
        <v>78</v>
      </c>
      <c r="L1249" t="s">
        <v>217</v>
      </c>
      <c r="M1249" t="s">
        <v>218</v>
      </c>
      <c r="N1249" t="s">
        <v>861</v>
      </c>
      <c r="O1249" t="s">
        <v>82</v>
      </c>
      <c r="P1249" t="str">
        <f>"4170053928                    "</f>
        <v xml:space="preserve">4170053928                    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23.09</v>
      </c>
      <c r="AR1249">
        <v>0</v>
      </c>
      <c r="AS1249">
        <v>0</v>
      </c>
      <c r="AT1249">
        <v>0</v>
      </c>
      <c r="AU1249">
        <v>0</v>
      </c>
      <c r="AV1249">
        <v>0</v>
      </c>
      <c r="AW1249">
        <v>0</v>
      </c>
      <c r="AX1249">
        <v>0</v>
      </c>
      <c r="AY1249">
        <v>0</v>
      </c>
      <c r="AZ1249">
        <v>0</v>
      </c>
      <c r="BA1249">
        <v>0</v>
      </c>
      <c r="BB1249">
        <v>0</v>
      </c>
      <c r="BC1249">
        <v>0</v>
      </c>
      <c r="BD1249">
        <v>0</v>
      </c>
      <c r="BE1249">
        <v>0</v>
      </c>
      <c r="BF1249">
        <v>0</v>
      </c>
      <c r="BG1249">
        <v>0</v>
      </c>
      <c r="BH1249">
        <v>1</v>
      </c>
      <c r="BI1249">
        <v>1</v>
      </c>
      <c r="BJ1249">
        <v>0.2</v>
      </c>
      <c r="BK1249">
        <v>1</v>
      </c>
      <c r="BL1249">
        <v>71.69</v>
      </c>
      <c r="BM1249">
        <v>10.75</v>
      </c>
      <c r="BN1249">
        <v>82.44</v>
      </c>
      <c r="BO1249">
        <v>82.44</v>
      </c>
      <c r="BQ1249" t="s">
        <v>1330</v>
      </c>
      <c r="BR1249" t="s">
        <v>84</v>
      </c>
      <c r="BS1249" s="3">
        <v>45880</v>
      </c>
      <c r="BT1249" s="4">
        <v>0.39861111111111114</v>
      </c>
      <c r="BU1249" t="s">
        <v>2009</v>
      </c>
      <c r="BV1249" t="s">
        <v>86</v>
      </c>
      <c r="BY1249">
        <v>1200</v>
      </c>
      <c r="CA1249" t="s">
        <v>425</v>
      </c>
      <c r="CC1249" t="s">
        <v>218</v>
      </c>
      <c r="CD1249">
        <v>4001</v>
      </c>
      <c r="CE1249" t="s">
        <v>109</v>
      </c>
      <c r="CF1249" s="3">
        <v>45881</v>
      </c>
      <c r="CI1249">
        <v>1</v>
      </c>
      <c r="CJ1249">
        <v>1</v>
      </c>
      <c r="CK1249">
        <v>21</v>
      </c>
      <c r="CL1249" t="s">
        <v>90</v>
      </c>
    </row>
    <row r="1250" spans="1:90" x14ac:dyDescent="0.3">
      <c r="A1250" t="s">
        <v>72</v>
      </c>
      <c r="B1250" t="s">
        <v>73</v>
      </c>
      <c r="C1250" t="s">
        <v>74</v>
      </c>
      <c r="E1250" t="str">
        <f>"080067118144"</f>
        <v>080067118144</v>
      </c>
      <c r="F1250" s="3">
        <v>45877</v>
      </c>
      <c r="G1250">
        <v>202605</v>
      </c>
      <c r="H1250" t="s">
        <v>75</v>
      </c>
      <c r="I1250" t="s">
        <v>76</v>
      </c>
      <c r="J1250" t="s">
        <v>77</v>
      </c>
      <c r="K1250" t="s">
        <v>78</v>
      </c>
      <c r="L1250" t="s">
        <v>110</v>
      </c>
      <c r="M1250" t="s">
        <v>111</v>
      </c>
      <c r="N1250" t="s">
        <v>2010</v>
      </c>
      <c r="O1250" t="s">
        <v>82</v>
      </c>
      <c r="P1250" t="str">
        <f>"4170053810                    "</f>
        <v xml:space="preserve">4170053810                    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Q1250">
        <v>18.03</v>
      </c>
      <c r="AR1250">
        <v>0</v>
      </c>
      <c r="AS1250">
        <v>0</v>
      </c>
      <c r="AT1250">
        <v>0</v>
      </c>
      <c r="AU1250">
        <v>0</v>
      </c>
      <c r="AV1250">
        <v>0</v>
      </c>
      <c r="AW1250">
        <v>0</v>
      </c>
      <c r="AX1250">
        <v>0</v>
      </c>
      <c r="AY1250">
        <v>0</v>
      </c>
      <c r="AZ1250">
        <v>0</v>
      </c>
      <c r="BA1250">
        <v>0</v>
      </c>
      <c r="BB1250">
        <v>0</v>
      </c>
      <c r="BC1250">
        <v>0</v>
      </c>
      <c r="BD1250">
        <v>0</v>
      </c>
      <c r="BE1250">
        <v>0</v>
      </c>
      <c r="BF1250">
        <v>0</v>
      </c>
      <c r="BG1250">
        <v>0</v>
      </c>
      <c r="BH1250">
        <v>1</v>
      </c>
      <c r="BI1250">
        <v>1</v>
      </c>
      <c r="BJ1250">
        <v>0.2</v>
      </c>
      <c r="BK1250">
        <v>1</v>
      </c>
      <c r="BL1250">
        <v>55.99</v>
      </c>
      <c r="BM1250">
        <v>8.4</v>
      </c>
      <c r="BN1250">
        <v>64.39</v>
      </c>
      <c r="BO1250">
        <v>64.39</v>
      </c>
      <c r="BQ1250" t="s">
        <v>2011</v>
      </c>
      <c r="BR1250" t="s">
        <v>84</v>
      </c>
      <c r="BS1250" s="3">
        <v>45880</v>
      </c>
      <c r="BT1250" s="4">
        <v>0.40833333333333333</v>
      </c>
      <c r="BU1250" t="s">
        <v>2012</v>
      </c>
      <c r="BV1250" t="s">
        <v>86</v>
      </c>
      <c r="BY1250">
        <v>1200</v>
      </c>
      <c r="CA1250" t="s">
        <v>1896</v>
      </c>
      <c r="CC1250" t="s">
        <v>111</v>
      </c>
      <c r="CD1250">
        <v>2170</v>
      </c>
      <c r="CE1250" t="s">
        <v>109</v>
      </c>
      <c r="CF1250" s="3">
        <v>45880</v>
      </c>
      <c r="CI1250">
        <v>1</v>
      </c>
      <c r="CJ1250">
        <v>1</v>
      </c>
      <c r="CK1250">
        <v>22</v>
      </c>
      <c r="CL1250" t="s">
        <v>90</v>
      </c>
    </row>
    <row r="1251" spans="1:90" x14ac:dyDescent="0.3">
      <c r="A1251" t="s">
        <v>72</v>
      </c>
      <c r="B1251" t="s">
        <v>73</v>
      </c>
      <c r="C1251" t="s">
        <v>74</v>
      </c>
      <c r="E1251" t="str">
        <f>"080067118170"</f>
        <v>080067118170</v>
      </c>
      <c r="F1251" s="3">
        <v>45877</v>
      </c>
      <c r="G1251">
        <v>202605</v>
      </c>
      <c r="H1251" t="s">
        <v>75</v>
      </c>
      <c r="I1251" t="s">
        <v>76</v>
      </c>
      <c r="J1251" t="s">
        <v>77</v>
      </c>
      <c r="K1251" t="s">
        <v>78</v>
      </c>
      <c r="L1251" t="s">
        <v>303</v>
      </c>
      <c r="M1251" t="s">
        <v>304</v>
      </c>
      <c r="N1251" t="s">
        <v>840</v>
      </c>
      <c r="O1251" t="s">
        <v>82</v>
      </c>
      <c r="P1251" t="str">
        <f>"4170053707                    "</f>
        <v xml:space="preserve">4170053707                    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44.73</v>
      </c>
      <c r="AR1251">
        <v>0</v>
      </c>
      <c r="AS1251">
        <v>0</v>
      </c>
      <c r="AT1251">
        <v>0</v>
      </c>
      <c r="AU1251">
        <v>0</v>
      </c>
      <c r="AV1251">
        <v>0</v>
      </c>
      <c r="AW1251">
        <v>0</v>
      </c>
      <c r="AX1251">
        <v>0</v>
      </c>
      <c r="AY1251">
        <v>0</v>
      </c>
      <c r="AZ1251">
        <v>0</v>
      </c>
      <c r="BA1251">
        <v>0</v>
      </c>
      <c r="BB1251">
        <v>0</v>
      </c>
      <c r="BC1251">
        <v>0</v>
      </c>
      <c r="BD1251">
        <v>0</v>
      </c>
      <c r="BE1251">
        <v>0</v>
      </c>
      <c r="BF1251">
        <v>0</v>
      </c>
      <c r="BG1251">
        <v>0</v>
      </c>
      <c r="BH1251">
        <v>1</v>
      </c>
      <c r="BI1251">
        <v>1</v>
      </c>
      <c r="BJ1251">
        <v>0.2</v>
      </c>
      <c r="BK1251">
        <v>1</v>
      </c>
      <c r="BL1251">
        <v>138.88999999999999</v>
      </c>
      <c r="BM1251">
        <v>20.83</v>
      </c>
      <c r="BN1251">
        <v>159.72</v>
      </c>
      <c r="BO1251">
        <v>159.72</v>
      </c>
      <c r="BQ1251" t="s">
        <v>841</v>
      </c>
      <c r="BR1251" t="s">
        <v>84</v>
      </c>
      <c r="BS1251" s="3">
        <v>45880</v>
      </c>
      <c r="BT1251" s="4">
        <v>0.4909722222222222</v>
      </c>
      <c r="BU1251" t="s">
        <v>1997</v>
      </c>
      <c r="BV1251" t="s">
        <v>86</v>
      </c>
      <c r="BY1251">
        <v>1200</v>
      </c>
      <c r="CA1251" t="s">
        <v>308</v>
      </c>
      <c r="CC1251" t="s">
        <v>304</v>
      </c>
      <c r="CD1251">
        <v>7130</v>
      </c>
      <c r="CE1251" t="s">
        <v>109</v>
      </c>
      <c r="CF1251" s="3">
        <v>45881</v>
      </c>
      <c r="CI1251">
        <v>1</v>
      </c>
      <c r="CJ1251">
        <v>1</v>
      </c>
      <c r="CK1251">
        <v>23</v>
      </c>
      <c r="CL1251" t="s">
        <v>90</v>
      </c>
    </row>
    <row r="1252" spans="1:90" x14ac:dyDescent="0.3">
      <c r="A1252" t="s">
        <v>72</v>
      </c>
      <c r="B1252" t="s">
        <v>73</v>
      </c>
      <c r="C1252" t="s">
        <v>74</v>
      </c>
      <c r="E1252" t="str">
        <f>"080067118173"</f>
        <v>080067118173</v>
      </c>
      <c r="F1252" s="3">
        <v>45877</v>
      </c>
      <c r="G1252">
        <v>202605</v>
      </c>
      <c r="H1252" t="s">
        <v>75</v>
      </c>
      <c r="I1252" t="s">
        <v>76</v>
      </c>
      <c r="J1252" t="s">
        <v>77</v>
      </c>
      <c r="K1252" t="s">
        <v>78</v>
      </c>
      <c r="L1252" t="s">
        <v>1087</v>
      </c>
      <c r="M1252" t="s">
        <v>1088</v>
      </c>
      <c r="N1252" t="s">
        <v>1089</v>
      </c>
      <c r="O1252" t="s">
        <v>82</v>
      </c>
      <c r="P1252" t="str">
        <f>"4170053918                    "</f>
        <v xml:space="preserve">4170053918                    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44.73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</v>
      </c>
      <c r="AX1252">
        <v>0</v>
      </c>
      <c r="AY1252">
        <v>0</v>
      </c>
      <c r="AZ1252">
        <v>0</v>
      </c>
      <c r="BA1252">
        <v>0</v>
      </c>
      <c r="BB1252">
        <v>0</v>
      </c>
      <c r="BC1252">
        <v>0</v>
      </c>
      <c r="BD1252">
        <v>0</v>
      </c>
      <c r="BE1252">
        <v>0</v>
      </c>
      <c r="BF1252">
        <v>0</v>
      </c>
      <c r="BG1252">
        <v>0</v>
      </c>
      <c r="BH1252">
        <v>1</v>
      </c>
      <c r="BI1252">
        <v>1</v>
      </c>
      <c r="BJ1252">
        <v>0.2</v>
      </c>
      <c r="BK1252">
        <v>1</v>
      </c>
      <c r="BL1252">
        <v>138.88999999999999</v>
      </c>
      <c r="BM1252">
        <v>20.83</v>
      </c>
      <c r="BN1252">
        <v>159.72</v>
      </c>
      <c r="BO1252">
        <v>159.72</v>
      </c>
      <c r="BQ1252" t="s">
        <v>1090</v>
      </c>
      <c r="BR1252" t="s">
        <v>84</v>
      </c>
      <c r="BS1252" s="3">
        <v>45880</v>
      </c>
      <c r="BT1252" s="4">
        <v>0.49722222222222223</v>
      </c>
      <c r="BU1252" t="s">
        <v>1091</v>
      </c>
      <c r="BV1252" t="s">
        <v>86</v>
      </c>
      <c r="BY1252">
        <v>1200</v>
      </c>
      <c r="CA1252" t="s">
        <v>1092</v>
      </c>
      <c r="CC1252" t="s">
        <v>1088</v>
      </c>
      <c r="CD1252">
        <v>6500</v>
      </c>
      <c r="CE1252" t="s">
        <v>109</v>
      </c>
      <c r="CF1252" s="3">
        <v>45880</v>
      </c>
      <c r="CI1252">
        <v>1</v>
      </c>
      <c r="CJ1252">
        <v>1</v>
      </c>
      <c r="CK1252">
        <v>23</v>
      </c>
      <c r="CL1252" t="s">
        <v>90</v>
      </c>
    </row>
    <row r="1253" spans="1:90" x14ac:dyDescent="0.3">
      <c r="A1253" t="s">
        <v>72</v>
      </c>
      <c r="B1253" t="s">
        <v>73</v>
      </c>
      <c r="C1253" t="s">
        <v>74</v>
      </c>
      <c r="E1253" t="str">
        <f>"080067118190"</f>
        <v>080067118190</v>
      </c>
      <c r="F1253" s="3">
        <v>45877</v>
      </c>
      <c r="G1253">
        <v>202605</v>
      </c>
      <c r="H1253" t="s">
        <v>75</v>
      </c>
      <c r="I1253" t="s">
        <v>76</v>
      </c>
      <c r="J1253" t="s">
        <v>77</v>
      </c>
      <c r="K1253" t="s">
        <v>78</v>
      </c>
      <c r="L1253" t="s">
        <v>75</v>
      </c>
      <c r="M1253" t="s">
        <v>76</v>
      </c>
      <c r="N1253" t="s">
        <v>1100</v>
      </c>
      <c r="O1253" t="s">
        <v>82</v>
      </c>
      <c r="P1253" t="str">
        <f>"4170053910                    "</f>
        <v xml:space="preserve">4170053910                    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>
        <v>18.03</v>
      </c>
      <c r="AR1253">
        <v>0</v>
      </c>
      <c r="AS1253">
        <v>0</v>
      </c>
      <c r="AT1253">
        <v>0</v>
      </c>
      <c r="AU1253">
        <v>0</v>
      </c>
      <c r="AV1253">
        <v>0</v>
      </c>
      <c r="AW1253">
        <v>0</v>
      </c>
      <c r="AX1253">
        <v>0</v>
      </c>
      <c r="AY1253">
        <v>0</v>
      </c>
      <c r="AZ1253">
        <v>0</v>
      </c>
      <c r="BA1253">
        <v>0</v>
      </c>
      <c r="BB1253">
        <v>0</v>
      </c>
      <c r="BC1253">
        <v>0</v>
      </c>
      <c r="BD1253">
        <v>0</v>
      </c>
      <c r="BE1253">
        <v>0</v>
      </c>
      <c r="BF1253">
        <v>0</v>
      </c>
      <c r="BG1253">
        <v>0</v>
      </c>
      <c r="BH1253">
        <v>1</v>
      </c>
      <c r="BI1253">
        <v>1</v>
      </c>
      <c r="BJ1253">
        <v>0.2</v>
      </c>
      <c r="BK1253">
        <v>1</v>
      </c>
      <c r="BL1253">
        <v>55.99</v>
      </c>
      <c r="BM1253">
        <v>8.4</v>
      </c>
      <c r="BN1253">
        <v>64.39</v>
      </c>
      <c r="BO1253">
        <v>64.39</v>
      </c>
      <c r="BQ1253" t="s">
        <v>1101</v>
      </c>
      <c r="BR1253" t="s">
        <v>84</v>
      </c>
      <c r="BS1253" s="3">
        <v>45880</v>
      </c>
      <c r="BT1253" s="4">
        <v>0.40972222222222221</v>
      </c>
      <c r="BU1253" t="s">
        <v>1892</v>
      </c>
      <c r="BV1253" t="s">
        <v>86</v>
      </c>
      <c r="BY1253">
        <v>1200</v>
      </c>
      <c r="CA1253" t="s">
        <v>1743</v>
      </c>
      <c r="CC1253" t="s">
        <v>76</v>
      </c>
      <c r="CD1253">
        <v>1600</v>
      </c>
      <c r="CE1253" t="s">
        <v>109</v>
      </c>
      <c r="CF1253" s="3">
        <v>45880</v>
      </c>
      <c r="CI1253">
        <v>1</v>
      </c>
      <c r="CJ1253">
        <v>1</v>
      </c>
      <c r="CK1253">
        <v>22</v>
      </c>
      <c r="CL1253" t="s">
        <v>90</v>
      </c>
    </row>
    <row r="1254" spans="1:90" x14ac:dyDescent="0.3">
      <c r="A1254" t="s">
        <v>72</v>
      </c>
      <c r="B1254" t="s">
        <v>73</v>
      </c>
      <c r="C1254" t="s">
        <v>74</v>
      </c>
      <c r="E1254" t="str">
        <f>"080067118187"</f>
        <v>080067118187</v>
      </c>
      <c r="F1254" s="3">
        <v>45877</v>
      </c>
      <c r="G1254">
        <v>202605</v>
      </c>
      <c r="H1254" t="s">
        <v>75</v>
      </c>
      <c r="I1254" t="s">
        <v>76</v>
      </c>
      <c r="J1254" t="s">
        <v>77</v>
      </c>
      <c r="K1254" t="s">
        <v>78</v>
      </c>
      <c r="L1254" t="s">
        <v>198</v>
      </c>
      <c r="M1254" t="s">
        <v>199</v>
      </c>
      <c r="N1254" t="s">
        <v>598</v>
      </c>
      <c r="O1254" t="s">
        <v>82</v>
      </c>
      <c r="P1254" t="str">
        <f>"4170053815                    "</f>
        <v xml:space="preserve">4170053815                    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23.09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</v>
      </c>
      <c r="AX1254">
        <v>0</v>
      </c>
      <c r="AY1254">
        <v>0</v>
      </c>
      <c r="AZ1254">
        <v>0</v>
      </c>
      <c r="BA1254">
        <v>0</v>
      </c>
      <c r="BB1254">
        <v>0</v>
      </c>
      <c r="BC1254">
        <v>0</v>
      </c>
      <c r="BD1254">
        <v>0</v>
      </c>
      <c r="BE1254">
        <v>0</v>
      </c>
      <c r="BF1254">
        <v>0</v>
      </c>
      <c r="BG1254">
        <v>0</v>
      </c>
      <c r="BH1254">
        <v>1</v>
      </c>
      <c r="BI1254">
        <v>1</v>
      </c>
      <c r="BJ1254">
        <v>0.2</v>
      </c>
      <c r="BK1254">
        <v>1</v>
      </c>
      <c r="BL1254">
        <v>71.69</v>
      </c>
      <c r="BM1254">
        <v>10.75</v>
      </c>
      <c r="BN1254">
        <v>82.44</v>
      </c>
      <c r="BO1254">
        <v>82.44</v>
      </c>
      <c r="BQ1254" t="s">
        <v>599</v>
      </c>
      <c r="BR1254" t="s">
        <v>84</v>
      </c>
      <c r="BS1254" s="3">
        <v>45880</v>
      </c>
      <c r="BT1254" s="4">
        <v>0.39305555555555555</v>
      </c>
      <c r="BU1254" t="s">
        <v>1757</v>
      </c>
      <c r="BV1254" t="s">
        <v>86</v>
      </c>
      <c r="BY1254">
        <v>1200</v>
      </c>
      <c r="CA1254" t="s">
        <v>601</v>
      </c>
      <c r="CC1254" t="s">
        <v>199</v>
      </c>
      <c r="CD1254">
        <v>6001</v>
      </c>
      <c r="CE1254" t="s">
        <v>109</v>
      </c>
      <c r="CF1254" s="3">
        <v>45880</v>
      </c>
      <c r="CI1254">
        <v>1</v>
      </c>
      <c r="CJ1254">
        <v>1</v>
      </c>
      <c r="CK1254">
        <v>21</v>
      </c>
      <c r="CL1254" t="s">
        <v>90</v>
      </c>
    </row>
    <row r="1255" spans="1:90" x14ac:dyDescent="0.3">
      <c r="A1255" t="s">
        <v>72</v>
      </c>
      <c r="B1255" t="s">
        <v>73</v>
      </c>
      <c r="C1255" t="s">
        <v>74</v>
      </c>
      <c r="E1255" t="str">
        <f>"080067118220"</f>
        <v>080067118220</v>
      </c>
      <c r="F1255" s="3">
        <v>45877</v>
      </c>
      <c r="G1255">
        <v>202605</v>
      </c>
      <c r="H1255" t="s">
        <v>75</v>
      </c>
      <c r="I1255" t="s">
        <v>76</v>
      </c>
      <c r="J1255" t="s">
        <v>77</v>
      </c>
      <c r="K1255" t="s">
        <v>78</v>
      </c>
      <c r="L1255" t="s">
        <v>217</v>
      </c>
      <c r="M1255" t="s">
        <v>218</v>
      </c>
      <c r="N1255" t="s">
        <v>219</v>
      </c>
      <c r="O1255" t="s">
        <v>82</v>
      </c>
      <c r="P1255" t="str">
        <f>"4170053931                    "</f>
        <v xml:space="preserve">4170053931                    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23.09</v>
      </c>
      <c r="AR1255">
        <v>0</v>
      </c>
      <c r="AS1255">
        <v>0</v>
      </c>
      <c r="AT1255">
        <v>0</v>
      </c>
      <c r="AU1255">
        <v>0</v>
      </c>
      <c r="AV1255">
        <v>0</v>
      </c>
      <c r="AW1255">
        <v>0</v>
      </c>
      <c r="AX1255">
        <v>0</v>
      </c>
      <c r="AY1255">
        <v>0</v>
      </c>
      <c r="AZ1255">
        <v>0</v>
      </c>
      <c r="BA1255">
        <v>0</v>
      </c>
      <c r="BB1255">
        <v>0</v>
      </c>
      <c r="BC1255">
        <v>0</v>
      </c>
      <c r="BD1255">
        <v>0</v>
      </c>
      <c r="BE1255">
        <v>0</v>
      </c>
      <c r="BF1255">
        <v>0</v>
      </c>
      <c r="BG1255">
        <v>0</v>
      </c>
      <c r="BH1255">
        <v>1</v>
      </c>
      <c r="BI1255">
        <v>1</v>
      </c>
      <c r="BJ1255">
        <v>0.2</v>
      </c>
      <c r="BK1255">
        <v>1</v>
      </c>
      <c r="BL1255">
        <v>71.69</v>
      </c>
      <c r="BM1255">
        <v>10.75</v>
      </c>
      <c r="BN1255">
        <v>82.44</v>
      </c>
      <c r="BO1255">
        <v>82.44</v>
      </c>
      <c r="BQ1255" t="s">
        <v>220</v>
      </c>
      <c r="BR1255" t="s">
        <v>84</v>
      </c>
      <c r="BS1255" s="3">
        <v>45880</v>
      </c>
      <c r="BT1255" s="4">
        <v>0.33750000000000002</v>
      </c>
      <c r="BU1255" t="s">
        <v>221</v>
      </c>
      <c r="BV1255" t="s">
        <v>86</v>
      </c>
      <c r="BY1255">
        <v>1200</v>
      </c>
      <c r="CA1255" t="s">
        <v>566</v>
      </c>
      <c r="CC1255" t="s">
        <v>218</v>
      </c>
      <c r="CD1255">
        <v>4051</v>
      </c>
      <c r="CE1255" t="s">
        <v>109</v>
      </c>
      <c r="CF1255" s="3">
        <v>45881</v>
      </c>
      <c r="CI1255">
        <v>1</v>
      </c>
      <c r="CJ1255">
        <v>1</v>
      </c>
      <c r="CK1255">
        <v>21</v>
      </c>
      <c r="CL1255" t="s">
        <v>90</v>
      </c>
    </row>
    <row r="1256" spans="1:90" x14ac:dyDescent="0.3">
      <c r="A1256" t="s">
        <v>72</v>
      </c>
      <c r="B1256" t="s">
        <v>73</v>
      </c>
      <c r="C1256" t="s">
        <v>74</v>
      </c>
      <c r="E1256" t="str">
        <f>"080067118221"</f>
        <v>080067118221</v>
      </c>
      <c r="F1256" s="3">
        <v>45877</v>
      </c>
      <c r="G1256">
        <v>202605</v>
      </c>
      <c r="H1256" t="s">
        <v>75</v>
      </c>
      <c r="I1256" t="s">
        <v>76</v>
      </c>
      <c r="J1256" t="s">
        <v>77</v>
      </c>
      <c r="K1256" t="s">
        <v>78</v>
      </c>
      <c r="L1256" t="s">
        <v>234</v>
      </c>
      <c r="M1256" t="s">
        <v>235</v>
      </c>
      <c r="N1256" t="s">
        <v>236</v>
      </c>
      <c r="O1256" t="s">
        <v>82</v>
      </c>
      <c r="P1256" t="str">
        <f>"4170053913                    "</f>
        <v xml:space="preserve">4170053913                    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23.09</v>
      </c>
      <c r="AR1256">
        <v>0</v>
      </c>
      <c r="AS1256">
        <v>0</v>
      </c>
      <c r="AT1256">
        <v>0</v>
      </c>
      <c r="AU1256">
        <v>0</v>
      </c>
      <c r="AV1256">
        <v>0</v>
      </c>
      <c r="AW1256">
        <v>0</v>
      </c>
      <c r="AX1256">
        <v>0</v>
      </c>
      <c r="AY1256">
        <v>0</v>
      </c>
      <c r="AZ1256">
        <v>0</v>
      </c>
      <c r="BA1256">
        <v>0</v>
      </c>
      <c r="BB1256">
        <v>0</v>
      </c>
      <c r="BC1256">
        <v>0</v>
      </c>
      <c r="BD1256">
        <v>0</v>
      </c>
      <c r="BE1256">
        <v>0</v>
      </c>
      <c r="BF1256">
        <v>0</v>
      </c>
      <c r="BG1256">
        <v>0</v>
      </c>
      <c r="BH1256">
        <v>1</v>
      </c>
      <c r="BI1256">
        <v>1</v>
      </c>
      <c r="BJ1256">
        <v>0.2</v>
      </c>
      <c r="BK1256">
        <v>1</v>
      </c>
      <c r="BL1256">
        <v>71.69</v>
      </c>
      <c r="BM1256">
        <v>10.75</v>
      </c>
      <c r="BN1256">
        <v>82.44</v>
      </c>
      <c r="BO1256">
        <v>82.44</v>
      </c>
      <c r="BQ1256" t="s">
        <v>237</v>
      </c>
      <c r="BR1256" t="s">
        <v>84</v>
      </c>
      <c r="BS1256" s="3">
        <v>45880</v>
      </c>
      <c r="BT1256" s="4">
        <v>0.37708333333333333</v>
      </c>
      <c r="BU1256" t="s">
        <v>650</v>
      </c>
      <c r="BV1256" t="s">
        <v>86</v>
      </c>
      <c r="BY1256">
        <v>1200</v>
      </c>
      <c r="CA1256" t="s">
        <v>239</v>
      </c>
      <c r="CC1256" t="s">
        <v>235</v>
      </c>
      <c r="CD1256" s="5" t="s">
        <v>240</v>
      </c>
      <c r="CE1256" t="s">
        <v>109</v>
      </c>
      <c r="CF1256" s="3">
        <v>45880</v>
      </c>
      <c r="CI1256">
        <v>1</v>
      </c>
      <c r="CJ1256">
        <v>1</v>
      </c>
      <c r="CK1256">
        <v>21</v>
      </c>
      <c r="CL1256" t="s">
        <v>90</v>
      </c>
    </row>
    <row r="1257" spans="1:90" x14ac:dyDescent="0.3">
      <c r="A1257" t="s">
        <v>72</v>
      </c>
      <c r="B1257" t="s">
        <v>73</v>
      </c>
      <c r="C1257" t="s">
        <v>74</v>
      </c>
      <c r="E1257" t="str">
        <f>"080067118245"</f>
        <v>080067118245</v>
      </c>
      <c r="F1257" s="3">
        <v>45877</v>
      </c>
      <c r="G1257">
        <v>202605</v>
      </c>
      <c r="H1257" t="s">
        <v>75</v>
      </c>
      <c r="I1257" t="s">
        <v>76</v>
      </c>
      <c r="J1257" t="s">
        <v>77</v>
      </c>
      <c r="K1257" t="s">
        <v>78</v>
      </c>
      <c r="L1257" t="s">
        <v>325</v>
      </c>
      <c r="M1257" t="s">
        <v>326</v>
      </c>
      <c r="N1257" t="s">
        <v>2013</v>
      </c>
      <c r="O1257" t="s">
        <v>82</v>
      </c>
      <c r="P1257" t="str">
        <f>"4170053790                    "</f>
        <v xml:space="preserve">4170053790                    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18.03</v>
      </c>
      <c r="AR1257">
        <v>0</v>
      </c>
      <c r="AS1257">
        <v>0</v>
      </c>
      <c r="AT1257">
        <v>0</v>
      </c>
      <c r="AU1257">
        <v>0</v>
      </c>
      <c r="AV1257">
        <v>0</v>
      </c>
      <c r="AW1257">
        <v>0</v>
      </c>
      <c r="AX1257">
        <v>0</v>
      </c>
      <c r="AY1257">
        <v>0</v>
      </c>
      <c r="AZ1257">
        <v>0</v>
      </c>
      <c r="BA1257">
        <v>0</v>
      </c>
      <c r="BB1257">
        <v>0</v>
      </c>
      <c r="BC1257">
        <v>0</v>
      </c>
      <c r="BD1257">
        <v>0</v>
      </c>
      <c r="BE1257">
        <v>0</v>
      </c>
      <c r="BF1257">
        <v>0</v>
      </c>
      <c r="BG1257">
        <v>0</v>
      </c>
      <c r="BH1257">
        <v>1</v>
      </c>
      <c r="BI1257">
        <v>1</v>
      </c>
      <c r="BJ1257">
        <v>0.2</v>
      </c>
      <c r="BK1257">
        <v>1</v>
      </c>
      <c r="BL1257">
        <v>55.99</v>
      </c>
      <c r="BM1257">
        <v>8.4</v>
      </c>
      <c r="BN1257">
        <v>64.39</v>
      </c>
      <c r="BO1257">
        <v>64.39</v>
      </c>
      <c r="BQ1257" t="s">
        <v>2014</v>
      </c>
      <c r="BR1257" t="s">
        <v>84</v>
      </c>
      <c r="BS1257" s="3">
        <v>45880</v>
      </c>
      <c r="BT1257" s="4">
        <v>0.34027777777777779</v>
      </c>
      <c r="BU1257" t="s">
        <v>2015</v>
      </c>
      <c r="BV1257" t="s">
        <v>86</v>
      </c>
      <c r="BY1257">
        <v>1200</v>
      </c>
      <c r="CA1257" t="s">
        <v>2016</v>
      </c>
      <c r="CC1257" t="s">
        <v>326</v>
      </c>
      <c r="CD1257">
        <v>2001</v>
      </c>
      <c r="CE1257" t="s">
        <v>109</v>
      </c>
      <c r="CF1257" s="3">
        <v>45880</v>
      </c>
      <c r="CI1257">
        <v>1</v>
      </c>
      <c r="CJ1257">
        <v>1</v>
      </c>
      <c r="CK1257">
        <v>22</v>
      </c>
      <c r="CL1257" t="s">
        <v>90</v>
      </c>
    </row>
    <row r="1258" spans="1:90" x14ac:dyDescent="0.3">
      <c r="A1258" t="s">
        <v>72</v>
      </c>
      <c r="B1258" t="s">
        <v>73</v>
      </c>
      <c r="C1258" t="s">
        <v>74</v>
      </c>
      <c r="E1258" t="str">
        <f>"080067118254"</f>
        <v>080067118254</v>
      </c>
      <c r="F1258" s="3">
        <v>45877</v>
      </c>
      <c r="G1258">
        <v>202605</v>
      </c>
      <c r="H1258" t="s">
        <v>75</v>
      </c>
      <c r="I1258" t="s">
        <v>76</v>
      </c>
      <c r="J1258" t="s">
        <v>77</v>
      </c>
      <c r="K1258" t="s">
        <v>78</v>
      </c>
      <c r="L1258" t="s">
        <v>241</v>
      </c>
      <c r="M1258" t="s">
        <v>242</v>
      </c>
      <c r="N1258" t="s">
        <v>1251</v>
      </c>
      <c r="O1258" t="s">
        <v>82</v>
      </c>
      <c r="P1258" t="str">
        <f>"4170053970                    "</f>
        <v xml:space="preserve">4170053970                    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  <c r="AQ1258">
        <v>18.03</v>
      </c>
      <c r="AR1258">
        <v>0</v>
      </c>
      <c r="AS1258">
        <v>0</v>
      </c>
      <c r="AT1258">
        <v>0</v>
      </c>
      <c r="AU1258">
        <v>0</v>
      </c>
      <c r="AV1258">
        <v>0</v>
      </c>
      <c r="AW1258">
        <v>0</v>
      </c>
      <c r="AX1258">
        <v>0</v>
      </c>
      <c r="AY1258">
        <v>0</v>
      </c>
      <c r="AZ1258">
        <v>0</v>
      </c>
      <c r="BA1258">
        <v>0</v>
      </c>
      <c r="BB1258">
        <v>0</v>
      </c>
      <c r="BC1258">
        <v>0</v>
      </c>
      <c r="BD1258">
        <v>0</v>
      </c>
      <c r="BE1258">
        <v>0</v>
      </c>
      <c r="BF1258">
        <v>0</v>
      </c>
      <c r="BG1258">
        <v>0</v>
      </c>
      <c r="BH1258">
        <v>1</v>
      </c>
      <c r="BI1258">
        <v>1</v>
      </c>
      <c r="BJ1258">
        <v>0.2</v>
      </c>
      <c r="BK1258">
        <v>1</v>
      </c>
      <c r="BL1258">
        <v>55.99</v>
      </c>
      <c r="BM1258">
        <v>8.4</v>
      </c>
      <c r="BN1258">
        <v>64.39</v>
      </c>
      <c r="BO1258">
        <v>64.39</v>
      </c>
      <c r="BQ1258" t="s">
        <v>1252</v>
      </c>
      <c r="BR1258" t="s">
        <v>84</v>
      </c>
      <c r="BS1258" s="3">
        <v>45880</v>
      </c>
      <c r="BT1258" s="4">
        <v>0.34375</v>
      </c>
      <c r="BU1258" t="s">
        <v>2017</v>
      </c>
      <c r="BV1258" t="s">
        <v>86</v>
      </c>
      <c r="BY1258">
        <v>1200</v>
      </c>
      <c r="CA1258" t="s">
        <v>720</v>
      </c>
      <c r="CC1258" t="s">
        <v>242</v>
      </c>
      <c r="CD1258">
        <v>1460</v>
      </c>
      <c r="CE1258" t="s">
        <v>109</v>
      </c>
      <c r="CF1258" s="3">
        <v>45881</v>
      </c>
      <c r="CI1258">
        <v>1</v>
      </c>
      <c r="CJ1258">
        <v>1</v>
      </c>
      <c r="CK1258">
        <v>22</v>
      </c>
      <c r="CL1258" t="s">
        <v>90</v>
      </c>
    </row>
    <row r="1259" spans="1:90" x14ac:dyDescent="0.3">
      <c r="A1259" t="s">
        <v>72</v>
      </c>
      <c r="B1259" t="s">
        <v>73</v>
      </c>
      <c r="C1259" t="s">
        <v>74</v>
      </c>
      <c r="E1259" t="str">
        <f>"080067118275"</f>
        <v>080067118275</v>
      </c>
      <c r="F1259" s="3">
        <v>45877</v>
      </c>
      <c r="G1259">
        <v>202605</v>
      </c>
      <c r="H1259" t="s">
        <v>75</v>
      </c>
      <c r="I1259" t="s">
        <v>76</v>
      </c>
      <c r="J1259" t="s">
        <v>77</v>
      </c>
      <c r="K1259" t="s">
        <v>78</v>
      </c>
      <c r="L1259" t="s">
        <v>278</v>
      </c>
      <c r="M1259" t="s">
        <v>279</v>
      </c>
      <c r="N1259" t="s">
        <v>2018</v>
      </c>
      <c r="O1259" t="s">
        <v>82</v>
      </c>
      <c r="P1259" t="str">
        <f>"4170053890                    "</f>
        <v xml:space="preserve">4170053890                    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23.09</v>
      </c>
      <c r="AR1259">
        <v>0</v>
      </c>
      <c r="AS1259">
        <v>0</v>
      </c>
      <c r="AT1259">
        <v>0</v>
      </c>
      <c r="AU1259">
        <v>0</v>
      </c>
      <c r="AV1259">
        <v>0</v>
      </c>
      <c r="AW1259">
        <v>0</v>
      </c>
      <c r="AX1259">
        <v>0</v>
      </c>
      <c r="AY1259">
        <v>0</v>
      </c>
      <c r="AZ1259">
        <v>0</v>
      </c>
      <c r="BA1259">
        <v>0</v>
      </c>
      <c r="BB1259">
        <v>0</v>
      </c>
      <c r="BC1259">
        <v>0</v>
      </c>
      <c r="BD1259">
        <v>0</v>
      </c>
      <c r="BE1259">
        <v>0</v>
      </c>
      <c r="BF1259">
        <v>0</v>
      </c>
      <c r="BG1259">
        <v>0</v>
      </c>
      <c r="BH1259">
        <v>1</v>
      </c>
      <c r="BI1259">
        <v>1</v>
      </c>
      <c r="BJ1259">
        <v>0.2</v>
      </c>
      <c r="BK1259">
        <v>1</v>
      </c>
      <c r="BL1259">
        <v>71.69</v>
      </c>
      <c r="BM1259">
        <v>10.75</v>
      </c>
      <c r="BN1259">
        <v>82.44</v>
      </c>
      <c r="BO1259">
        <v>82.44</v>
      </c>
      <c r="BQ1259" t="s">
        <v>2019</v>
      </c>
      <c r="BR1259" t="s">
        <v>84</v>
      </c>
      <c r="BS1259" s="3">
        <v>45880</v>
      </c>
      <c r="BT1259" s="4">
        <v>0.41805555555555557</v>
      </c>
      <c r="BU1259" t="s">
        <v>2020</v>
      </c>
      <c r="BV1259" t="s">
        <v>86</v>
      </c>
      <c r="BY1259">
        <v>1200</v>
      </c>
      <c r="CA1259" t="s">
        <v>1729</v>
      </c>
      <c r="CC1259" t="s">
        <v>279</v>
      </c>
      <c r="CD1259" s="5" t="s">
        <v>289</v>
      </c>
      <c r="CE1259" t="s">
        <v>109</v>
      </c>
      <c r="CF1259" s="3">
        <v>45880</v>
      </c>
      <c r="CI1259">
        <v>1</v>
      </c>
      <c r="CJ1259">
        <v>1</v>
      </c>
      <c r="CK1259">
        <v>21</v>
      </c>
      <c r="CL1259" t="s">
        <v>90</v>
      </c>
    </row>
    <row r="1260" spans="1:90" x14ac:dyDescent="0.3">
      <c r="A1260" t="s">
        <v>72</v>
      </c>
      <c r="B1260" t="s">
        <v>73</v>
      </c>
      <c r="C1260" t="s">
        <v>74</v>
      </c>
      <c r="E1260" t="str">
        <f>"080067118289"</f>
        <v>080067118289</v>
      </c>
      <c r="F1260" s="3">
        <v>45877</v>
      </c>
      <c r="G1260">
        <v>202605</v>
      </c>
      <c r="H1260" t="s">
        <v>75</v>
      </c>
      <c r="I1260" t="s">
        <v>76</v>
      </c>
      <c r="J1260" t="s">
        <v>77</v>
      </c>
      <c r="K1260" t="s">
        <v>78</v>
      </c>
      <c r="L1260" t="s">
        <v>123</v>
      </c>
      <c r="M1260" t="s">
        <v>124</v>
      </c>
      <c r="N1260" t="s">
        <v>168</v>
      </c>
      <c r="O1260" t="s">
        <v>82</v>
      </c>
      <c r="P1260" t="str">
        <f>"4170053980                    "</f>
        <v xml:space="preserve">4170053980                    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23.09</v>
      </c>
      <c r="AR1260">
        <v>0</v>
      </c>
      <c r="AS1260">
        <v>0</v>
      </c>
      <c r="AT1260">
        <v>0</v>
      </c>
      <c r="AU1260">
        <v>0</v>
      </c>
      <c r="AV1260">
        <v>0</v>
      </c>
      <c r="AW1260">
        <v>0</v>
      </c>
      <c r="AX1260">
        <v>0</v>
      </c>
      <c r="AY1260">
        <v>0</v>
      </c>
      <c r="AZ1260">
        <v>0</v>
      </c>
      <c r="BA1260">
        <v>0</v>
      </c>
      <c r="BB1260">
        <v>0</v>
      </c>
      <c r="BC1260">
        <v>0</v>
      </c>
      <c r="BD1260">
        <v>0</v>
      </c>
      <c r="BE1260">
        <v>0</v>
      </c>
      <c r="BF1260">
        <v>0</v>
      </c>
      <c r="BG1260">
        <v>0</v>
      </c>
      <c r="BH1260">
        <v>1</v>
      </c>
      <c r="BI1260">
        <v>1</v>
      </c>
      <c r="BJ1260">
        <v>0.2</v>
      </c>
      <c r="BK1260">
        <v>1</v>
      </c>
      <c r="BL1260">
        <v>71.69</v>
      </c>
      <c r="BM1260">
        <v>10.75</v>
      </c>
      <c r="BN1260">
        <v>82.44</v>
      </c>
      <c r="BO1260">
        <v>82.44</v>
      </c>
      <c r="BQ1260" t="s">
        <v>169</v>
      </c>
      <c r="BR1260" t="s">
        <v>84</v>
      </c>
      <c r="BS1260" s="3">
        <v>45880</v>
      </c>
      <c r="BT1260" s="4">
        <v>0.40902777777777777</v>
      </c>
      <c r="BU1260" t="s">
        <v>1922</v>
      </c>
      <c r="BV1260" t="s">
        <v>86</v>
      </c>
      <c r="BY1260">
        <v>1200</v>
      </c>
      <c r="CA1260" t="s">
        <v>171</v>
      </c>
      <c r="CC1260" t="s">
        <v>124</v>
      </c>
      <c r="CD1260">
        <v>7535</v>
      </c>
      <c r="CE1260" t="s">
        <v>109</v>
      </c>
      <c r="CF1260" s="3">
        <v>45881</v>
      </c>
      <c r="CI1260">
        <v>1</v>
      </c>
      <c r="CJ1260">
        <v>1</v>
      </c>
      <c r="CK1260">
        <v>21</v>
      </c>
      <c r="CL1260" t="s">
        <v>90</v>
      </c>
    </row>
    <row r="1261" spans="1:90" x14ac:dyDescent="0.3">
      <c r="A1261" t="s">
        <v>72</v>
      </c>
      <c r="B1261" t="s">
        <v>73</v>
      </c>
      <c r="C1261" t="s">
        <v>74</v>
      </c>
      <c r="E1261" t="str">
        <f>"080067118298"</f>
        <v>080067118298</v>
      </c>
      <c r="F1261" s="3">
        <v>45877</v>
      </c>
      <c r="G1261">
        <v>202605</v>
      </c>
      <c r="H1261" t="s">
        <v>75</v>
      </c>
      <c r="I1261" t="s">
        <v>76</v>
      </c>
      <c r="J1261" t="s">
        <v>77</v>
      </c>
      <c r="K1261" t="s">
        <v>78</v>
      </c>
      <c r="L1261" t="s">
        <v>1581</v>
      </c>
      <c r="M1261" t="s">
        <v>1582</v>
      </c>
      <c r="N1261" t="s">
        <v>1583</v>
      </c>
      <c r="O1261" t="s">
        <v>82</v>
      </c>
      <c r="P1261" t="str">
        <f>"4170053884                    "</f>
        <v xml:space="preserve">4170053884                    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Q1261">
        <v>44.73</v>
      </c>
      <c r="AR1261">
        <v>0</v>
      </c>
      <c r="AS1261">
        <v>0</v>
      </c>
      <c r="AT1261">
        <v>0</v>
      </c>
      <c r="AU1261">
        <v>0</v>
      </c>
      <c r="AV1261">
        <v>0</v>
      </c>
      <c r="AW1261">
        <v>0</v>
      </c>
      <c r="AX1261">
        <v>0</v>
      </c>
      <c r="AY1261">
        <v>0</v>
      </c>
      <c r="AZ1261">
        <v>0</v>
      </c>
      <c r="BA1261">
        <v>0</v>
      </c>
      <c r="BB1261">
        <v>0</v>
      </c>
      <c r="BC1261">
        <v>0</v>
      </c>
      <c r="BD1261">
        <v>0</v>
      </c>
      <c r="BE1261">
        <v>0</v>
      </c>
      <c r="BF1261">
        <v>0</v>
      </c>
      <c r="BG1261">
        <v>0</v>
      </c>
      <c r="BH1261">
        <v>1</v>
      </c>
      <c r="BI1261">
        <v>1</v>
      </c>
      <c r="BJ1261">
        <v>0.2</v>
      </c>
      <c r="BK1261">
        <v>1</v>
      </c>
      <c r="BL1261">
        <v>138.88999999999999</v>
      </c>
      <c r="BM1261">
        <v>20.83</v>
      </c>
      <c r="BN1261">
        <v>159.72</v>
      </c>
      <c r="BO1261">
        <v>159.72</v>
      </c>
      <c r="BQ1261" t="s">
        <v>1584</v>
      </c>
      <c r="BR1261" t="s">
        <v>84</v>
      </c>
      <c r="BS1261" s="3">
        <v>45880</v>
      </c>
      <c r="BT1261" s="4">
        <v>0.6430555555555556</v>
      </c>
      <c r="BU1261" t="s">
        <v>1585</v>
      </c>
      <c r="BV1261" t="s">
        <v>86</v>
      </c>
      <c r="BY1261">
        <v>1200</v>
      </c>
      <c r="CA1261" t="s">
        <v>1586</v>
      </c>
      <c r="CC1261" t="s">
        <v>1582</v>
      </c>
      <c r="CD1261">
        <v>1028</v>
      </c>
      <c r="CE1261" t="s">
        <v>109</v>
      </c>
      <c r="CF1261" s="3">
        <v>45880</v>
      </c>
      <c r="CI1261">
        <v>1</v>
      </c>
      <c r="CJ1261">
        <v>1</v>
      </c>
      <c r="CK1261">
        <v>23</v>
      </c>
      <c r="CL1261" t="s">
        <v>90</v>
      </c>
    </row>
    <row r="1262" spans="1:90" x14ac:dyDescent="0.3">
      <c r="A1262" t="s">
        <v>72</v>
      </c>
      <c r="B1262" t="s">
        <v>73</v>
      </c>
      <c r="C1262" t="s">
        <v>74</v>
      </c>
      <c r="E1262" t="str">
        <f>"080067118306"</f>
        <v>080067118306</v>
      </c>
      <c r="F1262" s="3">
        <v>45877</v>
      </c>
      <c r="G1262">
        <v>202605</v>
      </c>
      <c r="H1262" t="s">
        <v>75</v>
      </c>
      <c r="I1262" t="s">
        <v>76</v>
      </c>
      <c r="J1262" t="s">
        <v>77</v>
      </c>
      <c r="K1262" t="s">
        <v>78</v>
      </c>
      <c r="L1262" t="s">
        <v>198</v>
      </c>
      <c r="M1262" t="s">
        <v>199</v>
      </c>
      <c r="N1262" t="s">
        <v>598</v>
      </c>
      <c r="O1262" t="s">
        <v>82</v>
      </c>
      <c r="P1262" t="str">
        <f>"4170053902                    "</f>
        <v xml:space="preserve">4170053902                    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23.09</v>
      </c>
      <c r="AR1262">
        <v>0</v>
      </c>
      <c r="AS1262">
        <v>0</v>
      </c>
      <c r="AT1262">
        <v>0</v>
      </c>
      <c r="AU1262">
        <v>0</v>
      </c>
      <c r="AV1262">
        <v>0</v>
      </c>
      <c r="AW1262">
        <v>0</v>
      </c>
      <c r="AX1262">
        <v>0</v>
      </c>
      <c r="AY1262">
        <v>0</v>
      </c>
      <c r="AZ1262">
        <v>0</v>
      </c>
      <c r="BA1262">
        <v>0</v>
      </c>
      <c r="BB1262">
        <v>0</v>
      </c>
      <c r="BC1262">
        <v>0</v>
      </c>
      <c r="BD1262">
        <v>0</v>
      </c>
      <c r="BE1262">
        <v>0</v>
      </c>
      <c r="BF1262">
        <v>0</v>
      </c>
      <c r="BG1262">
        <v>0</v>
      </c>
      <c r="BH1262">
        <v>1</v>
      </c>
      <c r="BI1262">
        <v>1</v>
      </c>
      <c r="BJ1262">
        <v>0.2</v>
      </c>
      <c r="BK1262">
        <v>1</v>
      </c>
      <c r="BL1262">
        <v>71.69</v>
      </c>
      <c r="BM1262">
        <v>10.75</v>
      </c>
      <c r="BN1262">
        <v>82.44</v>
      </c>
      <c r="BO1262">
        <v>82.44</v>
      </c>
      <c r="BQ1262" t="s">
        <v>599</v>
      </c>
      <c r="BR1262" t="s">
        <v>84</v>
      </c>
      <c r="BS1262" s="3">
        <v>45880</v>
      </c>
      <c r="BT1262" s="4">
        <v>0.39097222222222222</v>
      </c>
      <c r="BU1262" t="s">
        <v>1871</v>
      </c>
      <c r="BV1262" t="s">
        <v>86</v>
      </c>
      <c r="BY1262">
        <v>1200</v>
      </c>
      <c r="CA1262" t="s">
        <v>601</v>
      </c>
      <c r="CC1262" t="s">
        <v>199</v>
      </c>
      <c r="CD1262">
        <v>6001</v>
      </c>
      <c r="CE1262" t="s">
        <v>109</v>
      </c>
      <c r="CF1262" s="3">
        <v>45880</v>
      </c>
      <c r="CI1262">
        <v>1</v>
      </c>
      <c r="CJ1262">
        <v>1</v>
      </c>
      <c r="CK1262">
        <v>21</v>
      </c>
      <c r="CL1262" t="s">
        <v>90</v>
      </c>
    </row>
    <row r="1263" spans="1:90" x14ac:dyDescent="0.3">
      <c r="A1263" t="s">
        <v>72</v>
      </c>
      <c r="B1263" t="s">
        <v>73</v>
      </c>
      <c r="C1263" t="s">
        <v>74</v>
      </c>
      <c r="E1263" t="str">
        <f>"080067118346"</f>
        <v>080067118346</v>
      </c>
      <c r="F1263" s="3">
        <v>45877</v>
      </c>
      <c r="G1263">
        <v>202605</v>
      </c>
      <c r="H1263" t="s">
        <v>75</v>
      </c>
      <c r="I1263" t="s">
        <v>76</v>
      </c>
      <c r="J1263" t="s">
        <v>77</v>
      </c>
      <c r="K1263" t="s">
        <v>78</v>
      </c>
      <c r="L1263" t="s">
        <v>325</v>
      </c>
      <c r="M1263" t="s">
        <v>326</v>
      </c>
      <c r="N1263" t="s">
        <v>1055</v>
      </c>
      <c r="O1263" t="s">
        <v>95</v>
      </c>
      <c r="P1263" t="str">
        <f>"4170053811                    "</f>
        <v xml:space="preserve">4170053811                    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69.69</v>
      </c>
      <c r="AR1263">
        <v>0</v>
      </c>
      <c r="AS1263">
        <v>0</v>
      </c>
      <c r="AT1263">
        <v>0</v>
      </c>
      <c r="AU1263">
        <v>0</v>
      </c>
      <c r="AV1263">
        <v>0</v>
      </c>
      <c r="AW1263">
        <v>0</v>
      </c>
      <c r="AX1263">
        <v>0</v>
      </c>
      <c r="AY1263">
        <v>0</v>
      </c>
      <c r="AZ1263">
        <v>0</v>
      </c>
      <c r="BA1263">
        <v>0</v>
      </c>
      <c r="BB1263">
        <v>0</v>
      </c>
      <c r="BC1263">
        <v>0</v>
      </c>
      <c r="BD1263">
        <v>0</v>
      </c>
      <c r="BE1263">
        <v>0</v>
      </c>
      <c r="BF1263">
        <v>0</v>
      </c>
      <c r="BG1263">
        <v>0</v>
      </c>
      <c r="BH1263">
        <v>2</v>
      </c>
      <c r="BI1263">
        <v>50</v>
      </c>
      <c r="BJ1263">
        <v>43.2</v>
      </c>
      <c r="BK1263">
        <v>50</v>
      </c>
      <c r="BL1263">
        <v>222.28</v>
      </c>
      <c r="BM1263">
        <v>33.340000000000003</v>
      </c>
      <c r="BN1263">
        <v>255.62</v>
      </c>
      <c r="BO1263">
        <v>255.62</v>
      </c>
      <c r="BQ1263" t="s">
        <v>1056</v>
      </c>
      <c r="BR1263" t="s">
        <v>84</v>
      </c>
      <c r="BS1263" s="3">
        <v>45880</v>
      </c>
      <c r="BT1263" s="4">
        <v>0.62777777777777777</v>
      </c>
      <c r="BU1263" t="s">
        <v>951</v>
      </c>
      <c r="BV1263" t="s">
        <v>86</v>
      </c>
      <c r="BY1263">
        <v>215760</v>
      </c>
      <c r="CC1263" t="s">
        <v>326</v>
      </c>
      <c r="CD1263">
        <v>2094</v>
      </c>
      <c r="CE1263" t="s">
        <v>147</v>
      </c>
      <c r="CF1263" s="3">
        <v>45880</v>
      </c>
      <c r="CI1263">
        <v>1</v>
      </c>
      <c r="CJ1263">
        <v>1</v>
      </c>
      <c r="CK1263">
        <v>42</v>
      </c>
      <c r="CL1263" t="s">
        <v>90</v>
      </c>
    </row>
    <row r="1264" spans="1:90" x14ac:dyDescent="0.3">
      <c r="A1264" t="s">
        <v>72</v>
      </c>
      <c r="B1264" t="s">
        <v>73</v>
      </c>
      <c r="C1264" t="s">
        <v>74</v>
      </c>
      <c r="E1264" t="str">
        <f>"080067118357"</f>
        <v>080067118357</v>
      </c>
      <c r="F1264" s="3">
        <v>45877</v>
      </c>
      <c r="G1264">
        <v>202605</v>
      </c>
      <c r="H1264" t="s">
        <v>75</v>
      </c>
      <c r="I1264" t="s">
        <v>76</v>
      </c>
      <c r="J1264" t="s">
        <v>77</v>
      </c>
      <c r="K1264" t="s">
        <v>78</v>
      </c>
      <c r="L1264" t="s">
        <v>156</v>
      </c>
      <c r="M1264" t="s">
        <v>157</v>
      </c>
      <c r="N1264" t="s">
        <v>269</v>
      </c>
      <c r="O1264" t="s">
        <v>82</v>
      </c>
      <c r="P1264" t="str">
        <f>"4170053880                    "</f>
        <v xml:space="preserve">4170053880                    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18.03</v>
      </c>
      <c r="AR1264">
        <v>0</v>
      </c>
      <c r="AS1264">
        <v>0</v>
      </c>
      <c r="AT1264">
        <v>0</v>
      </c>
      <c r="AU1264">
        <v>0</v>
      </c>
      <c r="AV1264">
        <v>0</v>
      </c>
      <c r="AW1264">
        <v>0</v>
      </c>
      <c r="AX1264">
        <v>0</v>
      </c>
      <c r="AY1264">
        <v>0</v>
      </c>
      <c r="AZ1264">
        <v>0</v>
      </c>
      <c r="BA1264">
        <v>0</v>
      </c>
      <c r="BB1264">
        <v>0</v>
      </c>
      <c r="BC1264">
        <v>0</v>
      </c>
      <c r="BD1264">
        <v>0</v>
      </c>
      <c r="BE1264">
        <v>0</v>
      </c>
      <c r="BF1264">
        <v>0</v>
      </c>
      <c r="BG1264">
        <v>0</v>
      </c>
      <c r="BH1264">
        <v>1</v>
      </c>
      <c r="BI1264">
        <v>1</v>
      </c>
      <c r="BJ1264">
        <v>0.2</v>
      </c>
      <c r="BK1264">
        <v>1</v>
      </c>
      <c r="BL1264">
        <v>55.99</v>
      </c>
      <c r="BM1264">
        <v>8.4</v>
      </c>
      <c r="BN1264">
        <v>64.39</v>
      </c>
      <c r="BO1264">
        <v>64.39</v>
      </c>
      <c r="BQ1264" t="s">
        <v>270</v>
      </c>
      <c r="BR1264" t="s">
        <v>84</v>
      </c>
      <c r="BS1264" s="3">
        <v>45880</v>
      </c>
      <c r="BT1264" s="4">
        <v>0.52222222222222225</v>
      </c>
      <c r="BU1264" t="s">
        <v>2021</v>
      </c>
      <c r="BV1264" t="s">
        <v>86</v>
      </c>
      <c r="BY1264">
        <v>1200</v>
      </c>
      <c r="CA1264" t="s">
        <v>990</v>
      </c>
      <c r="CC1264" t="s">
        <v>157</v>
      </c>
      <c r="CD1264">
        <v>1709</v>
      </c>
      <c r="CE1264" t="s">
        <v>109</v>
      </c>
      <c r="CF1264" s="3">
        <v>45880</v>
      </c>
      <c r="CI1264">
        <v>1</v>
      </c>
      <c r="CJ1264">
        <v>1</v>
      </c>
      <c r="CK1264">
        <v>22</v>
      </c>
      <c r="CL1264" t="s">
        <v>90</v>
      </c>
    </row>
    <row r="1265" spans="1:90" x14ac:dyDescent="0.3">
      <c r="A1265" t="s">
        <v>72</v>
      </c>
      <c r="B1265" t="s">
        <v>73</v>
      </c>
      <c r="C1265" t="s">
        <v>74</v>
      </c>
      <c r="E1265" t="str">
        <f>"080067118380"</f>
        <v>080067118380</v>
      </c>
      <c r="F1265" s="3">
        <v>45877</v>
      </c>
      <c r="G1265">
        <v>202605</v>
      </c>
      <c r="H1265" t="s">
        <v>75</v>
      </c>
      <c r="I1265" t="s">
        <v>76</v>
      </c>
      <c r="J1265" t="s">
        <v>77</v>
      </c>
      <c r="K1265" t="s">
        <v>78</v>
      </c>
      <c r="L1265" t="s">
        <v>303</v>
      </c>
      <c r="M1265" t="s">
        <v>304</v>
      </c>
      <c r="N1265" t="s">
        <v>1923</v>
      </c>
      <c r="O1265" t="s">
        <v>82</v>
      </c>
      <c r="P1265" t="str">
        <f>"4170053883                    "</f>
        <v xml:space="preserve">4170053883                    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44.73</v>
      </c>
      <c r="AR1265">
        <v>0</v>
      </c>
      <c r="AS1265">
        <v>0</v>
      </c>
      <c r="AT1265">
        <v>0</v>
      </c>
      <c r="AU1265">
        <v>0</v>
      </c>
      <c r="AV1265">
        <v>0</v>
      </c>
      <c r="AW1265">
        <v>0</v>
      </c>
      <c r="AX1265">
        <v>0</v>
      </c>
      <c r="AY1265">
        <v>0</v>
      </c>
      <c r="AZ1265">
        <v>0</v>
      </c>
      <c r="BA1265">
        <v>0</v>
      </c>
      <c r="BB1265">
        <v>0</v>
      </c>
      <c r="BC1265">
        <v>0</v>
      </c>
      <c r="BD1265">
        <v>0</v>
      </c>
      <c r="BE1265">
        <v>0</v>
      </c>
      <c r="BF1265">
        <v>0</v>
      </c>
      <c r="BG1265">
        <v>0</v>
      </c>
      <c r="BH1265">
        <v>1</v>
      </c>
      <c r="BI1265">
        <v>1</v>
      </c>
      <c r="BJ1265">
        <v>0.2</v>
      </c>
      <c r="BK1265">
        <v>1</v>
      </c>
      <c r="BL1265">
        <v>138.88999999999999</v>
      </c>
      <c r="BM1265">
        <v>20.83</v>
      </c>
      <c r="BN1265">
        <v>159.72</v>
      </c>
      <c r="BO1265">
        <v>159.72</v>
      </c>
      <c r="BQ1265" t="s">
        <v>1924</v>
      </c>
      <c r="BR1265" t="s">
        <v>84</v>
      </c>
      <c r="BS1265" s="3">
        <v>45880</v>
      </c>
      <c r="BT1265" s="4">
        <v>0.44444444444444442</v>
      </c>
      <c r="BU1265" t="s">
        <v>1925</v>
      </c>
      <c r="BV1265" t="s">
        <v>86</v>
      </c>
      <c r="BY1265">
        <v>1200</v>
      </c>
      <c r="CA1265" t="s">
        <v>308</v>
      </c>
      <c r="CC1265" t="s">
        <v>304</v>
      </c>
      <c r="CD1265">
        <v>7130</v>
      </c>
      <c r="CE1265" t="s">
        <v>109</v>
      </c>
      <c r="CF1265" s="3">
        <v>45881</v>
      </c>
      <c r="CI1265">
        <v>1</v>
      </c>
      <c r="CJ1265">
        <v>1</v>
      </c>
      <c r="CK1265">
        <v>23</v>
      </c>
      <c r="CL1265" t="s">
        <v>90</v>
      </c>
    </row>
    <row r="1266" spans="1:90" x14ac:dyDescent="0.3">
      <c r="A1266" t="s">
        <v>72</v>
      </c>
      <c r="B1266" t="s">
        <v>73</v>
      </c>
      <c r="C1266" t="s">
        <v>74</v>
      </c>
      <c r="E1266" t="str">
        <f>"080067118388"</f>
        <v>080067118388</v>
      </c>
      <c r="F1266" s="3">
        <v>45877</v>
      </c>
      <c r="G1266">
        <v>202605</v>
      </c>
      <c r="H1266" t="s">
        <v>75</v>
      </c>
      <c r="I1266" t="s">
        <v>76</v>
      </c>
      <c r="J1266" t="s">
        <v>77</v>
      </c>
      <c r="K1266" t="s">
        <v>78</v>
      </c>
      <c r="L1266" t="s">
        <v>325</v>
      </c>
      <c r="M1266" t="s">
        <v>326</v>
      </c>
      <c r="N1266" t="s">
        <v>1055</v>
      </c>
      <c r="O1266" t="s">
        <v>82</v>
      </c>
      <c r="P1266" t="str">
        <f>"4170053930                    "</f>
        <v xml:space="preserve">4170053930                    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18.03</v>
      </c>
      <c r="AR1266">
        <v>0</v>
      </c>
      <c r="AS1266">
        <v>0</v>
      </c>
      <c r="AT1266">
        <v>0</v>
      </c>
      <c r="AU1266">
        <v>0</v>
      </c>
      <c r="AV1266">
        <v>0</v>
      </c>
      <c r="AW1266">
        <v>0</v>
      </c>
      <c r="AX1266">
        <v>0</v>
      </c>
      <c r="AY1266">
        <v>0</v>
      </c>
      <c r="AZ1266">
        <v>0</v>
      </c>
      <c r="BA1266">
        <v>0</v>
      </c>
      <c r="BB1266">
        <v>0</v>
      </c>
      <c r="BC1266">
        <v>0</v>
      </c>
      <c r="BD1266">
        <v>0</v>
      </c>
      <c r="BE1266">
        <v>0</v>
      </c>
      <c r="BF1266">
        <v>0</v>
      </c>
      <c r="BG1266">
        <v>0</v>
      </c>
      <c r="BH1266">
        <v>1</v>
      </c>
      <c r="BI1266">
        <v>1</v>
      </c>
      <c r="BJ1266">
        <v>1.1000000000000001</v>
      </c>
      <c r="BK1266">
        <v>2</v>
      </c>
      <c r="BL1266">
        <v>55.99</v>
      </c>
      <c r="BM1266">
        <v>8.4</v>
      </c>
      <c r="BN1266">
        <v>64.39</v>
      </c>
      <c r="BO1266">
        <v>64.39</v>
      </c>
      <c r="BQ1266" t="s">
        <v>1056</v>
      </c>
      <c r="BR1266" t="s">
        <v>84</v>
      </c>
      <c r="BS1266" s="3">
        <v>45880</v>
      </c>
      <c r="BT1266" s="4">
        <v>0.37916666666666665</v>
      </c>
      <c r="BU1266" t="s">
        <v>1057</v>
      </c>
      <c r="BV1266" t="s">
        <v>86</v>
      </c>
      <c r="BY1266">
        <v>5320</v>
      </c>
      <c r="CA1266" t="s">
        <v>461</v>
      </c>
      <c r="CC1266" t="s">
        <v>326</v>
      </c>
      <c r="CD1266">
        <v>2094</v>
      </c>
      <c r="CE1266" t="s">
        <v>147</v>
      </c>
      <c r="CF1266" s="3">
        <v>45880</v>
      </c>
      <c r="CI1266">
        <v>1</v>
      </c>
      <c r="CJ1266">
        <v>1</v>
      </c>
      <c r="CK1266">
        <v>22</v>
      </c>
      <c r="CL1266" t="s">
        <v>90</v>
      </c>
    </row>
    <row r="1267" spans="1:90" x14ac:dyDescent="0.3">
      <c r="A1267" t="s">
        <v>72</v>
      </c>
      <c r="B1267" t="s">
        <v>73</v>
      </c>
      <c r="C1267" t="s">
        <v>74</v>
      </c>
      <c r="E1267" t="str">
        <f>"080067118411"</f>
        <v>080067118411</v>
      </c>
      <c r="F1267" s="3">
        <v>45877</v>
      </c>
      <c r="G1267">
        <v>202605</v>
      </c>
      <c r="H1267" t="s">
        <v>75</v>
      </c>
      <c r="I1267" t="s">
        <v>76</v>
      </c>
      <c r="J1267" t="s">
        <v>77</v>
      </c>
      <c r="K1267" t="s">
        <v>78</v>
      </c>
      <c r="L1267" t="s">
        <v>198</v>
      </c>
      <c r="M1267" t="s">
        <v>199</v>
      </c>
      <c r="N1267" t="s">
        <v>469</v>
      </c>
      <c r="O1267" t="s">
        <v>82</v>
      </c>
      <c r="P1267" t="str">
        <f>"4170053909                    "</f>
        <v xml:space="preserve">4170053909                    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>
        <v>23.09</v>
      </c>
      <c r="AR1267">
        <v>0</v>
      </c>
      <c r="AS1267">
        <v>0</v>
      </c>
      <c r="AT1267">
        <v>0</v>
      </c>
      <c r="AU1267">
        <v>0</v>
      </c>
      <c r="AV1267">
        <v>0</v>
      </c>
      <c r="AW1267">
        <v>0</v>
      </c>
      <c r="AX1267">
        <v>0</v>
      </c>
      <c r="AY1267">
        <v>0</v>
      </c>
      <c r="AZ1267">
        <v>0</v>
      </c>
      <c r="BA1267">
        <v>0</v>
      </c>
      <c r="BB1267">
        <v>0</v>
      </c>
      <c r="BC1267">
        <v>0</v>
      </c>
      <c r="BD1267">
        <v>0</v>
      </c>
      <c r="BE1267">
        <v>0</v>
      </c>
      <c r="BF1267">
        <v>0</v>
      </c>
      <c r="BG1267">
        <v>0</v>
      </c>
      <c r="BH1267">
        <v>1</v>
      </c>
      <c r="BI1267">
        <v>1</v>
      </c>
      <c r="BJ1267">
        <v>0.2</v>
      </c>
      <c r="BK1267">
        <v>1</v>
      </c>
      <c r="BL1267">
        <v>71.69</v>
      </c>
      <c r="BM1267">
        <v>10.75</v>
      </c>
      <c r="BN1267">
        <v>82.44</v>
      </c>
      <c r="BO1267">
        <v>82.44</v>
      </c>
      <c r="BQ1267" t="s">
        <v>470</v>
      </c>
      <c r="BR1267" t="s">
        <v>84</v>
      </c>
      <c r="BS1267" s="3">
        <v>45880</v>
      </c>
      <c r="BT1267" s="4">
        <v>0.37777777777777777</v>
      </c>
      <c r="BU1267" t="s">
        <v>780</v>
      </c>
      <c r="BV1267" t="s">
        <v>86</v>
      </c>
      <c r="BY1267">
        <v>1200</v>
      </c>
      <c r="CA1267" t="s">
        <v>1570</v>
      </c>
      <c r="CC1267" t="s">
        <v>199</v>
      </c>
      <c r="CD1267">
        <v>6001</v>
      </c>
      <c r="CE1267" t="s">
        <v>109</v>
      </c>
      <c r="CF1267" s="3">
        <v>45880</v>
      </c>
      <c r="CI1267">
        <v>1</v>
      </c>
      <c r="CJ1267">
        <v>1</v>
      </c>
      <c r="CK1267">
        <v>21</v>
      </c>
      <c r="CL1267" t="s">
        <v>90</v>
      </c>
    </row>
    <row r="1268" spans="1:90" x14ac:dyDescent="0.3">
      <c r="A1268" t="s">
        <v>72</v>
      </c>
      <c r="B1268" t="s">
        <v>73</v>
      </c>
      <c r="C1268" t="s">
        <v>74</v>
      </c>
      <c r="E1268" t="str">
        <f>"080067118438"</f>
        <v>080067118438</v>
      </c>
      <c r="F1268" s="3">
        <v>45877</v>
      </c>
      <c r="G1268">
        <v>202605</v>
      </c>
      <c r="H1268" t="s">
        <v>75</v>
      </c>
      <c r="I1268" t="s">
        <v>76</v>
      </c>
      <c r="J1268" t="s">
        <v>77</v>
      </c>
      <c r="K1268" t="s">
        <v>78</v>
      </c>
      <c r="L1268" t="s">
        <v>325</v>
      </c>
      <c r="M1268" t="s">
        <v>326</v>
      </c>
      <c r="N1268" t="s">
        <v>458</v>
      </c>
      <c r="O1268" t="s">
        <v>82</v>
      </c>
      <c r="P1268" t="str">
        <f>"4170053869                    "</f>
        <v xml:space="preserve">4170053869                    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18.03</v>
      </c>
      <c r="AR1268">
        <v>0</v>
      </c>
      <c r="AS1268">
        <v>0</v>
      </c>
      <c r="AT1268">
        <v>0</v>
      </c>
      <c r="AU1268">
        <v>0</v>
      </c>
      <c r="AV1268">
        <v>0</v>
      </c>
      <c r="AW1268">
        <v>0</v>
      </c>
      <c r="AX1268">
        <v>0</v>
      </c>
      <c r="AY1268">
        <v>0</v>
      </c>
      <c r="AZ1268">
        <v>0</v>
      </c>
      <c r="BA1268">
        <v>0</v>
      </c>
      <c r="BB1268">
        <v>0</v>
      </c>
      <c r="BC1268">
        <v>0</v>
      </c>
      <c r="BD1268">
        <v>0</v>
      </c>
      <c r="BE1268">
        <v>0</v>
      </c>
      <c r="BF1268">
        <v>0</v>
      </c>
      <c r="BG1268">
        <v>0</v>
      </c>
      <c r="BH1268">
        <v>1</v>
      </c>
      <c r="BI1268">
        <v>1</v>
      </c>
      <c r="BJ1268">
        <v>0.6</v>
      </c>
      <c r="BK1268">
        <v>1</v>
      </c>
      <c r="BL1268">
        <v>55.99</v>
      </c>
      <c r="BM1268">
        <v>8.4</v>
      </c>
      <c r="BN1268">
        <v>64.39</v>
      </c>
      <c r="BO1268">
        <v>64.39</v>
      </c>
      <c r="BQ1268" t="s">
        <v>459</v>
      </c>
      <c r="BR1268" t="s">
        <v>84</v>
      </c>
      <c r="BS1268" s="3">
        <v>45880</v>
      </c>
      <c r="BT1268" s="4">
        <v>0.42777777777777776</v>
      </c>
      <c r="BU1268" t="s">
        <v>460</v>
      </c>
      <c r="BV1268" t="s">
        <v>86</v>
      </c>
      <c r="BY1268">
        <v>3192</v>
      </c>
      <c r="CA1268" t="s">
        <v>461</v>
      </c>
      <c r="CC1268" t="s">
        <v>326</v>
      </c>
      <c r="CD1268">
        <v>2197</v>
      </c>
      <c r="CE1268" t="s">
        <v>147</v>
      </c>
      <c r="CF1268" s="3">
        <v>45880</v>
      </c>
      <c r="CI1268">
        <v>1</v>
      </c>
      <c r="CJ1268">
        <v>1</v>
      </c>
      <c r="CK1268">
        <v>22</v>
      </c>
      <c r="CL1268" t="s">
        <v>90</v>
      </c>
    </row>
    <row r="1269" spans="1:90" x14ac:dyDescent="0.3">
      <c r="A1269" t="s">
        <v>72</v>
      </c>
      <c r="B1269" t="s">
        <v>73</v>
      </c>
      <c r="C1269" t="s">
        <v>74</v>
      </c>
      <c r="E1269" t="str">
        <f>"080067118451"</f>
        <v>080067118451</v>
      </c>
      <c r="F1269" s="3">
        <v>45877</v>
      </c>
      <c r="G1269">
        <v>202605</v>
      </c>
      <c r="H1269" t="s">
        <v>75</v>
      </c>
      <c r="I1269" t="s">
        <v>76</v>
      </c>
      <c r="J1269" t="s">
        <v>77</v>
      </c>
      <c r="K1269" t="s">
        <v>78</v>
      </c>
      <c r="L1269" t="s">
        <v>179</v>
      </c>
      <c r="M1269" t="s">
        <v>180</v>
      </c>
      <c r="N1269" t="s">
        <v>275</v>
      </c>
      <c r="O1269" t="s">
        <v>82</v>
      </c>
      <c r="P1269" t="str">
        <f>"4170053921                    "</f>
        <v xml:space="preserve">4170053921                    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>
        <v>32.47</v>
      </c>
      <c r="AR1269">
        <v>0</v>
      </c>
      <c r="AS1269">
        <v>0</v>
      </c>
      <c r="AT1269">
        <v>0</v>
      </c>
      <c r="AU1269">
        <v>0</v>
      </c>
      <c r="AV1269">
        <v>0</v>
      </c>
      <c r="AW1269">
        <v>0</v>
      </c>
      <c r="AX1269">
        <v>0</v>
      </c>
      <c r="AY1269">
        <v>0</v>
      </c>
      <c r="AZ1269">
        <v>0</v>
      </c>
      <c r="BA1269">
        <v>0</v>
      </c>
      <c r="BB1269">
        <v>0</v>
      </c>
      <c r="BC1269">
        <v>0</v>
      </c>
      <c r="BD1269">
        <v>0</v>
      </c>
      <c r="BE1269">
        <v>0</v>
      </c>
      <c r="BF1269">
        <v>0</v>
      </c>
      <c r="BG1269">
        <v>0</v>
      </c>
      <c r="BH1269">
        <v>1</v>
      </c>
      <c r="BI1269">
        <v>1</v>
      </c>
      <c r="BJ1269">
        <v>0.2</v>
      </c>
      <c r="BK1269">
        <v>1</v>
      </c>
      <c r="BL1269">
        <v>100.82</v>
      </c>
      <c r="BM1269">
        <v>15.12</v>
      </c>
      <c r="BN1269">
        <v>115.94</v>
      </c>
      <c r="BO1269">
        <v>115.94</v>
      </c>
      <c r="BQ1269" t="s">
        <v>276</v>
      </c>
      <c r="BR1269" t="s">
        <v>84</v>
      </c>
      <c r="BS1269" s="3">
        <v>45880</v>
      </c>
      <c r="BT1269" s="4">
        <v>0.41944444444444445</v>
      </c>
      <c r="BU1269" t="s">
        <v>1658</v>
      </c>
      <c r="BV1269" t="s">
        <v>86</v>
      </c>
      <c r="BY1269">
        <v>1200</v>
      </c>
      <c r="CA1269" t="s">
        <v>184</v>
      </c>
      <c r="CC1269" t="s">
        <v>180</v>
      </c>
      <c r="CD1269">
        <v>1748</v>
      </c>
      <c r="CE1269" t="s">
        <v>109</v>
      </c>
      <c r="CF1269" s="3">
        <v>45881</v>
      </c>
      <c r="CI1269">
        <v>1</v>
      </c>
      <c r="CJ1269">
        <v>1</v>
      </c>
      <c r="CK1269">
        <v>24</v>
      </c>
      <c r="CL1269" t="s">
        <v>90</v>
      </c>
    </row>
    <row r="1270" spans="1:90" x14ac:dyDescent="0.3">
      <c r="A1270" t="s">
        <v>72</v>
      </c>
      <c r="B1270" t="s">
        <v>73</v>
      </c>
      <c r="C1270" t="s">
        <v>74</v>
      </c>
      <c r="E1270" t="str">
        <f>"080067118463"</f>
        <v>080067118463</v>
      </c>
      <c r="F1270" s="3">
        <v>45877</v>
      </c>
      <c r="G1270">
        <v>202605</v>
      </c>
      <c r="H1270" t="s">
        <v>75</v>
      </c>
      <c r="I1270" t="s">
        <v>76</v>
      </c>
      <c r="J1270" t="s">
        <v>77</v>
      </c>
      <c r="K1270" t="s">
        <v>78</v>
      </c>
      <c r="L1270" t="s">
        <v>198</v>
      </c>
      <c r="M1270" t="s">
        <v>199</v>
      </c>
      <c r="N1270" t="s">
        <v>598</v>
      </c>
      <c r="O1270" t="s">
        <v>82</v>
      </c>
      <c r="P1270" t="str">
        <f>"4170053899                    "</f>
        <v xml:space="preserve">4170053899                    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23.09</v>
      </c>
      <c r="AR1270">
        <v>0</v>
      </c>
      <c r="AS1270">
        <v>0</v>
      </c>
      <c r="AT1270">
        <v>0</v>
      </c>
      <c r="AU1270">
        <v>0</v>
      </c>
      <c r="AV1270">
        <v>0</v>
      </c>
      <c r="AW1270">
        <v>0</v>
      </c>
      <c r="AX1270">
        <v>0</v>
      </c>
      <c r="AY1270">
        <v>0</v>
      </c>
      <c r="AZ1270">
        <v>0</v>
      </c>
      <c r="BA1270">
        <v>0</v>
      </c>
      <c r="BB1270">
        <v>0</v>
      </c>
      <c r="BC1270">
        <v>0</v>
      </c>
      <c r="BD1270">
        <v>0</v>
      </c>
      <c r="BE1270">
        <v>0</v>
      </c>
      <c r="BF1270">
        <v>0</v>
      </c>
      <c r="BG1270">
        <v>0</v>
      </c>
      <c r="BH1270">
        <v>1</v>
      </c>
      <c r="BI1270">
        <v>2</v>
      </c>
      <c r="BJ1270">
        <v>1.1000000000000001</v>
      </c>
      <c r="BK1270">
        <v>2</v>
      </c>
      <c r="BL1270">
        <v>71.69</v>
      </c>
      <c r="BM1270">
        <v>10.75</v>
      </c>
      <c r="BN1270">
        <v>82.44</v>
      </c>
      <c r="BO1270">
        <v>82.44</v>
      </c>
      <c r="BQ1270" t="s">
        <v>599</v>
      </c>
      <c r="BR1270" t="s">
        <v>84</v>
      </c>
      <c r="BS1270" s="3">
        <v>45880</v>
      </c>
      <c r="BT1270" s="4">
        <v>0.3923611111111111</v>
      </c>
      <c r="BU1270" t="s">
        <v>1871</v>
      </c>
      <c r="BV1270" t="s">
        <v>86</v>
      </c>
      <c r="BY1270">
        <v>5320</v>
      </c>
      <c r="CA1270" t="s">
        <v>601</v>
      </c>
      <c r="CC1270" t="s">
        <v>199</v>
      </c>
      <c r="CD1270">
        <v>6001</v>
      </c>
      <c r="CE1270" t="s">
        <v>147</v>
      </c>
      <c r="CF1270" s="3">
        <v>45880</v>
      </c>
      <c r="CI1270">
        <v>1</v>
      </c>
      <c r="CJ1270">
        <v>1</v>
      </c>
      <c r="CK1270">
        <v>21</v>
      </c>
      <c r="CL1270" t="s">
        <v>90</v>
      </c>
    </row>
    <row r="1271" spans="1:90" x14ac:dyDescent="0.3">
      <c r="A1271" t="s">
        <v>72</v>
      </c>
      <c r="B1271" t="s">
        <v>73</v>
      </c>
      <c r="C1271" t="s">
        <v>74</v>
      </c>
      <c r="E1271" t="str">
        <f>"080067118494"</f>
        <v>080067118494</v>
      </c>
      <c r="F1271" s="3">
        <v>45877</v>
      </c>
      <c r="G1271">
        <v>202605</v>
      </c>
      <c r="H1271" t="s">
        <v>75</v>
      </c>
      <c r="I1271" t="s">
        <v>76</v>
      </c>
      <c r="J1271" t="s">
        <v>77</v>
      </c>
      <c r="K1271" t="s">
        <v>78</v>
      </c>
      <c r="L1271" t="s">
        <v>110</v>
      </c>
      <c r="M1271" t="s">
        <v>111</v>
      </c>
      <c r="N1271" t="s">
        <v>2022</v>
      </c>
      <c r="O1271" t="s">
        <v>82</v>
      </c>
      <c r="P1271" t="str">
        <f>"4170053923                    "</f>
        <v xml:space="preserve">4170053923                    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>
        <v>18.03</v>
      </c>
      <c r="AR1271">
        <v>0</v>
      </c>
      <c r="AS1271">
        <v>0</v>
      </c>
      <c r="AT1271">
        <v>0</v>
      </c>
      <c r="AU1271">
        <v>0</v>
      </c>
      <c r="AV1271">
        <v>0</v>
      </c>
      <c r="AW1271">
        <v>0</v>
      </c>
      <c r="AX1271">
        <v>0</v>
      </c>
      <c r="AY1271">
        <v>0</v>
      </c>
      <c r="AZ1271">
        <v>0</v>
      </c>
      <c r="BA1271">
        <v>0</v>
      </c>
      <c r="BB1271">
        <v>0</v>
      </c>
      <c r="BC1271">
        <v>0</v>
      </c>
      <c r="BD1271">
        <v>0</v>
      </c>
      <c r="BE1271">
        <v>0</v>
      </c>
      <c r="BF1271">
        <v>0</v>
      </c>
      <c r="BG1271">
        <v>0</v>
      </c>
      <c r="BH1271">
        <v>1</v>
      </c>
      <c r="BI1271">
        <v>1</v>
      </c>
      <c r="BJ1271">
        <v>0.2</v>
      </c>
      <c r="BK1271">
        <v>1</v>
      </c>
      <c r="BL1271">
        <v>55.99</v>
      </c>
      <c r="BM1271">
        <v>8.4</v>
      </c>
      <c r="BN1271">
        <v>64.39</v>
      </c>
      <c r="BO1271">
        <v>64.39</v>
      </c>
      <c r="BQ1271" t="s">
        <v>2023</v>
      </c>
      <c r="BR1271" t="s">
        <v>84</v>
      </c>
      <c r="BS1271" s="3">
        <v>45881</v>
      </c>
      <c r="BT1271" s="4">
        <v>0.43819444444444444</v>
      </c>
      <c r="BU1271" t="s">
        <v>2024</v>
      </c>
      <c r="BV1271" t="s">
        <v>90</v>
      </c>
      <c r="BW1271" t="s">
        <v>380</v>
      </c>
      <c r="BX1271" t="s">
        <v>1132</v>
      </c>
      <c r="BY1271">
        <v>1200</v>
      </c>
      <c r="CA1271" t="s">
        <v>116</v>
      </c>
      <c r="CC1271" t="s">
        <v>111</v>
      </c>
      <c r="CD1271">
        <v>2163</v>
      </c>
      <c r="CE1271" t="s">
        <v>109</v>
      </c>
      <c r="CF1271" s="3">
        <v>45882</v>
      </c>
      <c r="CI1271">
        <v>1</v>
      </c>
      <c r="CJ1271">
        <v>2</v>
      </c>
      <c r="CK1271">
        <v>22</v>
      </c>
      <c r="CL1271" t="s">
        <v>90</v>
      </c>
    </row>
    <row r="1272" spans="1:90" x14ac:dyDescent="0.3">
      <c r="A1272" t="s">
        <v>72</v>
      </c>
      <c r="B1272" t="s">
        <v>73</v>
      </c>
      <c r="C1272" t="s">
        <v>74</v>
      </c>
      <c r="E1272" t="str">
        <f>"080067118502"</f>
        <v>080067118502</v>
      </c>
      <c r="F1272" s="3">
        <v>45877</v>
      </c>
      <c r="G1272">
        <v>202605</v>
      </c>
      <c r="H1272" t="s">
        <v>75</v>
      </c>
      <c r="I1272" t="s">
        <v>76</v>
      </c>
      <c r="J1272" t="s">
        <v>77</v>
      </c>
      <c r="K1272" t="s">
        <v>78</v>
      </c>
      <c r="L1272" t="s">
        <v>217</v>
      </c>
      <c r="M1272" t="s">
        <v>218</v>
      </c>
      <c r="N1272" t="s">
        <v>219</v>
      </c>
      <c r="O1272" t="s">
        <v>82</v>
      </c>
      <c r="P1272" t="str">
        <f>"4170053917                    "</f>
        <v xml:space="preserve">4170053917                    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>
        <v>80.75</v>
      </c>
      <c r="AR1272">
        <v>0</v>
      </c>
      <c r="AS1272">
        <v>0</v>
      </c>
      <c r="AT1272">
        <v>0</v>
      </c>
      <c r="AU1272">
        <v>0</v>
      </c>
      <c r="AV1272">
        <v>0</v>
      </c>
      <c r="AW1272">
        <v>0</v>
      </c>
      <c r="AX1272">
        <v>0</v>
      </c>
      <c r="AY1272">
        <v>0</v>
      </c>
      <c r="AZ1272">
        <v>0</v>
      </c>
      <c r="BA1272">
        <v>0</v>
      </c>
      <c r="BB1272">
        <v>0</v>
      </c>
      <c r="BC1272">
        <v>0</v>
      </c>
      <c r="BD1272">
        <v>0</v>
      </c>
      <c r="BE1272">
        <v>0</v>
      </c>
      <c r="BF1272">
        <v>0</v>
      </c>
      <c r="BG1272">
        <v>0</v>
      </c>
      <c r="BH1272">
        <v>1</v>
      </c>
      <c r="BI1272">
        <v>7</v>
      </c>
      <c r="BJ1272">
        <v>1.8</v>
      </c>
      <c r="BK1272">
        <v>7</v>
      </c>
      <c r="BL1272">
        <v>250.75</v>
      </c>
      <c r="BM1272">
        <v>37.61</v>
      </c>
      <c r="BN1272">
        <v>288.36</v>
      </c>
      <c r="BO1272">
        <v>288.36</v>
      </c>
      <c r="BQ1272" t="s">
        <v>220</v>
      </c>
      <c r="BR1272" t="s">
        <v>84</v>
      </c>
      <c r="BS1272" s="3">
        <v>45880</v>
      </c>
      <c r="BT1272" s="4">
        <v>0.33750000000000002</v>
      </c>
      <c r="BU1272" t="s">
        <v>221</v>
      </c>
      <c r="BV1272" t="s">
        <v>86</v>
      </c>
      <c r="BY1272">
        <v>8960</v>
      </c>
      <c r="CA1272" t="s">
        <v>566</v>
      </c>
      <c r="CC1272" t="s">
        <v>218</v>
      </c>
      <c r="CD1272">
        <v>4051</v>
      </c>
      <c r="CE1272" t="s">
        <v>147</v>
      </c>
      <c r="CF1272" s="3">
        <v>45881</v>
      </c>
      <c r="CI1272">
        <v>1</v>
      </c>
      <c r="CJ1272">
        <v>1</v>
      </c>
      <c r="CK1272">
        <v>21</v>
      </c>
      <c r="CL1272" t="s">
        <v>90</v>
      </c>
    </row>
    <row r="1273" spans="1:90" x14ac:dyDescent="0.3">
      <c r="A1273" t="s">
        <v>72</v>
      </c>
      <c r="B1273" t="s">
        <v>73</v>
      </c>
      <c r="C1273" t="s">
        <v>74</v>
      </c>
      <c r="E1273" t="str">
        <f>"080067118543"</f>
        <v>080067118543</v>
      </c>
      <c r="F1273" s="3">
        <v>45877</v>
      </c>
      <c r="G1273">
        <v>202605</v>
      </c>
      <c r="H1273" t="s">
        <v>75</v>
      </c>
      <c r="I1273" t="s">
        <v>76</v>
      </c>
      <c r="J1273" t="s">
        <v>77</v>
      </c>
      <c r="K1273" t="s">
        <v>78</v>
      </c>
      <c r="L1273" t="s">
        <v>278</v>
      </c>
      <c r="M1273" t="s">
        <v>279</v>
      </c>
      <c r="N1273" t="s">
        <v>2025</v>
      </c>
      <c r="O1273" t="s">
        <v>82</v>
      </c>
      <c r="P1273" t="str">
        <f>"4170053898                    "</f>
        <v xml:space="preserve">4170053898                    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Q1273">
        <v>23.09</v>
      </c>
      <c r="AR1273">
        <v>0</v>
      </c>
      <c r="AS1273">
        <v>0</v>
      </c>
      <c r="AT1273">
        <v>0</v>
      </c>
      <c r="AU1273">
        <v>0</v>
      </c>
      <c r="AV1273">
        <v>0</v>
      </c>
      <c r="AW1273">
        <v>0</v>
      </c>
      <c r="AX1273">
        <v>0</v>
      </c>
      <c r="AY1273">
        <v>0</v>
      </c>
      <c r="AZ1273">
        <v>0</v>
      </c>
      <c r="BA1273">
        <v>0</v>
      </c>
      <c r="BB1273">
        <v>0</v>
      </c>
      <c r="BC1273">
        <v>0</v>
      </c>
      <c r="BD1273">
        <v>0</v>
      </c>
      <c r="BE1273">
        <v>0</v>
      </c>
      <c r="BF1273">
        <v>0</v>
      </c>
      <c r="BG1273">
        <v>0</v>
      </c>
      <c r="BH1273">
        <v>1</v>
      </c>
      <c r="BI1273">
        <v>1.8</v>
      </c>
      <c r="BJ1273">
        <v>1</v>
      </c>
      <c r="BK1273">
        <v>2</v>
      </c>
      <c r="BL1273">
        <v>71.69</v>
      </c>
      <c r="BM1273">
        <v>10.75</v>
      </c>
      <c r="BN1273">
        <v>82.44</v>
      </c>
      <c r="BO1273">
        <v>82.44</v>
      </c>
      <c r="BQ1273" t="s">
        <v>2026</v>
      </c>
      <c r="BR1273" t="s">
        <v>84</v>
      </c>
      <c r="BS1273" s="3">
        <v>45880</v>
      </c>
      <c r="BT1273" s="4">
        <v>0.35</v>
      </c>
      <c r="BU1273" t="s">
        <v>2027</v>
      </c>
      <c r="BV1273" t="s">
        <v>86</v>
      </c>
      <c r="BY1273">
        <v>5001.92</v>
      </c>
      <c r="CA1273" t="s">
        <v>1987</v>
      </c>
      <c r="CC1273" t="s">
        <v>279</v>
      </c>
      <c r="CD1273" s="5" t="s">
        <v>533</v>
      </c>
      <c r="CE1273" t="s">
        <v>147</v>
      </c>
      <c r="CF1273" s="3">
        <v>45880</v>
      </c>
      <c r="CI1273">
        <v>1</v>
      </c>
      <c r="CJ1273">
        <v>1</v>
      </c>
      <c r="CK1273">
        <v>21</v>
      </c>
      <c r="CL1273" t="s">
        <v>90</v>
      </c>
    </row>
    <row r="1274" spans="1:90" x14ac:dyDescent="0.3">
      <c r="A1274" t="s">
        <v>72</v>
      </c>
      <c r="B1274" t="s">
        <v>73</v>
      </c>
      <c r="C1274" t="s">
        <v>74</v>
      </c>
      <c r="E1274" t="str">
        <f>"080067118585"</f>
        <v>080067118585</v>
      </c>
      <c r="F1274" s="3">
        <v>45877</v>
      </c>
      <c r="G1274">
        <v>202605</v>
      </c>
      <c r="H1274" t="s">
        <v>75</v>
      </c>
      <c r="I1274" t="s">
        <v>76</v>
      </c>
      <c r="J1274" t="s">
        <v>77</v>
      </c>
      <c r="K1274" t="s">
        <v>78</v>
      </c>
      <c r="L1274" t="s">
        <v>123</v>
      </c>
      <c r="M1274" t="s">
        <v>124</v>
      </c>
      <c r="N1274" t="s">
        <v>406</v>
      </c>
      <c r="O1274" t="s">
        <v>82</v>
      </c>
      <c r="P1274" t="str">
        <f>"4170053782                    "</f>
        <v xml:space="preserve">4170053782                    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>
        <v>23.09</v>
      </c>
      <c r="AR1274">
        <v>0</v>
      </c>
      <c r="AS1274">
        <v>0</v>
      </c>
      <c r="AT1274">
        <v>0</v>
      </c>
      <c r="AU1274">
        <v>0</v>
      </c>
      <c r="AV1274">
        <v>0</v>
      </c>
      <c r="AW1274">
        <v>0</v>
      </c>
      <c r="AX1274">
        <v>0</v>
      </c>
      <c r="AY1274">
        <v>0</v>
      </c>
      <c r="AZ1274">
        <v>0</v>
      </c>
      <c r="BA1274">
        <v>0</v>
      </c>
      <c r="BB1274">
        <v>0</v>
      </c>
      <c r="BC1274">
        <v>0</v>
      </c>
      <c r="BD1274">
        <v>0</v>
      </c>
      <c r="BE1274">
        <v>0</v>
      </c>
      <c r="BF1274">
        <v>0</v>
      </c>
      <c r="BG1274">
        <v>0</v>
      </c>
      <c r="BH1274">
        <v>1</v>
      </c>
      <c r="BI1274">
        <v>2</v>
      </c>
      <c r="BJ1274">
        <v>1.7</v>
      </c>
      <c r="BK1274">
        <v>2</v>
      </c>
      <c r="BL1274">
        <v>71.69</v>
      </c>
      <c r="BM1274">
        <v>10.75</v>
      </c>
      <c r="BN1274">
        <v>82.44</v>
      </c>
      <c r="BO1274">
        <v>82.44</v>
      </c>
      <c r="BQ1274" t="s">
        <v>407</v>
      </c>
      <c r="BR1274" t="s">
        <v>84</v>
      </c>
      <c r="BS1274" s="3">
        <v>45880</v>
      </c>
      <c r="BT1274" s="4">
        <v>0.40763888888888888</v>
      </c>
      <c r="BU1274" t="s">
        <v>408</v>
      </c>
      <c r="BV1274" t="s">
        <v>86</v>
      </c>
      <c r="BY1274">
        <v>8550</v>
      </c>
      <c r="CA1274" t="s">
        <v>192</v>
      </c>
      <c r="CC1274" t="s">
        <v>124</v>
      </c>
      <c r="CD1274">
        <v>7441</v>
      </c>
      <c r="CE1274" t="s">
        <v>147</v>
      </c>
      <c r="CF1274" s="3">
        <v>45881</v>
      </c>
      <c r="CI1274">
        <v>1</v>
      </c>
      <c r="CJ1274">
        <v>1</v>
      </c>
      <c r="CK1274">
        <v>21</v>
      </c>
      <c r="CL1274" t="s">
        <v>90</v>
      </c>
    </row>
    <row r="1275" spans="1:90" x14ac:dyDescent="0.3">
      <c r="A1275" t="s">
        <v>72</v>
      </c>
      <c r="B1275" t="s">
        <v>73</v>
      </c>
      <c r="C1275" t="s">
        <v>74</v>
      </c>
      <c r="E1275" t="str">
        <f>"080067118618"</f>
        <v>080067118618</v>
      </c>
      <c r="F1275" s="3">
        <v>45877</v>
      </c>
      <c r="G1275">
        <v>202605</v>
      </c>
      <c r="H1275" t="s">
        <v>75</v>
      </c>
      <c r="I1275" t="s">
        <v>76</v>
      </c>
      <c r="J1275" t="s">
        <v>77</v>
      </c>
      <c r="K1275" t="s">
        <v>78</v>
      </c>
      <c r="L1275" t="s">
        <v>217</v>
      </c>
      <c r="M1275" t="s">
        <v>218</v>
      </c>
      <c r="N1275" t="s">
        <v>490</v>
      </c>
      <c r="O1275" t="s">
        <v>82</v>
      </c>
      <c r="P1275" t="str">
        <f>"4170053881                    "</f>
        <v xml:space="preserve">4170053881                    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115.35</v>
      </c>
      <c r="AR1275">
        <v>0</v>
      </c>
      <c r="AS1275">
        <v>0</v>
      </c>
      <c r="AT1275">
        <v>0</v>
      </c>
      <c r="AU1275">
        <v>0</v>
      </c>
      <c r="AV1275">
        <v>0</v>
      </c>
      <c r="AW1275">
        <v>0</v>
      </c>
      <c r="AX1275">
        <v>0</v>
      </c>
      <c r="AY1275">
        <v>0</v>
      </c>
      <c r="AZ1275">
        <v>0</v>
      </c>
      <c r="BA1275">
        <v>0</v>
      </c>
      <c r="BB1275">
        <v>0</v>
      </c>
      <c r="BC1275">
        <v>0</v>
      </c>
      <c r="BD1275">
        <v>0</v>
      </c>
      <c r="BE1275">
        <v>0</v>
      </c>
      <c r="BF1275">
        <v>0</v>
      </c>
      <c r="BG1275">
        <v>0</v>
      </c>
      <c r="BH1275">
        <v>1</v>
      </c>
      <c r="BI1275">
        <v>10</v>
      </c>
      <c r="BJ1275">
        <v>3.4</v>
      </c>
      <c r="BK1275">
        <v>10</v>
      </c>
      <c r="BL1275">
        <v>358.19</v>
      </c>
      <c r="BM1275">
        <v>53.73</v>
      </c>
      <c r="BN1275">
        <v>411.92</v>
      </c>
      <c r="BO1275">
        <v>411.92</v>
      </c>
      <c r="BQ1275" t="s">
        <v>491</v>
      </c>
      <c r="BR1275" t="s">
        <v>84</v>
      </c>
      <c r="BS1275" s="3">
        <v>45880</v>
      </c>
      <c r="BT1275" s="4">
        <v>0.46736111111111112</v>
      </c>
      <c r="BU1275" t="s">
        <v>2028</v>
      </c>
      <c r="BV1275" t="s">
        <v>86</v>
      </c>
      <c r="BY1275">
        <v>16965</v>
      </c>
      <c r="CA1275" t="s">
        <v>136</v>
      </c>
      <c r="CC1275" t="s">
        <v>218</v>
      </c>
      <c r="CD1275">
        <v>4052</v>
      </c>
      <c r="CE1275" t="s">
        <v>147</v>
      </c>
      <c r="CF1275" s="3">
        <v>45881</v>
      </c>
      <c r="CI1275">
        <v>1</v>
      </c>
      <c r="CJ1275">
        <v>1</v>
      </c>
      <c r="CK1275">
        <v>21</v>
      </c>
      <c r="CL1275" t="s">
        <v>90</v>
      </c>
    </row>
    <row r="1276" spans="1:90" x14ac:dyDescent="0.3">
      <c r="A1276" t="s">
        <v>72</v>
      </c>
      <c r="B1276" t="s">
        <v>73</v>
      </c>
      <c r="C1276" t="s">
        <v>74</v>
      </c>
      <c r="E1276" t="str">
        <f>"009944473734"</f>
        <v>009944473734</v>
      </c>
      <c r="F1276" s="3">
        <v>45877</v>
      </c>
      <c r="G1276">
        <v>202605</v>
      </c>
      <c r="H1276" t="s">
        <v>123</v>
      </c>
      <c r="I1276" t="s">
        <v>124</v>
      </c>
      <c r="J1276" t="s">
        <v>2029</v>
      </c>
      <c r="K1276" t="s">
        <v>78</v>
      </c>
      <c r="L1276" t="s">
        <v>75</v>
      </c>
      <c r="M1276" t="s">
        <v>76</v>
      </c>
      <c r="N1276" t="s">
        <v>94</v>
      </c>
      <c r="O1276" t="s">
        <v>95</v>
      </c>
      <c r="P1276" t="str">
        <f>"NA                            "</f>
        <v xml:space="preserve">NA                            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Q1276">
        <v>44.64</v>
      </c>
      <c r="AR1276">
        <v>0</v>
      </c>
      <c r="AS1276">
        <v>0</v>
      </c>
      <c r="AT1276">
        <v>0</v>
      </c>
      <c r="AU1276">
        <v>0</v>
      </c>
      <c r="AV1276">
        <v>0</v>
      </c>
      <c r="AW1276">
        <v>0</v>
      </c>
      <c r="AX1276">
        <v>0</v>
      </c>
      <c r="AY1276">
        <v>0</v>
      </c>
      <c r="AZ1276">
        <v>0</v>
      </c>
      <c r="BA1276">
        <v>0</v>
      </c>
      <c r="BB1276">
        <v>0</v>
      </c>
      <c r="BC1276">
        <v>0</v>
      </c>
      <c r="BD1276">
        <v>0</v>
      </c>
      <c r="BE1276">
        <v>0</v>
      </c>
      <c r="BF1276">
        <v>0</v>
      </c>
      <c r="BG1276">
        <v>0</v>
      </c>
      <c r="BH1276">
        <v>1</v>
      </c>
      <c r="BI1276">
        <v>2</v>
      </c>
      <c r="BJ1276">
        <v>9.6</v>
      </c>
      <c r="BK1276">
        <v>10</v>
      </c>
      <c r="BL1276">
        <v>144.49</v>
      </c>
      <c r="BM1276">
        <v>21.67</v>
      </c>
      <c r="BN1276">
        <v>166.16</v>
      </c>
      <c r="BO1276">
        <v>166.16</v>
      </c>
      <c r="BQ1276" t="s">
        <v>2030</v>
      </c>
      <c r="BR1276" t="s">
        <v>2031</v>
      </c>
      <c r="BS1276" s="3">
        <v>45880</v>
      </c>
      <c r="BT1276" s="4">
        <v>0.34097222222222223</v>
      </c>
      <c r="BU1276" t="s">
        <v>245</v>
      </c>
      <c r="BV1276" t="s">
        <v>86</v>
      </c>
      <c r="BY1276">
        <v>48000</v>
      </c>
      <c r="BZ1276" t="s">
        <v>100</v>
      </c>
      <c r="CA1276" t="s">
        <v>1743</v>
      </c>
      <c r="CC1276" t="s">
        <v>76</v>
      </c>
      <c r="CD1276">
        <v>1600</v>
      </c>
      <c r="CE1276" t="s">
        <v>2032</v>
      </c>
      <c r="CF1276" s="3">
        <v>45880</v>
      </c>
      <c r="CI1276">
        <v>3</v>
      </c>
      <c r="CJ1276">
        <v>1</v>
      </c>
      <c r="CK1276">
        <v>41</v>
      </c>
      <c r="CL1276" t="s">
        <v>90</v>
      </c>
    </row>
    <row r="1277" spans="1:90" x14ac:dyDescent="0.3">
      <c r="A1277" t="s">
        <v>72</v>
      </c>
      <c r="B1277" t="s">
        <v>73</v>
      </c>
      <c r="C1277" t="s">
        <v>74</v>
      </c>
      <c r="E1277" t="str">
        <f>"080067146286"</f>
        <v>080067146286</v>
      </c>
      <c r="F1277" s="3">
        <v>45880</v>
      </c>
      <c r="G1277">
        <v>202605</v>
      </c>
      <c r="H1277" t="s">
        <v>75</v>
      </c>
      <c r="I1277" t="s">
        <v>76</v>
      </c>
      <c r="J1277" t="s">
        <v>77</v>
      </c>
      <c r="K1277" t="s">
        <v>78</v>
      </c>
      <c r="L1277" t="s">
        <v>325</v>
      </c>
      <c r="M1277" t="s">
        <v>326</v>
      </c>
      <c r="N1277" t="s">
        <v>997</v>
      </c>
      <c r="O1277" t="s">
        <v>82</v>
      </c>
      <c r="P1277" t="str">
        <f>"4170053938                    "</f>
        <v xml:space="preserve">4170053938                    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18.03</v>
      </c>
      <c r="AR1277">
        <v>0</v>
      </c>
      <c r="AS1277">
        <v>0</v>
      </c>
      <c r="AT1277">
        <v>0</v>
      </c>
      <c r="AU1277">
        <v>0</v>
      </c>
      <c r="AV1277">
        <v>0</v>
      </c>
      <c r="AW1277">
        <v>0</v>
      </c>
      <c r="AX1277">
        <v>0</v>
      </c>
      <c r="AY1277">
        <v>0</v>
      </c>
      <c r="AZ1277">
        <v>0</v>
      </c>
      <c r="BA1277">
        <v>0</v>
      </c>
      <c r="BB1277">
        <v>0</v>
      </c>
      <c r="BC1277">
        <v>0</v>
      </c>
      <c r="BD1277">
        <v>0</v>
      </c>
      <c r="BE1277">
        <v>0</v>
      </c>
      <c r="BF1277">
        <v>0</v>
      </c>
      <c r="BG1277">
        <v>0</v>
      </c>
      <c r="BH1277">
        <v>1</v>
      </c>
      <c r="BI1277">
        <v>1</v>
      </c>
      <c r="BJ1277">
        <v>0.2</v>
      </c>
      <c r="BK1277">
        <v>1</v>
      </c>
      <c r="BL1277">
        <v>55.99</v>
      </c>
      <c r="BM1277">
        <v>8.4</v>
      </c>
      <c r="BN1277">
        <v>64.39</v>
      </c>
      <c r="BO1277">
        <v>64.39</v>
      </c>
      <c r="BQ1277" t="s">
        <v>998</v>
      </c>
      <c r="BR1277" t="s">
        <v>84</v>
      </c>
      <c r="BS1277" s="3">
        <v>45881</v>
      </c>
      <c r="BT1277" s="4">
        <v>0.3923611111111111</v>
      </c>
      <c r="BU1277" t="s">
        <v>2033</v>
      </c>
      <c r="BV1277" t="s">
        <v>86</v>
      </c>
      <c r="BY1277">
        <v>1200</v>
      </c>
      <c r="CA1277" t="s">
        <v>461</v>
      </c>
      <c r="CC1277" t="s">
        <v>326</v>
      </c>
      <c r="CD1277">
        <v>2049</v>
      </c>
      <c r="CE1277" t="s">
        <v>109</v>
      </c>
      <c r="CF1277" s="3">
        <v>45881</v>
      </c>
      <c r="CI1277">
        <v>1</v>
      </c>
      <c r="CJ1277">
        <v>1</v>
      </c>
      <c r="CK1277">
        <v>22</v>
      </c>
      <c r="CL1277" t="s">
        <v>90</v>
      </c>
    </row>
    <row r="1278" spans="1:90" x14ac:dyDescent="0.3">
      <c r="A1278" t="s">
        <v>72</v>
      </c>
      <c r="B1278" t="s">
        <v>73</v>
      </c>
      <c r="C1278" t="s">
        <v>74</v>
      </c>
      <c r="E1278" t="str">
        <f>"080067146324"</f>
        <v>080067146324</v>
      </c>
      <c r="F1278" s="3">
        <v>45880</v>
      </c>
      <c r="G1278">
        <v>202605</v>
      </c>
      <c r="H1278" t="s">
        <v>75</v>
      </c>
      <c r="I1278" t="s">
        <v>76</v>
      </c>
      <c r="J1278" t="s">
        <v>77</v>
      </c>
      <c r="K1278" t="s">
        <v>78</v>
      </c>
      <c r="L1278" t="s">
        <v>1157</v>
      </c>
      <c r="M1278" t="s">
        <v>1158</v>
      </c>
      <c r="N1278" t="s">
        <v>1159</v>
      </c>
      <c r="O1278" t="s">
        <v>82</v>
      </c>
      <c r="P1278" t="str">
        <f>"4170053875                    "</f>
        <v xml:space="preserve">4170053875                    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>
        <v>44.73</v>
      </c>
      <c r="AR1278">
        <v>0</v>
      </c>
      <c r="AS1278">
        <v>0</v>
      </c>
      <c r="AT1278">
        <v>0</v>
      </c>
      <c r="AU1278">
        <v>0</v>
      </c>
      <c r="AV1278">
        <v>0</v>
      </c>
      <c r="AW1278">
        <v>0</v>
      </c>
      <c r="AX1278">
        <v>0</v>
      </c>
      <c r="AY1278">
        <v>0</v>
      </c>
      <c r="AZ1278">
        <v>0</v>
      </c>
      <c r="BA1278">
        <v>0</v>
      </c>
      <c r="BB1278">
        <v>0</v>
      </c>
      <c r="BC1278">
        <v>0</v>
      </c>
      <c r="BD1278">
        <v>0</v>
      </c>
      <c r="BE1278">
        <v>0</v>
      </c>
      <c r="BF1278">
        <v>0</v>
      </c>
      <c r="BG1278">
        <v>0</v>
      </c>
      <c r="BH1278">
        <v>1</v>
      </c>
      <c r="BI1278">
        <v>1</v>
      </c>
      <c r="BJ1278">
        <v>0.2</v>
      </c>
      <c r="BK1278">
        <v>1</v>
      </c>
      <c r="BL1278">
        <v>138.88999999999999</v>
      </c>
      <c r="BM1278">
        <v>20.83</v>
      </c>
      <c r="BN1278">
        <v>159.72</v>
      </c>
      <c r="BO1278">
        <v>159.72</v>
      </c>
      <c r="BQ1278" t="s">
        <v>1160</v>
      </c>
      <c r="BR1278" t="s">
        <v>84</v>
      </c>
      <c r="BS1278" s="3">
        <v>45881</v>
      </c>
      <c r="BT1278" s="4">
        <v>0.43402777777777779</v>
      </c>
      <c r="BU1278" t="s">
        <v>1653</v>
      </c>
      <c r="BV1278" t="s">
        <v>86</v>
      </c>
      <c r="BY1278">
        <v>1200</v>
      </c>
      <c r="CA1278" t="s">
        <v>1654</v>
      </c>
      <c r="CC1278" t="s">
        <v>1158</v>
      </c>
      <c r="CD1278">
        <v>2302</v>
      </c>
      <c r="CE1278" t="s">
        <v>109</v>
      </c>
      <c r="CF1278" s="3">
        <v>45883</v>
      </c>
      <c r="CI1278">
        <v>1</v>
      </c>
      <c r="CJ1278">
        <v>1</v>
      </c>
      <c r="CK1278">
        <v>23</v>
      </c>
      <c r="CL1278" t="s">
        <v>90</v>
      </c>
    </row>
    <row r="1279" spans="1:90" x14ac:dyDescent="0.3">
      <c r="A1279" t="s">
        <v>72</v>
      </c>
      <c r="B1279" t="s">
        <v>73</v>
      </c>
      <c r="C1279" t="s">
        <v>74</v>
      </c>
      <c r="E1279" t="str">
        <f>"080067146363"</f>
        <v>080067146363</v>
      </c>
      <c r="F1279" s="3">
        <v>45880</v>
      </c>
      <c r="G1279">
        <v>202605</v>
      </c>
      <c r="H1279" t="s">
        <v>75</v>
      </c>
      <c r="I1279" t="s">
        <v>76</v>
      </c>
      <c r="J1279" t="s">
        <v>77</v>
      </c>
      <c r="K1279" t="s">
        <v>78</v>
      </c>
      <c r="L1279" t="s">
        <v>75</v>
      </c>
      <c r="M1279" t="s">
        <v>76</v>
      </c>
      <c r="N1279" t="s">
        <v>152</v>
      </c>
      <c r="O1279" t="s">
        <v>82</v>
      </c>
      <c r="P1279" t="str">
        <f>"4170053851                    "</f>
        <v xml:space="preserve">4170053851                    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18.03</v>
      </c>
      <c r="AR1279">
        <v>0</v>
      </c>
      <c r="AS1279">
        <v>0</v>
      </c>
      <c r="AT1279">
        <v>0</v>
      </c>
      <c r="AU1279">
        <v>0</v>
      </c>
      <c r="AV1279">
        <v>0</v>
      </c>
      <c r="AW1279">
        <v>0</v>
      </c>
      <c r="AX1279">
        <v>0</v>
      </c>
      <c r="AY1279">
        <v>0</v>
      </c>
      <c r="AZ1279">
        <v>0</v>
      </c>
      <c r="BA1279">
        <v>0</v>
      </c>
      <c r="BB1279">
        <v>0</v>
      </c>
      <c r="BC1279">
        <v>0</v>
      </c>
      <c r="BD1279">
        <v>0</v>
      </c>
      <c r="BE1279">
        <v>0</v>
      </c>
      <c r="BF1279">
        <v>0</v>
      </c>
      <c r="BG1279">
        <v>0</v>
      </c>
      <c r="BH1279">
        <v>1</v>
      </c>
      <c r="BI1279">
        <v>1</v>
      </c>
      <c r="BJ1279">
        <v>0.2</v>
      </c>
      <c r="BK1279">
        <v>1</v>
      </c>
      <c r="BL1279">
        <v>55.99</v>
      </c>
      <c r="BM1279">
        <v>8.4</v>
      </c>
      <c r="BN1279">
        <v>64.39</v>
      </c>
      <c r="BO1279">
        <v>64.39</v>
      </c>
      <c r="BQ1279" t="s">
        <v>153</v>
      </c>
      <c r="BR1279" t="s">
        <v>84</v>
      </c>
      <c r="BS1279" s="3">
        <v>45881</v>
      </c>
      <c r="BT1279" s="4">
        <v>0.43402777777777779</v>
      </c>
      <c r="BU1279" t="s">
        <v>1814</v>
      </c>
      <c r="BV1279" t="s">
        <v>86</v>
      </c>
      <c r="BY1279">
        <v>1200</v>
      </c>
      <c r="CA1279" t="s">
        <v>760</v>
      </c>
      <c r="CC1279" t="s">
        <v>76</v>
      </c>
      <c r="CD1279">
        <v>1600</v>
      </c>
      <c r="CE1279" t="s">
        <v>109</v>
      </c>
      <c r="CF1279" s="3">
        <v>45882</v>
      </c>
      <c r="CI1279">
        <v>1</v>
      </c>
      <c r="CJ1279">
        <v>1</v>
      </c>
      <c r="CK1279">
        <v>22</v>
      </c>
      <c r="CL1279" t="s">
        <v>90</v>
      </c>
    </row>
    <row r="1280" spans="1:90" x14ac:dyDescent="0.3">
      <c r="A1280" t="s">
        <v>72</v>
      </c>
      <c r="B1280" t="s">
        <v>73</v>
      </c>
      <c r="C1280" t="s">
        <v>74</v>
      </c>
      <c r="E1280" t="str">
        <f>"080067146382"</f>
        <v>080067146382</v>
      </c>
      <c r="F1280" s="3">
        <v>45880</v>
      </c>
      <c r="G1280">
        <v>202605</v>
      </c>
      <c r="H1280" t="s">
        <v>75</v>
      </c>
      <c r="I1280" t="s">
        <v>76</v>
      </c>
      <c r="J1280" t="s">
        <v>77</v>
      </c>
      <c r="K1280" t="s">
        <v>78</v>
      </c>
      <c r="L1280" t="s">
        <v>75</v>
      </c>
      <c r="M1280" t="s">
        <v>76</v>
      </c>
      <c r="N1280" t="s">
        <v>152</v>
      </c>
      <c r="O1280" t="s">
        <v>82</v>
      </c>
      <c r="P1280" t="str">
        <f>"4170053848                    "</f>
        <v xml:space="preserve">4170053848                    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Q1280">
        <v>18.03</v>
      </c>
      <c r="AR1280">
        <v>0</v>
      </c>
      <c r="AS1280">
        <v>0</v>
      </c>
      <c r="AT1280">
        <v>0</v>
      </c>
      <c r="AU1280">
        <v>0</v>
      </c>
      <c r="AV1280">
        <v>0</v>
      </c>
      <c r="AW1280">
        <v>0</v>
      </c>
      <c r="AX1280">
        <v>0</v>
      </c>
      <c r="AY1280">
        <v>0</v>
      </c>
      <c r="AZ1280">
        <v>0</v>
      </c>
      <c r="BA1280">
        <v>0</v>
      </c>
      <c r="BB1280">
        <v>0</v>
      </c>
      <c r="BC1280">
        <v>0</v>
      </c>
      <c r="BD1280">
        <v>0</v>
      </c>
      <c r="BE1280">
        <v>0</v>
      </c>
      <c r="BF1280">
        <v>0</v>
      </c>
      <c r="BG1280">
        <v>0</v>
      </c>
      <c r="BH1280">
        <v>1</v>
      </c>
      <c r="BI1280">
        <v>1</v>
      </c>
      <c r="BJ1280">
        <v>0.2</v>
      </c>
      <c r="BK1280">
        <v>1</v>
      </c>
      <c r="BL1280">
        <v>55.99</v>
      </c>
      <c r="BM1280">
        <v>8.4</v>
      </c>
      <c r="BN1280">
        <v>64.39</v>
      </c>
      <c r="BO1280">
        <v>64.39</v>
      </c>
      <c r="BQ1280" t="s">
        <v>153</v>
      </c>
      <c r="BR1280" t="s">
        <v>84</v>
      </c>
      <c r="BS1280" s="3">
        <v>45881</v>
      </c>
      <c r="BT1280" s="4">
        <v>0.33333333333333331</v>
      </c>
      <c r="BU1280" t="s">
        <v>995</v>
      </c>
      <c r="BV1280" t="s">
        <v>86</v>
      </c>
      <c r="BY1280">
        <v>1200</v>
      </c>
      <c r="CA1280" t="s">
        <v>155</v>
      </c>
      <c r="CC1280" t="s">
        <v>76</v>
      </c>
      <c r="CD1280">
        <v>1600</v>
      </c>
      <c r="CE1280" t="s">
        <v>109</v>
      </c>
      <c r="CF1280" s="3">
        <v>45881</v>
      </c>
      <c r="CI1280">
        <v>1</v>
      </c>
      <c r="CJ1280">
        <v>1</v>
      </c>
      <c r="CK1280">
        <v>22</v>
      </c>
      <c r="CL1280" t="s">
        <v>90</v>
      </c>
    </row>
    <row r="1281" spans="1:90" x14ac:dyDescent="0.3">
      <c r="A1281" t="s">
        <v>72</v>
      </c>
      <c r="B1281" t="s">
        <v>73</v>
      </c>
      <c r="C1281" t="s">
        <v>74</v>
      </c>
      <c r="E1281" t="str">
        <f>"080067146406"</f>
        <v>080067146406</v>
      </c>
      <c r="F1281" s="3">
        <v>45880</v>
      </c>
      <c r="G1281">
        <v>202605</v>
      </c>
      <c r="H1281" t="s">
        <v>75</v>
      </c>
      <c r="I1281" t="s">
        <v>76</v>
      </c>
      <c r="J1281" t="s">
        <v>77</v>
      </c>
      <c r="K1281" t="s">
        <v>78</v>
      </c>
      <c r="L1281" t="s">
        <v>129</v>
      </c>
      <c r="M1281" t="s">
        <v>130</v>
      </c>
      <c r="N1281" t="s">
        <v>2034</v>
      </c>
      <c r="O1281" t="s">
        <v>82</v>
      </c>
      <c r="P1281" t="str">
        <f>"4170053982                    "</f>
        <v xml:space="preserve">4170053982                    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>
        <v>23.09</v>
      </c>
      <c r="AR1281">
        <v>0</v>
      </c>
      <c r="AS1281">
        <v>0</v>
      </c>
      <c r="AT1281">
        <v>0</v>
      </c>
      <c r="AU1281">
        <v>0</v>
      </c>
      <c r="AV1281">
        <v>0</v>
      </c>
      <c r="AW1281">
        <v>0</v>
      </c>
      <c r="AX1281">
        <v>0</v>
      </c>
      <c r="AY1281">
        <v>0</v>
      </c>
      <c r="AZ1281">
        <v>0</v>
      </c>
      <c r="BA1281">
        <v>0</v>
      </c>
      <c r="BB1281">
        <v>0</v>
      </c>
      <c r="BC1281">
        <v>0</v>
      </c>
      <c r="BD1281">
        <v>0</v>
      </c>
      <c r="BE1281">
        <v>0</v>
      </c>
      <c r="BF1281">
        <v>0</v>
      </c>
      <c r="BG1281">
        <v>0</v>
      </c>
      <c r="BH1281">
        <v>1</v>
      </c>
      <c r="BI1281">
        <v>1</v>
      </c>
      <c r="BJ1281">
        <v>0.2</v>
      </c>
      <c r="BK1281">
        <v>1</v>
      </c>
      <c r="BL1281">
        <v>71.69</v>
      </c>
      <c r="BM1281">
        <v>10.75</v>
      </c>
      <c r="BN1281">
        <v>82.44</v>
      </c>
      <c r="BO1281">
        <v>82.44</v>
      </c>
      <c r="BQ1281" t="s">
        <v>2035</v>
      </c>
      <c r="BR1281" t="s">
        <v>84</v>
      </c>
      <c r="BS1281" s="3">
        <v>45881</v>
      </c>
      <c r="BT1281" s="4">
        <v>0.72222222222222221</v>
      </c>
      <c r="BU1281" t="s">
        <v>2036</v>
      </c>
      <c r="BV1281" t="s">
        <v>90</v>
      </c>
      <c r="BW1281" t="s">
        <v>134</v>
      </c>
      <c r="BX1281" t="s">
        <v>135</v>
      </c>
      <c r="BY1281">
        <v>1200</v>
      </c>
      <c r="CA1281" t="s">
        <v>136</v>
      </c>
      <c r="CC1281" t="s">
        <v>130</v>
      </c>
      <c r="CD1281">
        <v>4113</v>
      </c>
      <c r="CE1281" t="s">
        <v>109</v>
      </c>
      <c r="CF1281" s="3">
        <v>45882</v>
      </c>
      <c r="CI1281">
        <v>1</v>
      </c>
      <c r="CJ1281">
        <v>1</v>
      </c>
      <c r="CK1281">
        <v>21</v>
      </c>
      <c r="CL1281" t="s">
        <v>90</v>
      </c>
    </row>
    <row r="1282" spans="1:90" x14ac:dyDescent="0.3">
      <c r="A1282" t="s">
        <v>72</v>
      </c>
      <c r="B1282" t="s">
        <v>73</v>
      </c>
      <c r="C1282" t="s">
        <v>74</v>
      </c>
      <c r="E1282" t="str">
        <f>"080067146452"</f>
        <v>080067146452</v>
      </c>
      <c r="F1282" s="3">
        <v>45880</v>
      </c>
      <c r="G1282">
        <v>202605</v>
      </c>
      <c r="H1282" t="s">
        <v>75</v>
      </c>
      <c r="I1282" t="s">
        <v>76</v>
      </c>
      <c r="J1282" t="s">
        <v>77</v>
      </c>
      <c r="K1282" t="s">
        <v>78</v>
      </c>
      <c r="L1282" t="s">
        <v>855</v>
      </c>
      <c r="M1282" t="s">
        <v>856</v>
      </c>
      <c r="N1282" t="s">
        <v>1601</v>
      </c>
      <c r="O1282" t="s">
        <v>113</v>
      </c>
      <c r="P1282" t="str">
        <f>"4170053895                    "</f>
        <v xml:space="preserve">4170053895                    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18.04</v>
      </c>
      <c r="AR1282">
        <v>0</v>
      </c>
      <c r="AS1282">
        <v>0</v>
      </c>
      <c r="AT1282">
        <v>0</v>
      </c>
      <c r="AU1282">
        <v>0</v>
      </c>
      <c r="AV1282">
        <v>0</v>
      </c>
      <c r="AW1282">
        <v>0</v>
      </c>
      <c r="AX1282">
        <v>0</v>
      </c>
      <c r="AY1282">
        <v>0</v>
      </c>
      <c r="AZ1282">
        <v>0</v>
      </c>
      <c r="BA1282">
        <v>0</v>
      </c>
      <c r="BB1282">
        <v>0</v>
      </c>
      <c r="BC1282">
        <v>0</v>
      </c>
      <c r="BD1282">
        <v>0</v>
      </c>
      <c r="BE1282">
        <v>0</v>
      </c>
      <c r="BF1282">
        <v>0</v>
      </c>
      <c r="BG1282">
        <v>0</v>
      </c>
      <c r="BH1282">
        <v>1</v>
      </c>
      <c r="BI1282">
        <v>4</v>
      </c>
      <c r="BJ1282">
        <v>1.9</v>
      </c>
      <c r="BK1282">
        <v>4</v>
      </c>
      <c r="BL1282">
        <v>56.01</v>
      </c>
      <c r="BM1282">
        <v>8.4</v>
      </c>
      <c r="BN1282">
        <v>64.41</v>
      </c>
      <c r="BO1282">
        <v>64.41</v>
      </c>
      <c r="BQ1282" t="s">
        <v>1602</v>
      </c>
      <c r="BR1282" t="s">
        <v>84</v>
      </c>
      <c r="BS1282" s="3">
        <v>45881</v>
      </c>
      <c r="BT1282" s="4">
        <v>0.47083333333333333</v>
      </c>
      <c r="BU1282" t="s">
        <v>154</v>
      </c>
      <c r="BV1282" t="s">
        <v>86</v>
      </c>
      <c r="BY1282">
        <v>9520</v>
      </c>
      <c r="CA1282" t="s">
        <v>1970</v>
      </c>
      <c r="CC1282" t="s">
        <v>856</v>
      </c>
      <c r="CD1282">
        <v>1684</v>
      </c>
      <c r="CE1282" t="s">
        <v>117</v>
      </c>
      <c r="CF1282" s="3">
        <v>45881</v>
      </c>
      <c r="CI1282">
        <v>1</v>
      </c>
      <c r="CJ1282">
        <v>1</v>
      </c>
      <c r="CK1282">
        <v>32</v>
      </c>
      <c r="CL1282" t="s">
        <v>90</v>
      </c>
    </row>
    <row r="1283" spans="1:90" x14ac:dyDescent="0.3">
      <c r="A1283" t="s">
        <v>72</v>
      </c>
      <c r="B1283" t="s">
        <v>73</v>
      </c>
      <c r="C1283" t="s">
        <v>74</v>
      </c>
      <c r="E1283" t="str">
        <f>"080067146525"</f>
        <v>080067146525</v>
      </c>
      <c r="F1283" s="3">
        <v>45880</v>
      </c>
      <c r="G1283">
        <v>202605</v>
      </c>
      <c r="H1283" t="s">
        <v>75</v>
      </c>
      <c r="I1283" t="s">
        <v>76</v>
      </c>
      <c r="J1283" t="s">
        <v>77</v>
      </c>
      <c r="K1283" t="s">
        <v>78</v>
      </c>
      <c r="L1283" t="s">
        <v>179</v>
      </c>
      <c r="M1283" t="s">
        <v>180</v>
      </c>
      <c r="N1283" t="s">
        <v>275</v>
      </c>
      <c r="O1283" t="s">
        <v>82</v>
      </c>
      <c r="P1283" t="str">
        <f>"4170053922                    "</f>
        <v xml:space="preserve">4170053922                    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48.27</v>
      </c>
      <c r="AR1283">
        <v>0</v>
      </c>
      <c r="AS1283">
        <v>0</v>
      </c>
      <c r="AT1283">
        <v>0</v>
      </c>
      <c r="AU1283">
        <v>0</v>
      </c>
      <c r="AV1283">
        <v>0</v>
      </c>
      <c r="AW1283">
        <v>0</v>
      </c>
      <c r="AX1283">
        <v>0</v>
      </c>
      <c r="AY1283">
        <v>0</v>
      </c>
      <c r="AZ1283">
        <v>0</v>
      </c>
      <c r="BA1283">
        <v>0</v>
      </c>
      <c r="BB1283">
        <v>0</v>
      </c>
      <c r="BC1283">
        <v>0</v>
      </c>
      <c r="BD1283">
        <v>0</v>
      </c>
      <c r="BE1283">
        <v>0</v>
      </c>
      <c r="BF1283">
        <v>0</v>
      </c>
      <c r="BG1283">
        <v>0</v>
      </c>
      <c r="BH1283">
        <v>1</v>
      </c>
      <c r="BI1283">
        <v>3</v>
      </c>
      <c r="BJ1283">
        <v>1.7</v>
      </c>
      <c r="BK1283">
        <v>3</v>
      </c>
      <c r="BL1283">
        <v>149.9</v>
      </c>
      <c r="BM1283">
        <v>22.49</v>
      </c>
      <c r="BN1283">
        <v>172.39</v>
      </c>
      <c r="BO1283">
        <v>172.39</v>
      </c>
      <c r="BQ1283" t="s">
        <v>276</v>
      </c>
      <c r="BR1283" t="s">
        <v>84</v>
      </c>
      <c r="BS1283" s="3">
        <v>45881</v>
      </c>
      <c r="BT1283" s="4">
        <v>0.37569444444444444</v>
      </c>
      <c r="BU1283" t="s">
        <v>716</v>
      </c>
      <c r="BV1283" t="s">
        <v>86</v>
      </c>
      <c r="BY1283">
        <v>8512</v>
      </c>
      <c r="CA1283" t="s">
        <v>184</v>
      </c>
      <c r="CC1283" t="s">
        <v>180</v>
      </c>
      <c r="CD1283">
        <v>1748</v>
      </c>
      <c r="CE1283" t="s">
        <v>147</v>
      </c>
      <c r="CF1283" s="3">
        <v>45881</v>
      </c>
      <c r="CI1283">
        <v>1</v>
      </c>
      <c r="CJ1283">
        <v>1</v>
      </c>
      <c r="CK1283">
        <v>24</v>
      </c>
      <c r="CL1283" t="s">
        <v>90</v>
      </c>
    </row>
    <row r="1284" spans="1:90" x14ac:dyDescent="0.3">
      <c r="A1284" t="s">
        <v>72</v>
      </c>
      <c r="B1284" t="s">
        <v>73</v>
      </c>
      <c r="C1284" t="s">
        <v>74</v>
      </c>
      <c r="E1284" t="str">
        <f>"080067146643"</f>
        <v>080067146643</v>
      </c>
      <c r="F1284" s="3">
        <v>45880</v>
      </c>
      <c r="G1284">
        <v>202605</v>
      </c>
      <c r="H1284" t="s">
        <v>75</v>
      </c>
      <c r="I1284" t="s">
        <v>76</v>
      </c>
      <c r="J1284" t="s">
        <v>77</v>
      </c>
      <c r="K1284" t="s">
        <v>78</v>
      </c>
      <c r="L1284" t="s">
        <v>241</v>
      </c>
      <c r="M1284" t="s">
        <v>242</v>
      </c>
      <c r="N1284" t="s">
        <v>2037</v>
      </c>
      <c r="O1284" t="s">
        <v>82</v>
      </c>
      <c r="P1284" t="str">
        <f>"4170053894                    "</f>
        <v xml:space="preserve">4170053894                    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18.03</v>
      </c>
      <c r="AR1284">
        <v>0</v>
      </c>
      <c r="AS1284">
        <v>0</v>
      </c>
      <c r="AT1284">
        <v>0</v>
      </c>
      <c r="AU1284">
        <v>0</v>
      </c>
      <c r="AV1284">
        <v>0</v>
      </c>
      <c r="AW1284">
        <v>0</v>
      </c>
      <c r="AX1284">
        <v>0</v>
      </c>
      <c r="AY1284">
        <v>0</v>
      </c>
      <c r="AZ1284">
        <v>0</v>
      </c>
      <c r="BA1284">
        <v>0</v>
      </c>
      <c r="BB1284">
        <v>0</v>
      </c>
      <c r="BC1284">
        <v>0</v>
      </c>
      <c r="BD1284">
        <v>0</v>
      </c>
      <c r="BE1284">
        <v>0</v>
      </c>
      <c r="BF1284">
        <v>0</v>
      </c>
      <c r="BG1284">
        <v>0</v>
      </c>
      <c r="BH1284">
        <v>1</v>
      </c>
      <c r="BI1284">
        <v>1</v>
      </c>
      <c r="BJ1284">
        <v>1.1000000000000001</v>
      </c>
      <c r="BK1284">
        <v>2</v>
      </c>
      <c r="BL1284">
        <v>55.99</v>
      </c>
      <c r="BM1284">
        <v>8.4</v>
      </c>
      <c r="BN1284">
        <v>64.39</v>
      </c>
      <c r="BO1284">
        <v>64.39</v>
      </c>
      <c r="BQ1284" t="s">
        <v>2038</v>
      </c>
      <c r="BR1284" t="s">
        <v>84</v>
      </c>
      <c r="BS1284" s="3">
        <v>45881</v>
      </c>
      <c r="BT1284" s="4">
        <v>0.35902777777777778</v>
      </c>
      <c r="BU1284" t="s">
        <v>2039</v>
      </c>
      <c r="BV1284" t="s">
        <v>86</v>
      </c>
      <c r="BY1284">
        <v>5320</v>
      </c>
      <c r="CA1284" t="s">
        <v>623</v>
      </c>
      <c r="CC1284" t="s">
        <v>242</v>
      </c>
      <c r="CD1284">
        <v>1459</v>
      </c>
      <c r="CE1284" t="s">
        <v>147</v>
      </c>
      <c r="CF1284" s="3">
        <v>45882</v>
      </c>
      <c r="CI1284">
        <v>1</v>
      </c>
      <c r="CJ1284">
        <v>1</v>
      </c>
      <c r="CK1284">
        <v>22</v>
      </c>
      <c r="CL1284" t="s">
        <v>90</v>
      </c>
    </row>
    <row r="1285" spans="1:90" x14ac:dyDescent="0.3">
      <c r="A1285" t="s">
        <v>72</v>
      </c>
      <c r="B1285" t="s">
        <v>73</v>
      </c>
      <c r="C1285" t="s">
        <v>74</v>
      </c>
      <c r="E1285" t="str">
        <f>"080067146772"</f>
        <v>080067146772</v>
      </c>
      <c r="F1285" s="3">
        <v>45880</v>
      </c>
      <c r="G1285">
        <v>202605</v>
      </c>
      <c r="H1285" t="s">
        <v>75</v>
      </c>
      <c r="I1285" t="s">
        <v>76</v>
      </c>
      <c r="J1285" t="s">
        <v>77</v>
      </c>
      <c r="K1285" t="s">
        <v>78</v>
      </c>
      <c r="L1285" t="s">
        <v>162</v>
      </c>
      <c r="M1285" t="s">
        <v>163</v>
      </c>
      <c r="N1285" t="s">
        <v>164</v>
      </c>
      <c r="O1285" t="s">
        <v>82</v>
      </c>
      <c r="P1285" t="str">
        <f>"4170053744                    "</f>
        <v xml:space="preserve">4170053744                    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196.08</v>
      </c>
      <c r="AR1285">
        <v>0</v>
      </c>
      <c r="AS1285">
        <v>0</v>
      </c>
      <c r="AT1285">
        <v>0</v>
      </c>
      <c r="AU1285">
        <v>0</v>
      </c>
      <c r="AV1285">
        <v>0</v>
      </c>
      <c r="AW1285">
        <v>0</v>
      </c>
      <c r="AX1285">
        <v>0</v>
      </c>
      <c r="AY1285">
        <v>0</v>
      </c>
      <c r="AZ1285">
        <v>0</v>
      </c>
      <c r="BA1285">
        <v>0</v>
      </c>
      <c r="BB1285">
        <v>0</v>
      </c>
      <c r="BC1285">
        <v>0</v>
      </c>
      <c r="BD1285">
        <v>0</v>
      </c>
      <c r="BE1285">
        <v>0</v>
      </c>
      <c r="BF1285">
        <v>0</v>
      </c>
      <c r="BG1285">
        <v>0</v>
      </c>
      <c r="BH1285">
        <v>1</v>
      </c>
      <c r="BI1285">
        <v>17</v>
      </c>
      <c r="BJ1285">
        <v>4.5</v>
      </c>
      <c r="BK1285">
        <v>17</v>
      </c>
      <c r="BL1285">
        <v>608.88</v>
      </c>
      <c r="BM1285">
        <v>91.33</v>
      </c>
      <c r="BN1285">
        <v>700.21</v>
      </c>
      <c r="BO1285">
        <v>700.21</v>
      </c>
      <c r="BQ1285" t="s">
        <v>165</v>
      </c>
      <c r="BR1285" t="s">
        <v>84</v>
      </c>
      <c r="BS1285" s="3">
        <v>45881</v>
      </c>
      <c r="BT1285" s="4">
        <v>0.41666666666666669</v>
      </c>
      <c r="BU1285" t="s">
        <v>166</v>
      </c>
      <c r="BV1285" t="s">
        <v>86</v>
      </c>
      <c r="BY1285">
        <v>22620</v>
      </c>
      <c r="CA1285" t="s">
        <v>167</v>
      </c>
      <c r="CC1285" t="s">
        <v>163</v>
      </c>
      <c r="CD1285">
        <v>3212</v>
      </c>
      <c r="CE1285" t="s">
        <v>147</v>
      </c>
      <c r="CF1285" s="3">
        <v>45882</v>
      </c>
      <c r="CI1285">
        <v>2</v>
      </c>
      <c r="CJ1285">
        <v>1</v>
      </c>
      <c r="CK1285">
        <v>21</v>
      </c>
      <c r="CL1285" t="s">
        <v>90</v>
      </c>
    </row>
    <row r="1286" spans="1:90" x14ac:dyDescent="0.3">
      <c r="A1286" t="s">
        <v>72</v>
      </c>
      <c r="B1286" t="s">
        <v>73</v>
      </c>
      <c r="C1286" t="s">
        <v>74</v>
      </c>
      <c r="E1286" t="str">
        <f>"080067147163"</f>
        <v>080067147163</v>
      </c>
      <c r="F1286" s="3">
        <v>45880</v>
      </c>
      <c r="G1286">
        <v>202605</v>
      </c>
      <c r="H1286" t="s">
        <v>75</v>
      </c>
      <c r="I1286" t="s">
        <v>76</v>
      </c>
      <c r="J1286" t="s">
        <v>77</v>
      </c>
      <c r="K1286" t="s">
        <v>78</v>
      </c>
      <c r="L1286" t="s">
        <v>198</v>
      </c>
      <c r="M1286" t="s">
        <v>199</v>
      </c>
      <c r="N1286" t="s">
        <v>1576</v>
      </c>
      <c r="O1286" t="s">
        <v>82</v>
      </c>
      <c r="P1286" t="str">
        <f>"4170053893                    "</f>
        <v xml:space="preserve">4170053893                    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57.68</v>
      </c>
      <c r="AR1286">
        <v>0</v>
      </c>
      <c r="AS1286">
        <v>0</v>
      </c>
      <c r="AT1286">
        <v>0</v>
      </c>
      <c r="AU1286">
        <v>0</v>
      </c>
      <c r="AV1286">
        <v>0</v>
      </c>
      <c r="AW1286">
        <v>0</v>
      </c>
      <c r="AX1286">
        <v>0</v>
      </c>
      <c r="AY1286">
        <v>0</v>
      </c>
      <c r="AZ1286">
        <v>0</v>
      </c>
      <c r="BA1286">
        <v>0</v>
      </c>
      <c r="BB1286">
        <v>0</v>
      </c>
      <c r="BC1286">
        <v>0</v>
      </c>
      <c r="BD1286">
        <v>0</v>
      </c>
      <c r="BE1286">
        <v>0</v>
      </c>
      <c r="BF1286">
        <v>0</v>
      </c>
      <c r="BG1286">
        <v>0</v>
      </c>
      <c r="BH1286">
        <v>1</v>
      </c>
      <c r="BI1286">
        <v>4</v>
      </c>
      <c r="BJ1286">
        <v>5</v>
      </c>
      <c r="BK1286">
        <v>5</v>
      </c>
      <c r="BL1286">
        <v>179.12</v>
      </c>
      <c r="BM1286">
        <v>26.87</v>
      </c>
      <c r="BN1286">
        <v>205.99</v>
      </c>
      <c r="BO1286">
        <v>205.99</v>
      </c>
      <c r="BQ1286" t="s">
        <v>1577</v>
      </c>
      <c r="BR1286" t="s">
        <v>84</v>
      </c>
      <c r="BS1286" s="3">
        <v>45881</v>
      </c>
      <c r="BT1286" s="4">
        <v>0.3840277777777778</v>
      </c>
      <c r="BU1286" t="s">
        <v>2040</v>
      </c>
      <c r="BV1286" t="s">
        <v>86</v>
      </c>
      <c r="BY1286">
        <v>24882</v>
      </c>
      <c r="CA1286" t="s">
        <v>203</v>
      </c>
      <c r="CC1286" t="s">
        <v>199</v>
      </c>
      <c r="CD1286">
        <v>6001</v>
      </c>
      <c r="CE1286" t="s">
        <v>147</v>
      </c>
      <c r="CF1286" s="3">
        <v>45881</v>
      </c>
      <c r="CI1286">
        <v>1</v>
      </c>
      <c r="CJ1286">
        <v>1</v>
      </c>
      <c r="CK1286">
        <v>21</v>
      </c>
      <c r="CL1286" t="s">
        <v>90</v>
      </c>
    </row>
    <row r="1287" spans="1:90" x14ac:dyDescent="0.3">
      <c r="A1287" t="s">
        <v>72</v>
      </c>
      <c r="B1287" t="s">
        <v>73</v>
      </c>
      <c r="C1287" t="s">
        <v>74</v>
      </c>
      <c r="E1287" t="str">
        <f>"080067147217"</f>
        <v>080067147217</v>
      </c>
      <c r="F1287" s="3">
        <v>45880</v>
      </c>
      <c r="G1287">
        <v>202605</v>
      </c>
      <c r="H1287" t="s">
        <v>75</v>
      </c>
      <c r="I1287" t="s">
        <v>76</v>
      </c>
      <c r="J1287" t="s">
        <v>77</v>
      </c>
      <c r="K1287" t="s">
        <v>78</v>
      </c>
      <c r="L1287" t="s">
        <v>319</v>
      </c>
      <c r="M1287" t="s">
        <v>320</v>
      </c>
      <c r="N1287" t="s">
        <v>321</v>
      </c>
      <c r="O1287" t="s">
        <v>82</v>
      </c>
      <c r="P1287" t="str">
        <f>"4170053874                    "</f>
        <v xml:space="preserve">4170053874                    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64.92</v>
      </c>
      <c r="AR1287">
        <v>0</v>
      </c>
      <c r="AS1287">
        <v>0</v>
      </c>
      <c r="AT1287">
        <v>0</v>
      </c>
      <c r="AU1287">
        <v>0</v>
      </c>
      <c r="AV1287">
        <v>0</v>
      </c>
      <c r="AW1287">
        <v>0</v>
      </c>
      <c r="AX1287">
        <v>0</v>
      </c>
      <c r="AY1287">
        <v>0</v>
      </c>
      <c r="AZ1287">
        <v>0</v>
      </c>
      <c r="BA1287">
        <v>0</v>
      </c>
      <c r="BB1287">
        <v>0</v>
      </c>
      <c r="BC1287">
        <v>0</v>
      </c>
      <c r="BD1287">
        <v>0</v>
      </c>
      <c r="BE1287">
        <v>0</v>
      </c>
      <c r="BF1287">
        <v>0</v>
      </c>
      <c r="BG1287">
        <v>0</v>
      </c>
      <c r="BH1287">
        <v>1</v>
      </c>
      <c r="BI1287">
        <v>3</v>
      </c>
      <c r="BJ1287">
        <v>1.1000000000000001</v>
      </c>
      <c r="BK1287">
        <v>3</v>
      </c>
      <c r="BL1287">
        <v>201.6</v>
      </c>
      <c r="BM1287">
        <v>30.24</v>
      </c>
      <c r="BN1287">
        <v>231.84</v>
      </c>
      <c r="BO1287">
        <v>231.84</v>
      </c>
      <c r="BQ1287" t="s">
        <v>322</v>
      </c>
      <c r="BR1287" t="s">
        <v>84</v>
      </c>
      <c r="BS1287" s="3">
        <v>45881</v>
      </c>
      <c r="BT1287" s="4">
        <v>0.40347222222222223</v>
      </c>
      <c r="BU1287" t="s">
        <v>2041</v>
      </c>
      <c r="BV1287" t="s">
        <v>86</v>
      </c>
      <c r="BY1287">
        <v>5320</v>
      </c>
      <c r="CA1287" t="s">
        <v>324</v>
      </c>
      <c r="CC1287" t="s">
        <v>320</v>
      </c>
      <c r="CD1287">
        <v>2531</v>
      </c>
      <c r="CE1287" t="s">
        <v>147</v>
      </c>
      <c r="CF1287" s="3">
        <v>45882</v>
      </c>
      <c r="CI1287">
        <v>1</v>
      </c>
      <c r="CJ1287">
        <v>1</v>
      </c>
      <c r="CK1287">
        <v>23</v>
      </c>
      <c r="CL1287" t="s">
        <v>90</v>
      </c>
    </row>
    <row r="1288" spans="1:90" x14ac:dyDescent="0.3">
      <c r="A1288" t="s">
        <v>72</v>
      </c>
      <c r="B1288" t="s">
        <v>73</v>
      </c>
      <c r="C1288" t="s">
        <v>74</v>
      </c>
      <c r="E1288" t="str">
        <f>"080067147132"</f>
        <v>080067147132</v>
      </c>
      <c r="F1288" s="3">
        <v>45880</v>
      </c>
      <c r="G1288">
        <v>202605</v>
      </c>
      <c r="H1288" t="s">
        <v>75</v>
      </c>
      <c r="I1288" t="s">
        <v>76</v>
      </c>
      <c r="J1288" t="s">
        <v>77</v>
      </c>
      <c r="K1288" t="s">
        <v>78</v>
      </c>
      <c r="L1288" t="s">
        <v>223</v>
      </c>
      <c r="M1288" t="s">
        <v>224</v>
      </c>
      <c r="N1288" t="s">
        <v>498</v>
      </c>
      <c r="O1288" t="s">
        <v>82</v>
      </c>
      <c r="P1288" t="str">
        <f>"4170053954                    "</f>
        <v xml:space="preserve">4170053954                    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23.09</v>
      </c>
      <c r="AR1288">
        <v>0</v>
      </c>
      <c r="AS1288">
        <v>0</v>
      </c>
      <c r="AT1288">
        <v>0</v>
      </c>
      <c r="AU1288">
        <v>0</v>
      </c>
      <c r="AV1288">
        <v>0</v>
      </c>
      <c r="AW1288">
        <v>0</v>
      </c>
      <c r="AX1288">
        <v>0</v>
      </c>
      <c r="AY1288">
        <v>0</v>
      </c>
      <c r="AZ1288">
        <v>0</v>
      </c>
      <c r="BA1288">
        <v>0</v>
      </c>
      <c r="BB1288">
        <v>0</v>
      </c>
      <c r="BC1288">
        <v>0</v>
      </c>
      <c r="BD1288">
        <v>0</v>
      </c>
      <c r="BE1288">
        <v>0</v>
      </c>
      <c r="BF1288">
        <v>0</v>
      </c>
      <c r="BG1288">
        <v>0</v>
      </c>
      <c r="BH1288">
        <v>1</v>
      </c>
      <c r="BI1288">
        <v>1</v>
      </c>
      <c r="BJ1288">
        <v>0.2</v>
      </c>
      <c r="BK1288">
        <v>1</v>
      </c>
      <c r="BL1288">
        <v>71.69</v>
      </c>
      <c r="BM1288">
        <v>10.75</v>
      </c>
      <c r="BN1288">
        <v>82.44</v>
      </c>
      <c r="BO1288">
        <v>82.44</v>
      </c>
      <c r="BQ1288" t="s">
        <v>499</v>
      </c>
      <c r="BR1288" t="s">
        <v>84</v>
      </c>
      <c r="BS1288" s="3">
        <v>45881</v>
      </c>
      <c r="BT1288" s="4">
        <v>0.58958333333333335</v>
      </c>
      <c r="BU1288" t="s">
        <v>2042</v>
      </c>
      <c r="BV1288" t="s">
        <v>86</v>
      </c>
      <c r="BY1288">
        <v>1200</v>
      </c>
      <c r="CA1288" t="s">
        <v>2043</v>
      </c>
      <c r="CC1288" t="s">
        <v>224</v>
      </c>
      <c r="CD1288">
        <v>5201</v>
      </c>
      <c r="CE1288" t="s">
        <v>109</v>
      </c>
      <c r="CF1288" s="3">
        <v>45881</v>
      </c>
      <c r="CI1288">
        <v>5</v>
      </c>
      <c r="CJ1288">
        <v>1</v>
      </c>
      <c r="CK1288">
        <v>21</v>
      </c>
      <c r="CL1288" t="s">
        <v>90</v>
      </c>
    </row>
    <row r="1289" spans="1:90" x14ac:dyDescent="0.3">
      <c r="A1289" t="s">
        <v>72</v>
      </c>
      <c r="B1289" t="s">
        <v>73</v>
      </c>
      <c r="C1289" t="s">
        <v>74</v>
      </c>
      <c r="E1289" t="str">
        <f>"080067147294"</f>
        <v>080067147294</v>
      </c>
      <c r="F1289" s="3">
        <v>45880</v>
      </c>
      <c r="G1289">
        <v>202605</v>
      </c>
      <c r="H1289" t="s">
        <v>75</v>
      </c>
      <c r="I1289" t="s">
        <v>76</v>
      </c>
      <c r="J1289" t="s">
        <v>77</v>
      </c>
      <c r="K1289" t="s">
        <v>78</v>
      </c>
      <c r="L1289" t="s">
        <v>75</v>
      </c>
      <c r="M1289" t="s">
        <v>76</v>
      </c>
      <c r="N1289" t="s">
        <v>1020</v>
      </c>
      <c r="O1289" t="s">
        <v>113</v>
      </c>
      <c r="P1289" t="str">
        <f>"4170053924                    "</f>
        <v xml:space="preserve">4170053924                    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18.04</v>
      </c>
      <c r="AR1289">
        <v>0</v>
      </c>
      <c r="AS1289">
        <v>0</v>
      </c>
      <c r="AT1289">
        <v>0</v>
      </c>
      <c r="AU1289">
        <v>0</v>
      </c>
      <c r="AV1289">
        <v>0</v>
      </c>
      <c r="AW1289">
        <v>0</v>
      </c>
      <c r="AX1289">
        <v>0</v>
      </c>
      <c r="AY1289">
        <v>0</v>
      </c>
      <c r="AZ1289">
        <v>0</v>
      </c>
      <c r="BA1289">
        <v>0</v>
      </c>
      <c r="BB1289">
        <v>0</v>
      </c>
      <c r="BC1289">
        <v>0</v>
      </c>
      <c r="BD1289">
        <v>0</v>
      </c>
      <c r="BE1289">
        <v>0</v>
      </c>
      <c r="BF1289">
        <v>0</v>
      </c>
      <c r="BG1289">
        <v>0</v>
      </c>
      <c r="BH1289">
        <v>1</v>
      </c>
      <c r="BI1289">
        <v>5</v>
      </c>
      <c r="BJ1289">
        <v>1.9</v>
      </c>
      <c r="BK1289">
        <v>5</v>
      </c>
      <c r="BL1289">
        <v>56.01</v>
      </c>
      <c r="BM1289">
        <v>8.4</v>
      </c>
      <c r="BN1289">
        <v>64.41</v>
      </c>
      <c r="BO1289">
        <v>64.41</v>
      </c>
      <c r="BQ1289" t="s">
        <v>1021</v>
      </c>
      <c r="BR1289" t="s">
        <v>84</v>
      </c>
      <c r="BS1289" s="3">
        <v>45882</v>
      </c>
      <c r="BT1289" s="4">
        <v>0.41666666666666669</v>
      </c>
      <c r="BU1289" t="s">
        <v>2044</v>
      </c>
      <c r="BV1289" t="s">
        <v>90</v>
      </c>
      <c r="BW1289" t="s">
        <v>380</v>
      </c>
      <c r="BX1289" t="s">
        <v>2045</v>
      </c>
      <c r="BY1289">
        <v>9600</v>
      </c>
      <c r="CC1289" t="s">
        <v>76</v>
      </c>
      <c r="CD1289">
        <v>1645</v>
      </c>
      <c r="CE1289" t="s">
        <v>147</v>
      </c>
      <c r="CF1289" s="3">
        <v>45882</v>
      </c>
      <c r="CI1289">
        <v>1</v>
      </c>
      <c r="CJ1289">
        <v>2</v>
      </c>
      <c r="CK1289">
        <v>32</v>
      </c>
      <c r="CL1289" t="s">
        <v>90</v>
      </c>
    </row>
    <row r="1290" spans="1:90" x14ac:dyDescent="0.3">
      <c r="A1290" t="s">
        <v>72</v>
      </c>
      <c r="B1290" t="s">
        <v>73</v>
      </c>
      <c r="C1290" t="s">
        <v>74</v>
      </c>
      <c r="E1290" t="str">
        <f>"080067147382"</f>
        <v>080067147382</v>
      </c>
      <c r="F1290" s="3">
        <v>45880</v>
      </c>
      <c r="G1290">
        <v>202605</v>
      </c>
      <c r="H1290" t="s">
        <v>75</v>
      </c>
      <c r="I1290" t="s">
        <v>76</v>
      </c>
      <c r="J1290" t="s">
        <v>77</v>
      </c>
      <c r="K1290" t="s">
        <v>78</v>
      </c>
      <c r="L1290" t="s">
        <v>137</v>
      </c>
      <c r="M1290" t="s">
        <v>138</v>
      </c>
      <c r="N1290" t="s">
        <v>261</v>
      </c>
      <c r="O1290" t="s">
        <v>82</v>
      </c>
      <c r="P1290" t="str">
        <f>"4170053914                    "</f>
        <v xml:space="preserve">4170053914                    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>
        <v>69.22</v>
      </c>
      <c r="AR1290">
        <v>0</v>
      </c>
      <c r="AS1290">
        <v>0</v>
      </c>
      <c r="AT1290">
        <v>0</v>
      </c>
      <c r="AU1290">
        <v>0</v>
      </c>
      <c r="AV1290">
        <v>0</v>
      </c>
      <c r="AW1290">
        <v>0</v>
      </c>
      <c r="AX1290">
        <v>0</v>
      </c>
      <c r="AY1290">
        <v>0</v>
      </c>
      <c r="AZ1290">
        <v>0</v>
      </c>
      <c r="BA1290">
        <v>0</v>
      </c>
      <c r="BB1290">
        <v>0</v>
      </c>
      <c r="BC1290">
        <v>0</v>
      </c>
      <c r="BD1290">
        <v>0</v>
      </c>
      <c r="BE1290">
        <v>0</v>
      </c>
      <c r="BF1290">
        <v>0</v>
      </c>
      <c r="BG1290">
        <v>0</v>
      </c>
      <c r="BH1290">
        <v>1</v>
      </c>
      <c r="BI1290">
        <v>4</v>
      </c>
      <c r="BJ1290">
        <v>5.8</v>
      </c>
      <c r="BK1290">
        <v>6</v>
      </c>
      <c r="BL1290">
        <v>214.94</v>
      </c>
      <c r="BM1290">
        <v>32.24</v>
      </c>
      <c r="BN1290">
        <v>247.18</v>
      </c>
      <c r="BO1290">
        <v>247.18</v>
      </c>
      <c r="BQ1290" t="s">
        <v>262</v>
      </c>
      <c r="BR1290" t="s">
        <v>84</v>
      </c>
      <c r="BS1290" s="3">
        <v>45881</v>
      </c>
      <c r="BT1290" s="4">
        <v>0.37986111111111109</v>
      </c>
      <c r="BU1290" t="s">
        <v>263</v>
      </c>
      <c r="BV1290" t="s">
        <v>86</v>
      </c>
      <c r="BY1290">
        <v>29070</v>
      </c>
      <c r="CA1290" t="s">
        <v>264</v>
      </c>
      <c r="CC1290" t="s">
        <v>138</v>
      </c>
      <c r="CD1290">
        <v>3608</v>
      </c>
      <c r="CE1290" t="s">
        <v>117</v>
      </c>
      <c r="CF1290" s="3">
        <v>45882</v>
      </c>
      <c r="CI1290">
        <v>1</v>
      </c>
      <c r="CJ1290">
        <v>1</v>
      </c>
      <c r="CK1290">
        <v>21</v>
      </c>
      <c r="CL1290" t="s">
        <v>90</v>
      </c>
    </row>
    <row r="1291" spans="1:90" x14ac:dyDescent="0.3">
      <c r="A1291" t="s">
        <v>72</v>
      </c>
      <c r="B1291" t="s">
        <v>73</v>
      </c>
      <c r="C1291" t="s">
        <v>74</v>
      </c>
      <c r="E1291" t="str">
        <f>"080067147661"</f>
        <v>080067147661</v>
      </c>
      <c r="F1291" s="3">
        <v>45880</v>
      </c>
      <c r="G1291">
        <v>202605</v>
      </c>
      <c r="H1291" t="s">
        <v>75</v>
      </c>
      <c r="I1291" t="s">
        <v>76</v>
      </c>
      <c r="J1291" t="s">
        <v>77</v>
      </c>
      <c r="K1291" t="s">
        <v>78</v>
      </c>
      <c r="L1291" t="s">
        <v>198</v>
      </c>
      <c r="M1291" t="s">
        <v>199</v>
      </c>
      <c r="N1291" t="s">
        <v>598</v>
      </c>
      <c r="O1291" t="s">
        <v>82</v>
      </c>
      <c r="P1291" t="str">
        <f>"4170053900                    "</f>
        <v xml:space="preserve">4170053900                    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>
        <v>23.09</v>
      </c>
      <c r="AR1291">
        <v>0</v>
      </c>
      <c r="AS1291">
        <v>0</v>
      </c>
      <c r="AT1291">
        <v>0</v>
      </c>
      <c r="AU1291">
        <v>0</v>
      </c>
      <c r="AV1291">
        <v>0</v>
      </c>
      <c r="AW1291">
        <v>0</v>
      </c>
      <c r="AX1291">
        <v>0</v>
      </c>
      <c r="AY1291">
        <v>0</v>
      </c>
      <c r="AZ1291">
        <v>0</v>
      </c>
      <c r="BA1291">
        <v>0</v>
      </c>
      <c r="BB1291">
        <v>0</v>
      </c>
      <c r="BC1291">
        <v>0</v>
      </c>
      <c r="BD1291">
        <v>0</v>
      </c>
      <c r="BE1291">
        <v>0</v>
      </c>
      <c r="BF1291">
        <v>0</v>
      </c>
      <c r="BG1291">
        <v>0</v>
      </c>
      <c r="BH1291">
        <v>1</v>
      </c>
      <c r="BI1291">
        <v>1</v>
      </c>
      <c r="BJ1291">
        <v>0.2</v>
      </c>
      <c r="BK1291">
        <v>1</v>
      </c>
      <c r="BL1291">
        <v>71.69</v>
      </c>
      <c r="BM1291">
        <v>10.75</v>
      </c>
      <c r="BN1291">
        <v>82.44</v>
      </c>
      <c r="BO1291">
        <v>82.44</v>
      </c>
      <c r="BQ1291" t="s">
        <v>599</v>
      </c>
      <c r="BR1291" t="s">
        <v>84</v>
      </c>
      <c r="BS1291" s="3">
        <v>45881</v>
      </c>
      <c r="BT1291" s="4">
        <v>0.36180555555555555</v>
      </c>
      <c r="BU1291" t="s">
        <v>600</v>
      </c>
      <c r="BV1291" t="s">
        <v>86</v>
      </c>
      <c r="BY1291">
        <v>1200</v>
      </c>
      <c r="CA1291" t="s">
        <v>601</v>
      </c>
      <c r="CC1291" t="s">
        <v>199</v>
      </c>
      <c r="CD1291">
        <v>6001</v>
      </c>
      <c r="CE1291" t="s">
        <v>109</v>
      </c>
      <c r="CF1291" s="3">
        <v>45881</v>
      </c>
      <c r="CI1291">
        <v>1</v>
      </c>
      <c r="CJ1291">
        <v>1</v>
      </c>
      <c r="CK1291">
        <v>21</v>
      </c>
      <c r="CL1291" t="s">
        <v>90</v>
      </c>
    </row>
    <row r="1292" spans="1:90" x14ac:dyDescent="0.3">
      <c r="A1292" t="s">
        <v>72</v>
      </c>
      <c r="B1292" t="s">
        <v>73</v>
      </c>
      <c r="C1292" t="s">
        <v>74</v>
      </c>
      <c r="E1292" t="str">
        <f>"080067147696"</f>
        <v>080067147696</v>
      </c>
      <c r="F1292" s="3">
        <v>45880</v>
      </c>
      <c r="G1292">
        <v>202605</v>
      </c>
      <c r="H1292" t="s">
        <v>75</v>
      </c>
      <c r="I1292" t="s">
        <v>76</v>
      </c>
      <c r="J1292" t="s">
        <v>77</v>
      </c>
      <c r="K1292" t="s">
        <v>78</v>
      </c>
      <c r="L1292" t="s">
        <v>400</v>
      </c>
      <c r="M1292" t="s">
        <v>401</v>
      </c>
      <c r="N1292" t="s">
        <v>2046</v>
      </c>
      <c r="O1292" t="s">
        <v>82</v>
      </c>
      <c r="P1292" t="str">
        <f>"4170053925                    "</f>
        <v xml:space="preserve">4170053925                    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23.09</v>
      </c>
      <c r="AR1292">
        <v>0</v>
      </c>
      <c r="AS1292">
        <v>0</v>
      </c>
      <c r="AT1292">
        <v>0</v>
      </c>
      <c r="AU1292">
        <v>0</v>
      </c>
      <c r="AV1292">
        <v>0</v>
      </c>
      <c r="AW1292">
        <v>0</v>
      </c>
      <c r="AX1292">
        <v>0</v>
      </c>
      <c r="AY1292">
        <v>0</v>
      </c>
      <c r="AZ1292">
        <v>0</v>
      </c>
      <c r="BA1292">
        <v>0</v>
      </c>
      <c r="BB1292">
        <v>0</v>
      </c>
      <c r="BC1292">
        <v>0</v>
      </c>
      <c r="BD1292">
        <v>0</v>
      </c>
      <c r="BE1292">
        <v>0</v>
      </c>
      <c r="BF1292">
        <v>0</v>
      </c>
      <c r="BG1292">
        <v>0</v>
      </c>
      <c r="BH1292">
        <v>1</v>
      </c>
      <c r="BI1292">
        <v>1</v>
      </c>
      <c r="BJ1292">
        <v>0.2</v>
      </c>
      <c r="BK1292">
        <v>1</v>
      </c>
      <c r="BL1292">
        <v>71.69</v>
      </c>
      <c r="BM1292">
        <v>10.75</v>
      </c>
      <c r="BN1292">
        <v>82.44</v>
      </c>
      <c r="BO1292">
        <v>82.44</v>
      </c>
      <c r="BQ1292" t="s">
        <v>2047</v>
      </c>
      <c r="BR1292" t="s">
        <v>84</v>
      </c>
      <c r="BS1292" s="3">
        <v>45881</v>
      </c>
      <c r="BT1292" s="4">
        <v>0.34097222222222223</v>
      </c>
      <c r="BU1292" t="s">
        <v>2048</v>
      </c>
      <c r="BV1292" t="s">
        <v>86</v>
      </c>
      <c r="BY1292">
        <v>1200</v>
      </c>
      <c r="CA1292" t="s">
        <v>405</v>
      </c>
      <c r="CC1292" t="s">
        <v>401</v>
      </c>
      <c r="CD1292">
        <v>6230</v>
      </c>
      <c r="CE1292" t="s">
        <v>109</v>
      </c>
      <c r="CF1292" s="3">
        <v>45881</v>
      </c>
      <c r="CI1292">
        <v>1</v>
      </c>
      <c r="CJ1292">
        <v>1</v>
      </c>
      <c r="CK1292">
        <v>21</v>
      </c>
      <c r="CL1292" t="s">
        <v>90</v>
      </c>
    </row>
    <row r="1293" spans="1:90" x14ac:dyDescent="0.3">
      <c r="A1293" t="s">
        <v>72</v>
      </c>
      <c r="B1293" t="s">
        <v>73</v>
      </c>
      <c r="C1293" t="s">
        <v>74</v>
      </c>
      <c r="E1293" t="str">
        <f>"080067147729"</f>
        <v>080067147729</v>
      </c>
      <c r="F1293" s="3">
        <v>45880</v>
      </c>
      <c r="G1293">
        <v>202605</v>
      </c>
      <c r="H1293" t="s">
        <v>75</v>
      </c>
      <c r="I1293" t="s">
        <v>76</v>
      </c>
      <c r="J1293" t="s">
        <v>77</v>
      </c>
      <c r="K1293" t="s">
        <v>78</v>
      </c>
      <c r="L1293" t="s">
        <v>325</v>
      </c>
      <c r="M1293" t="s">
        <v>326</v>
      </c>
      <c r="N1293" t="s">
        <v>1055</v>
      </c>
      <c r="O1293" t="s">
        <v>82</v>
      </c>
      <c r="P1293" t="str">
        <f>"4170053934                    "</f>
        <v xml:space="preserve">4170053934                    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Q1293">
        <v>18.03</v>
      </c>
      <c r="AR1293">
        <v>0</v>
      </c>
      <c r="AS1293">
        <v>0</v>
      </c>
      <c r="AT1293">
        <v>0</v>
      </c>
      <c r="AU1293">
        <v>0</v>
      </c>
      <c r="AV1293">
        <v>0</v>
      </c>
      <c r="AW1293">
        <v>0</v>
      </c>
      <c r="AX1293">
        <v>0</v>
      </c>
      <c r="AY1293">
        <v>0</v>
      </c>
      <c r="AZ1293">
        <v>0</v>
      </c>
      <c r="BA1293">
        <v>0</v>
      </c>
      <c r="BB1293">
        <v>0</v>
      </c>
      <c r="BC1293">
        <v>0</v>
      </c>
      <c r="BD1293">
        <v>0</v>
      </c>
      <c r="BE1293">
        <v>0</v>
      </c>
      <c r="BF1293">
        <v>0</v>
      </c>
      <c r="BG1293">
        <v>0</v>
      </c>
      <c r="BH1293">
        <v>1</v>
      </c>
      <c r="BI1293">
        <v>1</v>
      </c>
      <c r="BJ1293">
        <v>0.2</v>
      </c>
      <c r="BK1293">
        <v>1</v>
      </c>
      <c r="BL1293">
        <v>55.99</v>
      </c>
      <c r="BM1293">
        <v>8.4</v>
      </c>
      <c r="BN1293">
        <v>64.39</v>
      </c>
      <c r="BO1293">
        <v>64.39</v>
      </c>
      <c r="BQ1293" t="s">
        <v>1056</v>
      </c>
      <c r="BR1293" t="s">
        <v>84</v>
      </c>
      <c r="BS1293" s="3">
        <v>45881</v>
      </c>
      <c r="BT1293" s="4">
        <v>0.37291666666666667</v>
      </c>
      <c r="BU1293" t="s">
        <v>399</v>
      </c>
      <c r="BV1293" t="s">
        <v>86</v>
      </c>
      <c r="BY1293">
        <v>1200</v>
      </c>
      <c r="CA1293" t="s">
        <v>461</v>
      </c>
      <c r="CC1293" t="s">
        <v>326</v>
      </c>
      <c r="CD1293">
        <v>2094</v>
      </c>
      <c r="CE1293" t="s">
        <v>109</v>
      </c>
      <c r="CF1293" s="3">
        <v>45881</v>
      </c>
      <c r="CI1293">
        <v>1</v>
      </c>
      <c r="CJ1293">
        <v>1</v>
      </c>
      <c r="CK1293">
        <v>22</v>
      </c>
      <c r="CL1293" t="s">
        <v>90</v>
      </c>
    </row>
    <row r="1294" spans="1:90" x14ac:dyDescent="0.3">
      <c r="A1294" t="s">
        <v>72</v>
      </c>
      <c r="B1294" t="s">
        <v>73</v>
      </c>
      <c r="C1294" t="s">
        <v>74</v>
      </c>
      <c r="E1294" t="str">
        <f>"080067147770"</f>
        <v>080067147770</v>
      </c>
      <c r="F1294" s="3">
        <v>45880</v>
      </c>
      <c r="G1294">
        <v>202605</v>
      </c>
      <c r="H1294" t="s">
        <v>75</v>
      </c>
      <c r="I1294" t="s">
        <v>76</v>
      </c>
      <c r="J1294" t="s">
        <v>77</v>
      </c>
      <c r="K1294" t="s">
        <v>78</v>
      </c>
      <c r="L1294" t="s">
        <v>123</v>
      </c>
      <c r="M1294" t="s">
        <v>124</v>
      </c>
      <c r="N1294" t="s">
        <v>1115</v>
      </c>
      <c r="O1294" t="s">
        <v>82</v>
      </c>
      <c r="P1294" t="str">
        <f>"4170053916                    "</f>
        <v xml:space="preserve">4170053916                    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Q1294">
        <v>23.09</v>
      </c>
      <c r="AR1294">
        <v>0</v>
      </c>
      <c r="AS1294">
        <v>0</v>
      </c>
      <c r="AT1294">
        <v>0</v>
      </c>
      <c r="AU1294">
        <v>0</v>
      </c>
      <c r="AV1294">
        <v>0</v>
      </c>
      <c r="AW1294">
        <v>0</v>
      </c>
      <c r="AX1294">
        <v>0</v>
      </c>
      <c r="AY1294">
        <v>0</v>
      </c>
      <c r="AZ1294">
        <v>0</v>
      </c>
      <c r="BA1294">
        <v>0</v>
      </c>
      <c r="BB1294">
        <v>0</v>
      </c>
      <c r="BC1294">
        <v>0</v>
      </c>
      <c r="BD1294">
        <v>0</v>
      </c>
      <c r="BE1294">
        <v>0</v>
      </c>
      <c r="BF1294">
        <v>0</v>
      </c>
      <c r="BG1294">
        <v>0</v>
      </c>
      <c r="BH1294">
        <v>1</v>
      </c>
      <c r="BI1294">
        <v>1</v>
      </c>
      <c r="BJ1294">
        <v>0.2</v>
      </c>
      <c r="BK1294">
        <v>1</v>
      </c>
      <c r="BL1294">
        <v>71.69</v>
      </c>
      <c r="BM1294">
        <v>10.75</v>
      </c>
      <c r="BN1294">
        <v>82.44</v>
      </c>
      <c r="BO1294">
        <v>82.44</v>
      </c>
      <c r="BQ1294" t="s">
        <v>1116</v>
      </c>
      <c r="BR1294" t="s">
        <v>84</v>
      </c>
      <c r="BS1294" s="3">
        <v>45881</v>
      </c>
      <c r="BT1294" s="4">
        <v>0.3972222222222222</v>
      </c>
      <c r="BU1294" t="s">
        <v>2049</v>
      </c>
      <c r="BV1294" t="s">
        <v>86</v>
      </c>
      <c r="BY1294">
        <v>1200</v>
      </c>
      <c r="CC1294" t="s">
        <v>124</v>
      </c>
      <c r="CD1294">
        <v>7441</v>
      </c>
      <c r="CE1294" t="s">
        <v>109</v>
      </c>
      <c r="CF1294" s="3">
        <v>45882</v>
      </c>
      <c r="CI1294">
        <v>1</v>
      </c>
      <c r="CJ1294">
        <v>1</v>
      </c>
      <c r="CK1294">
        <v>21</v>
      </c>
      <c r="CL1294" t="s">
        <v>90</v>
      </c>
    </row>
    <row r="1295" spans="1:90" x14ac:dyDescent="0.3">
      <c r="A1295" t="s">
        <v>72</v>
      </c>
      <c r="B1295" t="s">
        <v>73</v>
      </c>
      <c r="C1295" t="s">
        <v>74</v>
      </c>
      <c r="E1295" t="str">
        <f>"080067149129"</f>
        <v>080067149129</v>
      </c>
      <c r="F1295" s="3">
        <v>45880</v>
      </c>
      <c r="G1295">
        <v>202605</v>
      </c>
      <c r="H1295" t="s">
        <v>75</v>
      </c>
      <c r="I1295" t="s">
        <v>76</v>
      </c>
      <c r="J1295" t="s">
        <v>77</v>
      </c>
      <c r="K1295" t="s">
        <v>78</v>
      </c>
      <c r="L1295" t="s">
        <v>198</v>
      </c>
      <c r="M1295" t="s">
        <v>199</v>
      </c>
      <c r="N1295" t="s">
        <v>598</v>
      </c>
      <c r="O1295" t="s">
        <v>82</v>
      </c>
      <c r="P1295" t="str">
        <f>"4170053901                    "</f>
        <v xml:space="preserve">4170053901                    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Q1295">
        <v>23.09</v>
      </c>
      <c r="AR1295">
        <v>0</v>
      </c>
      <c r="AS1295">
        <v>0</v>
      </c>
      <c r="AT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0</v>
      </c>
      <c r="BA1295">
        <v>0</v>
      </c>
      <c r="BB1295">
        <v>0</v>
      </c>
      <c r="BC1295">
        <v>0</v>
      </c>
      <c r="BD1295">
        <v>0</v>
      </c>
      <c r="BE1295">
        <v>0</v>
      </c>
      <c r="BF1295">
        <v>0</v>
      </c>
      <c r="BG1295">
        <v>0</v>
      </c>
      <c r="BH1295">
        <v>1</v>
      </c>
      <c r="BI1295">
        <v>1</v>
      </c>
      <c r="BJ1295">
        <v>0.2</v>
      </c>
      <c r="BK1295">
        <v>1</v>
      </c>
      <c r="BL1295">
        <v>71.69</v>
      </c>
      <c r="BM1295">
        <v>10.75</v>
      </c>
      <c r="BN1295">
        <v>82.44</v>
      </c>
      <c r="BO1295">
        <v>82.44</v>
      </c>
      <c r="BQ1295" t="s">
        <v>599</v>
      </c>
      <c r="BR1295" t="s">
        <v>84</v>
      </c>
      <c r="BS1295" s="3">
        <v>45881</v>
      </c>
      <c r="BT1295" s="4">
        <v>0.36041666666666666</v>
      </c>
      <c r="BU1295" t="s">
        <v>600</v>
      </c>
      <c r="BV1295" t="s">
        <v>86</v>
      </c>
      <c r="BY1295">
        <v>1200</v>
      </c>
      <c r="CA1295" t="s">
        <v>601</v>
      </c>
      <c r="CC1295" t="s">
        <v>199</v>
      </c>
      <c r="CD1295">
        <v>6001</v>
      </c>
      <c r="CE1295" t="s">
        <v>109</v>
      </c>
      <c r="CF1295" s="3">
        <v>45881</v>
      </c>
      <c r="CI1295">
        <v>1</v>
      </c>
      <c r="CJ1295">
        <v>1</v>
      </c>
      <c r="CK1295">
        <v>21</v>
      </c>
      <c r="CL1295" t="s">
        <v>90</v>
      </c>
    </row>
    <row r="1296" spans="1:90" x14ac:dyDescent="0.3">
      <c r="A1296" t="s">
        <v>72</v>
      </c>
      <c r="B1296" t="s">
        <v>73</v>
      </c>
      <c r="C1296" t="s">
        <v>74</v>
      </c>
      <c r="E1296" t="str">
        <f>"080067149167"</f>
        <v>080067149167</v>
      </c>
      <c r="F1296" s="3">
        <v>45880</v>
      </c>
      <c r="G1296">
        <v>202605</v>
      </c>
      <c r="H1296" t="s">
        <v>75</v>
      </c>
      <c r="I1296" t="s">
        <v>76</v>
      </c>
      <c r="J1296" t="s">
        <v>77</v>
      </c>
      <c r="K1296" t="s">
        <v>78</v>
      </c>
      <c r="L1296" t="s">
        <v>325</v>
      </c>
      <c r="M1296" t="s">
        <v>326</v>
      </c>
      <c r="N1296" t="s">
        <v>1209</v>
      </c>
      <c r="O1296" t="s">
        <v>82</v>
      </c>
      <c r="P1296" t="str">
        <f>"4170053963                    "</f>
        <v xml:space="preserve">4170053963                    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Q1296">
        <v>18.03</v>
      </c>
      <c r="AR1296">
        <v>0</v>
      </c>
      <c r="AS1296">
        <v>0</v>
      </c>
      <c r="AT1296">
        <v>0</v>
      </c>
      <c r="AU1296">
        <v>0</v>
      </c>
      <c r="AV1296">
        <v>0</v>
      </c>
      <c r="AW1296">
        <v>0</v>
      </c>
      <c r="AX1296">
        <v>0</v>
      </c>
      <c r="AY1296">
        <v>0</v>
      </c>
      <c r="AZ1296">
        <v>0</v>
      </c>
      <c r="BA1296">
        <v>0</v>
      </c>
      <c r="BB1296">
        <v>0</v>
      </c>
      <c r="BC1296">
        <v>0</v>
      </c>
      <c r="BD1296">
        <v>0</v>
      </c>
      <c r="BE1296">
        <v>0</v>
      </c>
      <c r="BF1296">
        <v>0</v>
      </c>
      <c r="BG1296">
        <v>0</v>
      </c>
      <c r="BH1296">
        <v>1</v>
      </c>
      <c r="BI1296">
        <v>1</v>
      </c>
      <c r="BJ1296">
        <v>0.2</v>
      </c>
      <c r="BK1296">
        <v>1</v>
      </c>
      <c r="BL1296">
        <v>55.99</v>
      </c>
      <c r="BM1296">
        <v>8.4</v>
      </c>
      <c r="BN1296">
        <v>64.39</v>
      </c>
      <c r="BO1296">
        <v>64.39</v>
      </c>
      <c r="BQ1296" t="s">
        <v>1210</v>
      </c>
      <c r="BR1296" t="s">
        <v>84</v>
      </c>
      <c r="BS1296" s="3">
        <v>45882</v>
      </c>
      <c r="BT1296" s="4">
        <v>0.45416666666666666</v>
      </c>
      <c r="BU1296" t="s">
        <v>176</v>
      </c>
      <c r="BV1296" t="s">
        <v>90</v>
      </c>
      <c r="BW1296" t="s">
        <v>2050</v>
      </c>
      <c r="BX1296" t="s">
        <v>1234</v>
      </c>
      <c r="BY1296">
        <v>1200</v>
      </c>
      <c r="CA1296" t="s">
        <v>177</v>
      </c>
      <c r="CC1296" t="s">
        <v>326</v>
      </c>
      <c r="CD1296">
        <v>2190</v>
      </c>
      <c r="CE1296" t="s">
        <v>109</v>
      </c>
      <c r="CI1296">
        <v>1</v>
      </c>
      <c r="CJ1296">
        <v>2</v>
      </c>
      <c r="CK1296">
        <v>22</v>
      </c>
      <c r="CL1296" t="s">
        <v>90</v>
      </c>
    </row>
    <row r="1297" spans="1:90" x14ac:dyDescent="0.3">
      <c r="A1297" t="s">
        <v>72</v>
      </c>
      <c r="B1297" t="s">
        <v>73</v>
      </c>
      <c r="C1297" t="s">
        <v>74</v>
      </c>
      <c r="E1297" t="str">
        <f>"080067149199"</f>
        <v>080067149199</v>
      </c>
      <c r="F1297" s="3">
        <v>45880</v>
      </c>
      <c r="G1297">
        <v>202605</v>
      </c>
      <c r="H1297" t="s">
        <v>75</v>
      </c>
      <c r="I1297" t="s">
        <v>76</v>
      </c>
      <c r="J1297" t="s">
        <v>77</v>
      </c>
      <c r="K1297" t="s">
        <v>78</v>
      </c>
      <c r="L1297" t="s">
        <v>123</v>
      </c>
      <c r="M1297" t="s">
        <v>124</v>
      </c>
      <c r="N1297" t="s">
        <v>125</v>
      </c>
      <c r="O1297" t="s">
        <v>82</v>
      </c>
      <c r="P1297" t="str">
        <f>"4170053974                    "</f>
        <v xml:space="preserve">4170053974                    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Q1297">
        <v>23.09</v>
      </c>
      <c r="AR1297">
        <v>0</v>
      </c>
      <c r="AS1297">
        <v>0</v>
      </c>
      <c r="AT1297">
        <v>0</v>
      </c>
      <c r="AU1297">
        <v>0</v>
      </c>
      <c r="AV1297">
        <v>0</v>
      </c>
      <c r="AW1297">
        <v>0</v>
      </c>
      <c r="AX1297">
        <v>0</v>
      </c>
      <c r="AY1297">
        <v>0</v>
      </c>
      <c r="AZ1297">
        <v>0</v>
      </c>
      <c r="BA1297">
        <v>0</v>
      </c>
      <c r="BB1297">
        <v>0</v>
      </c>
      <c r="BC1297">
        <v>0</v>
      </c>
      <c r="BD1297">
        <v>0</v>
      </c>
      <c r="BE1297">
        <v>0</v>
      </c>
      <c r="BF1297">
        <v>0</v>
      </c>
      <c r="BG1297">
        <v>0</v>
      </c>
      <c r="BH1297">
        <v>1</v>
      </c>
      <c r="BI1297">
        <v>1</v>
      </c>
      <c r="BJ1297">
        <v>0.2</v>
      </c>
      <c r="BK1297">
        <v>1</v>
      </c>
      <c r="BL1297">
        <v>71.69</v>
      </c>
      <c r="BM1297">
        <v>10.75</v>
      </c>
      <c r="BN1297">
        <v>82.44</v>
      </c>
      <c r="BO1297">
        <v>82.44</v>
      </c>
      <c r="BQ1297" t="s">
        <v>126</v>
      </c>
      <c r="BR1297" t="s">
        <v>84</v>
      </c>
      <c r="BS1297" s="3">
        <v>45881</v>
      </c>
      <c r="BT1297" s="4">
        <v>0.34097222222222223</v>
      </c>
      <c r="BU1297" t="s">
        <v>605</v>
      </c>
      <c r="BV1297" t="s">
        <v>86</v>
      </c>
      <c r="BY1297">
        <v>1200</v>
      </c>
      <c r="CA1297" t="s">
        <v>128</v>
      </c>
      <c r="CC1297" t="s">
        <v>124</v>
      </c>
      <c r="CD1297">
        <v>7530</v>
      </c>
      <c r="CE1297" t="s">
        <v>109</v>
      </c>
      <c r="CF1297" s="3">
        <v>45882</v>
      </c>
      <c r="CI1297">
        <v>1</v>
      </c>
      <c r="CJ1297">
        <v>1</v>
      </c>
      <c r="CK1297">
        <v>21</v>
      </c>
      <c r="CL1297" t="s">
        <v>90</v>
      </c>
    </row>
    <row r="1298" spans="1:90" x14ac:dyDescent="0.3">
      <c r="A1298" t="s">
        <v>72</v>
      </c>
      <c r="B1298" t="s">
        <v>73</v>
      </c>
      <c r="C1298" t="s">
        <v>74</v>
      </c>
      <c r="E1298" t="str">
        <f>"080067149227"</f>
        <v>080067149227</v>
      </c>
      <c r="F1298" s="3">
        <v>45880</v>
      </c>
      <c r="G1298">
        <v>202605</v>
      </c>
      <c r="H1298" t="s">
        <v>75</v>
      </c>
      <c r="I1298" t="s">
        <v>76</v>
      </c>
      <c r="J1298" t="s">
        <v>77</v>
      </c>
      <c r="K1298" t="s">
        <v>78</v>
      </c>
      <c r="L1298" t="s">
        <v>129</v>
      </c>
      <c r="M1298" t="s">
        <v>130</v>
      </c>
      <c r="N1298" t="s">
        <v>131</v>
      </c>
      <c r="O1298" t="s">
        <v>82</v>
      </c>
      <c r="P1298" t="str">
        <f>"4170053987                    "</f>
        <v xml:space="preserve">4170053987                    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>
        <v>28.85</v>
      </c>
      <c r="AR1298">
        <v>0</v>
      </c>
      <c r="AS1298">
        <v>0</v>
      </c>
      <c r="AT1298">
        <v>0</v>
      </c>
      <c r="AU1298">
        <v>0</v>
      </c>
      <c r="AV1298">
        <v>0</v>
      </c>
      <c r="AW1298">
        <v>0</v>
      </c>
      <c r="AX1298">
        <v>0</v>
      </c>
      <c r="AY1298">
        <v>0</v>
      </c>
      <c r="AZ1298">
        <v>0</v>
      </c>
      <c r="BA1298">
        <v>0</v>
      </c>
      <c r="BB1298">
        <v>0</v>
      </c>
      <c r="BC1298">
        <v>0</v>
      </c>
      <c r="BD1298">
        <v>0</v>
      </c>
      <c r="BE1298">
        <v>0</v>
      </c>
      <c r="BF1298">
        <v>0</v>
      </c>
      <c r="BG1298">
        <v>0</v>
      </c>
      <c r="BH1298">
        <v>1</v>
      </c>
      <c r="BI1298">
        <v>2</v>
      </c>
      <c r="BJ1298">
        <v>2.4</v>
      </c>
      <c r="BK1298">
        <v>2.5</v>
      </c>
      <c r="BL1298">
        <v>89.59</v>
      </c>
      <c r="BM1298">
        <v>13.44</v>
      </c>
      <c r="BN1298">
        <v>103.03</v>
      </c>
      <c r="BO1298">
        <v>103.03</v>
      </c>
      <c r="BQ1298" t="s">
        <v>132</v>
      </c>
      <c r="BR1298" t="s">
        <v>84</v>
      </c>
      <c r="BS1298" s="3">
        <v>45881</v>
      </c>
      <c r="BT1298" s="4">
        <v>0.5</v>
      </c>
      <c r="BU1298" t="s">
        <v>133</v>
      </c>
      <c r="BV1298" t="s">
        <v>90</v>
      </c>
      <c r="BW1298" t="s">
        <v>134</v>
      </c>
      <c r="BX1298" t="s">
        <v>135</v>
      </c>
      <c r="BY1298">
        <v>11760</v>
      </c>
      <c r="CA1298" t="s">
        <v>136</v>
      </c>
      <c r="CC1298" t="s">
        <v>130</v>
      </c>
      <c r="CD1298">
        <v>4133</v>
      </c>
      <c r="CE1298" t="s">
        <v>117</v>
      </c>
      <c r="CF1298" s="3">
        <v>45882</v>
      </c>
      <c r="CI1298">
        <v>1</v>
      </c>
      <c r="CJ1298">
        <v>1</v>
      </c>
      <c r="CK1298">
        <v>21</v>
      </c>
      <c r="CL1298" t="s">
        <v>90</v>
      </c>
    </row>
    <row r="1299" spans="1:90" x14ac:dyDescent="0.3">
      <c r="A1299" t="s">
        <v>72</v>
      </c>
      <c r="B1299" t="s">
        <v>73</v>
      </c>
      <c r="C1299" t="s">
        <v>74</v>
      </c>
      <c r="E1299" t="str">
        <f>"080067149229"</f>
        <v>080067149229</v>
      </c>
      <c r="F1299" s="3">
        <v>45880</v>
      </c>
      <c r="G1299">
        <v>202605</v>
      </c>
      <c r="H1299" t="s">
        <v>75</v>
      </c>
      <c r="I1299" t="s">
        <v>76</v>
      </c>
      <c r="J1299" t="s">
        <v>77</v>
      </c>
      <c r="K1299" t="s">
        <v>78</v>
      </c>
      <c r="L1299" t="s">
        <v>335</v>
      </c>
      <c r="M1299" t="s">
        <v>336</v>
      </c>
      <c r="N1299" t="s">
        <v>727</v>
      </c>
      <c r="O1299" t="s">
        <v>82</v>
      </c>
      <c r="P1299" t="str">
        <f>"4170053984                    "</f>
        <v xml:space="preserve">4170053984                    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44.73</v>
      </c>
      <c r="AR1299">
        <v>0</v>
      </c>
      <c r="AS1299">
        <v>0</v>
      </c>
      <c r="AT1299">
        <v>0</v>
      </c>
      <c r="AU1299">
        <v>0</v>
      </c>
      <c r="AV1299">
        <v>0</v>
      </c>
      <c r="AW1299">
        <v>0</v>
      </c>
      <c r="AX1299">
        <v>0</v>
      </c>
      <c r="AY1299">
        <v>0</v>
      </c>
      <c r="AZ1299">
        <v>0</v>
      </c>
      <c r="BA1299">
        <v>0</v>
      </c>
      <c r="BB1299">
        <v>0</v>
      </c>
      <c r="BC1299">
        <v>0</v>
      </c>
      <c r="BD1299">
        <v>0</v>
      </c>
      <c r="BE1299">
        <v>0</v>
      </c>
      <c r="BF1299">
        <v>0</v>
      </c>
      <c r="BG1299">
        <v>0</v>
      </c>
      <c r="BH1299">
        <v>1</v>
      </c>
      <c r="BI1299">
        <v>1</v>
      </c>
      <c r="BJ1299">
        <v>0.2</v>
      </c>
      <c r="BK1299">
        <v>1</v>
      </c>
      <c r="BL1299">
        <v>138.88999999999999</v>
      </c>
      <c r="BM1299">
        <v>20.83</v>
      </c>
      <c r="BN1299">
        <v>159.72</v>
      </c>
      <c r="BO1299">
        <v>159.72</v>
      </c>
      <c r="BQ1299" t="s">
        <v>728</v>
      </c>
      <c r="BR1299" t="s">
        <v>84</v>
      </c>
      <c r="BS1299" s="3">
        <v>45881</v>
      </c>
      <c r="BT1299" s="4">
        <v>0.43611111111111112</v>
      </c>
      <c r="BU1299" t="s">
        <v>1587</v>
      </c>
      <c r="BV1299" t="s">
        <v>86</v>
      </c>
      <c r="BY1299">
        <v>1200</v>
      </c>
      <c r="CA1299" t="s">
        <v>730</v>
      </c>
      <c r="CC1299" t="s">
        <v>336</v>
      </c>
      <c r="CD1299" s="5" t="s">
        <v>341</v>
      </c>
      <c r="CE1299" t="s">
        <v>109</v>
      </c>
      <c r="CF1299" s="3">
        <v>45882</v>
      </c>
      <c r="CI1299">
        <v>1</v>
      </c>
      <c r="CJ1299">
        <v>1</v>
      </c>
      <c r="CK1299">
        <v>23</v>
      </c>
      <c r="CL1299" t="s">
        <v>90</v>
      </c>
    </row>
    <row r="1300" spans="1:90" x14ac:dyDescent="0.3">
      <c r="A1300" t="s">
        <v>72</v>
      </c>
      <c r="B1300" t="s">
        <v>73</v>
      </c>
      <c r="C1300" t="s">
        <v>74</v>
      </c>
      <c r="E1300" t="str">
        <f>"080067149258"</f>
        <v>080067149258</v>
      </c>
      <c r="F1300" s="3">
        <v>45880</v>
      </c>
      <c r="G1300">
        <v>202605</v>
      </c>
      <c r="H1300" t="s">
        <v>75</v>
      </c>
      <c r="I1300" t="s">
        <v>76</v>
      </c>
      <c r="J1300" t="s">
        <v>77</v>
      </c>
      <c r="K1300" t="s">
        <v>78</v>
      </c>
      <c r="L1300" t="s">
        <v>198</v>
      </c>
      <c r="M1300" t="s">
        <v>199</v>
      </c>
      <c r="N1300" t="s">
        <v>680</v>
      </c>
      <c r="O1300" t="s">
        <v>82</v>
      </c>
      <c r="P1300" t="str">
        <f>"4170053888                    "</f>
        <v xml:space="preserve">4170053888                    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>
        <v>23.09</v>
      </c>
      <c r="AR1300">
        <v>0</v>
      </c>
      <c r="AS1300">
        <v>0</v>
      </c>
      <c r="AT1300">
        <v>0</v>
      </c>
      <c r="AU1300">
        <v>0</v>
      </c>
      <c r="AV1300">
        <v>0</v>
      </c>
      <c r="AW1300">
        <v>0</v>
      </c>
      <c r="AX1300">
        <v>0</v>
      </c>
      <c r="AY1300">
        <v>0</v>
      </c>
      <c r="AZ1300">
        <v>0</v>
      </c>
      <c r="BA1300">
        <v>0</v>
      </c>
      <c r="BB1300">
        <v>0</v>
      </c>
      <c r="BC1300">
        <v>0</v>
      </c>
      <c r="BD1300">
        <v>0</v>
      </c>
      <c r="BE1300">
        <v>0</v>
      </c>
      <c r="BF1300">
        <v>0</v>
      </c>
      <c r="BG1300">
        <v>0</v>
      </c>
      <c r="BH1300">
        <v>1</v>
      </c>
      <c r="BI1300">
        <v>1</v>
      </c>
      <c r="BJ1300">
        <v>0.2</v>
      </c>
      <c r="BK1300">
        <v>1</v>
      </c>
      <c r="BL1300">
        <v>71.69</v>
      </c>
      <c r="BM1300">
        <v>10.75</v>
      </c>
      <c r="BN1300">
        <v>82.44</v>
      </c>
      <c r="BO1300">
        <v>82.44</v>
      </c>
      <c r="BQ1300" t="s">
        <v>681</v>
      </c>
      <c r="BR1300" t="s">
        <v>84</v>
      </c>
      <c r="BS1300" s="3">
        <v>45881</v>
      </c>
      <c r="BT1300" s="4">
        <v>0.38750000000000001</v>
      </c>
      <c r="BU1300" t="s">
        <v>682</v>
      </c>
      <c r="BV1300" t="s">
        <v>86</v>
      </c>
      <c r="BY1300">
        <v>1200</v>
      </c>
      <c r="CA1300" t="s">
        <v>413</v>
      </c>
      <c r="CC1300" t="s">
        <v>199</v>
      </c>
      <c r="CD1300">
        <v>6001</v>
      </c>
      <c r="CE1300" t="s">
        <v>109</v>
      </c>
      <c r="CF1300" s="3">
        <v>45881</v>
      </c>
      <c r="CI1300">
        <v>1</v>
      </c>
      <c r="CJ1300">
        <v>1</v>
      </c>
      <c r="CK1300">
        <v>21</v>
      </c>
      <c r="CL1300" t="s">
        <v>90</v>
      </c>
    </row>
    <row r="1301" spans="1:90" x14ac:dyDescent="0.3">
      <c r="A1301" t="s">
        <v>72</v>
      </c>
      <c r="B1301" t="s">
        <v>73</v>
      </c>
      <c r="C1301" t="s">
        <v>74</v>
      </c>
      <c r="E1301" t="str">
        <f>"080067149297"</f>
        <v>080067149297</v>
      </c>
      <c r="F1301" s="3">
        <v>45880</v>
      </c>
      <c r="G1301">
        <v>202605</v>
      </c>
      <c r="H1301" t="s">
        <v>75</v>
      </c>
      <c r="I1301" t="s">
        <v>76</v>
      </c>
      <c r="J1301" t="s">
        <v>77</v>
      </c>
      <c r="K1301" t="s">
        <v>78</v>
      </c>
      <c r="L1301" t="s">
        <v>198</v>
      </c>
      <c r="M1301" t="s">
        <v>199</v>
      </c>
      <c r="N1301" t="s">
        <v>667</v>
      </c>
      <c r="O1301" t="s">
        <v>82</v>
      </c>
      <c r="P1301" t="str">
        <f>"4170053926                    "</f>
        <v xml:space="preserve">4170053926                    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Q1301">
        <v>23.09</v>
      </c>
      <c r="AR1301">
        <v>0</v>
      </c>
      <c r="AS1301">
        <v>0</v>
      </c>
      <c r="AT1301">
        <v>0</v>
      </c>
      <c r="AU1301">
        <v>0</v>
      </c>
      <c r="AV1301">
        <v>0</v>
      </c>
      <c r="AW1301">
        <v>0</v>
      </c>
      <c r="AX1301">
        <v>0</v>
      </c>
      <c r="AY1301">
        <v>0</v>
      </c>
      <c r="AZ1301">
        <v>0</v>
      </c>
      <c r="BA1301">
        <v>0</v>
      </c>
      <c r="BB1301">
        <v>0</v>
      </c>
      <c r="BC1301">
        <v>0</v>
      </c>
      <c r="BD1301">
        <v>0</v>
      </c>
      <c r="BE1301">
        <v>0</v>
      </c>
      <c r="BF1301">
        <v>0</v>
      </c>
      <c r="BG1301">
        <v>0</v>
      </c>
      <c r="BH1301">
        <v>1</v>
      </c>
      <c r="BI1301">
        <v>1</v>
      </c>
      <c r="BJ1301">
        <v>0.2</v>
      </c>
      <c r="BK1301">
        <v>1</v>
      </c>
      <c r="BL1301">
        <v>71.69</v>
      </c>
      <c r="BM1301">
        <v>10.75</v>
      </c>
      <c r="BN1301">
        <v>82.44</v>
      </c>
      <c r="BO1301">
        <v>82.44</v>
      </c>
      <c r="BQ1301" t="s">
        <v>668</v>
      </c>
      <c r="BR1301" t="s">
        <v>84</v>
      </c>
      <c r="BS1301" s="3">
        <v>45881</v>
      </c>
      <c r="BT1301" s="4">
        <v>0.32708333333333334</v>
      </c>
      <c r="BU1301" t="s">
        <v>432</v>
      </c>
      <c r="BV1301" t="s">
        <v>86</v>
      </c>
      <c r="BY1301">
        <v>1200</v>
      </c>
      <c r="CC1301" t="s">
        <v>199</v>
      </c>
      <c r="CD1301">
        <v>6001</v>
      </c>
      <c r="CE1301" t="s">
        <v>109</v>
      </c>
      <c r="CF1301" s="3">
        <v>45881</v>
      </c>
      <c r="CI1301">
        <v>1</v>
      </c>
      <c r="CJ1301">
        <v>1</v>
      </c>
      <c r="CK1301">
        <v>21</v>
      </c>
      <c r="CL1301" t="s">
        <v>90</v>
      </c>
    </row>
    <row r="1302" spans="1:90" x14ac:dyDescent="0.3">
      <c r="A1302" t="s">
        <v>72</v>
      </c>
      <c r="B1302" t="s">
        <v>73</v>
      </c>
      <c r="C1302" t="s">
        <v>74</v>
      </c>
      <c r="E1302" t="str">
        <f>"080067149299"</f>
        <v>080067149299</v>
      </c>
      <c r="F1302" s="3">
        <v>45880</v>
      </c>
      <c r="G1302">
        <v>202605</v>
      </c>
      <c r="H1302" t="s">
        <v>75</v>
      </c>
      <c r="I1302" t="s">
        <v>76</v>
      </c>
      <c r="J1302" t="s">
        <v>77</v>
      </c>
      <c r="K1302" t="s">
        <v>78</v>
      </c>
      <c r="L1302" t="s">
        <v>255</v>
      </c>
      <c r="M1302" t="s">
        <v>256</v>
      </c>
      <c r="N1302" t="s">
        <v>884</v>
      </c>
      <c r="O1302" t="s">
        <v>113</v>
      </c>
      <c r="P1302" t="str">
        <f>"4170053944                    "</f>
        <v xml:space="preserve">4170053944                    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>
        <v>24.11</v>
      </c>
      <c r="AR1302">
        <v>0</v>
      </c>
      <c r="AS1302">
        <v>0</v>
      </c>
      <c r="AT1302">
        <v>0</v>
      </c>
      <c r="AU1302">
        <v>0</v>
      </c>
      <c r="AV1302">
        <v>0</v>
      </c>
      <c r="AW1302">
        <v>0</v>
      </c>
      <c r="AX1302">
        <v>0</v>
      </c>
      <c r="AY1302">
        <v>0</v>
      </c>
      <c r="AZ1302">
        <v>0</v>
      </c>
      <c r="BA1302">
        <v>0</v>
      </c>
      <c r="BB1302">
        <v>0</v>
      </c>
      <c r="BC1302">
        <v>0</v>
      </c>
      <c r="BD1302">
        <v>0</v>
      </c>
      <c r="BE1302">
        <v>0</v>
      </c>
      <c r="BF1302">
        <v>0</v>
      </c>
      <c r="BG1302">
        <v>0</v>
      </c>
      <c r="BH1302">
        <v>1</v>
      </c>
      <c r="BI1302">
        <v>11</v>
      </c>
      <c r="BJ1302">
        <v>6.8</v>
      </c>
      <c r="BK1302">
        <v>11</v>
      </c>
      <c r="BL1302">
        <v>74.86</v>
      </c>
      <c r="BM1302">
        <v>11.23</v>
      </c>
      <c r="BN1302">
        <v>86.09</v>
      </c>
      <c r="BO1302">
        <v>86.09</v>
      </c>
      <c r="BQ1302" t="s">
        <v>885</v>
      </c>
      <c r="BR1302" t="s">
        <v>84</v>
      </c>
      <c r="BS1302" s="3">
        <v>45881</v>
      </c>
      <c r="BT1302" s="4">
        <v>0.52083333333333337</v>
      </c>
      <c r="BU1302" t="s">
        <v>2051</v>
      </c>
      <c r="BV1302" t="s">
        <v>86</v>
      </c>
      <c r="BY1302">
        <v>34048</v>
      </c>
      <c r="CA1302" t="s">
        <v>623</v>
      </c>
      <c r="CC1302" t="s">
        <v>256</v>
      </c>
      <c r="CD1302">
        <v>1502</v>
      </c>
      <c r="CE1302" t="s">
        <v>147</v>
      </c>
      <c r="CF1302" s="3">
        <v>45882</v>
      </c>
      <c r="CI1302">
        <v>1</v>
      </c>
      <c r="CJ1302">
        <v>1</v>
      </c>
      <c r="CK1302">
        <v>32</v>
      </c>
      <c r="CL1302" t="s">
        <v>90</v>
      </c>
    </row>
    <row r="1303" spans="1:90" x14ac:dyDescent="0.3">
      <c r="A1303" t="s">
        <v>72</v>
      </c>
      <c r="B1303" t="s">
        <v>73</v>
      </c>
      <c r="C1303" t="s">
        <v>74</v>
      </c>
      <c r="E1303" t="str">
        <f>"080067149320"</f>
        <v>080067149320</v>
      </c>
      <c r="F1303" s="3">
        <v>45880</v>
      </c>
      <c r="G1303">
        <v>202605</v>
      </c>
      <c r="H1303" t="s">
        <v>75</v>
      </c>
      <c r="I1303" t="s">
        <v>76</v>
      </c>
      <c r="J1303" t="s">
        <v>77</v>
      </c>
      <c r="K1303" t="s">
        <v>78</v>
      </c>
      <c r="L1303" t="s">
        <v>198</v>
      </c>
      <c r="M1303" t="s">
        <v>199</v>
      </c>
      <c r="N1303" t="s">
        <v>680</v>
      </c>
      <c r="O1303" t="s">
        <v>82</v>
      </c>
      <c r="P1303" t="str">
        <f>"4170053885                    "</f>
        <v xml:space="preserve">4170053885                    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>
        <v>23.09</v>
      </c>
      <c r="AR1303">
        <v>0</v>
      </c>
      <c r="AS1303">
        <v>0</v>
      </c>
      <c r="AT1303">
        <v>0</v>
      </c>
      <c r="AU1303">
        <v>0</v>
      </c>
      <c r="AV1303">
        <v>0</v>
      </c>
      <c r="AW1303">
        <v>0</v>
      </c>
      <c r="AX1303">
        <v>0</v>
      </c>
      <c r="AY1303">
        <v>0</v>
      </c>
      <c r="AZ1303">
        <v>0</v>
      </c>
      <c r="BA1303">
        <v>0</v>
      </c>
      <c r="BB1303">
        <v>0</v>
      </c>
      <c r="BC1303">
        <v>0</v>
      </c>
      <c r="BD1303">
        <v>0</v>
      </c>
      <c r="BE1303">
        <v>0</v>
      </c>
      <c r="BF1303">
        <v>0</v>
      </c>
      <c r="BG1303">
        <v>0</v>
      </c>
      <c r="BH1303">
        <v>1</v>
      </c>
      <c r="BI1303">
        <v>1</v>
      </c>
      <c r="BJ1303">
        <v>0.2</v>
      </c>
      <c r="BK1303">
        <v>1</v>
      </c>
      <c r="BL1303">
        <v>71.69</v>
      </c>
      <c r="BM1303">
        <v>10.75</v>
      </c>
      <c r="BN1303">
        <v>82.44</v>
      </c>
      <c r="BO1303">
        <v>82.44</v>
      </c>
      <c r="BQ1303" t="s">
        <v>681</v>
      </c>
      <c r="BR1303" t="s">
        <v>84</v>
      </c>
      <c r="BS1303" s="3">
        <v>45881</v>
      </c>
      <c r="BT1303" s="4">
        <v>0.38750000000000001</v>
      </c>
      <c r="BU1303" t="s">
        <v>682</v>
      </c>
      <c r="BV1303" t="s">
        <v>86</v>
      </c>
      <c r="BY1303">
        <v>1200</v>
      </c>
      <c r="CA1303" t="s">
        <v>413</v>
      </c>
      <c r="CC1303" t="s">
        <v>199</v>
      </c>
      <c r="CD1303">
        <v>6001</v>
      </c>
      <c r="CE1303" t="s">
        <v>109</v>
      </c>
      <c r="CF1303" s="3">
        <v>45881</v>
      </c>
      <c r="CI1303">
        <v>1</v>
      </c>
      <c r="CJ1303">
        <v>1</v>
      </c>
      <c r="CK1303">
        <v>21</v>
      </c>
      <c r="CL1303" t="s">
        <v>90</v>
      </c>
    </row>
    <row r="1304" spans="1:90" x14ac:dyDescent="0.3">
      <c r="A1304" t="s">
        <v>72</v>
      </c>
      <c r="B1304" t="s">
        <v>73</v>
      </c>
      <c r="C1304" t="s">
        <v>74</v>
      </c>
      <c r="E1304" t="str">
        <f>"080067149355"</f>
        <v>080067149355</v>
      </c>
      <c r="F1304" s="3">
        <v>45880</v>
      </c>
      <c r="G1304">
        <v>202605</v>
      </c>
      <c r="H1304" t="s">
        <v>75</v>
      </c>
      <c r="I1304" t="s">
        <v>76</v>
      </c>
      <c r="J1304" t="s">
        <v>77</v>
      </c>
      <c r="K1304" t="s">
        <v>78</v>
      </c>
      <c r="L1304" t="s">
        <v>123</v>
      </c>
      <c r="M1304" t="s">
        <v>124</v>
      </c>
      <c r="N1304" t="s">
        <v>2052</v>
      </c>
      <c r="O1304" t="s">
        <v>82</v>
      </c>
      <c r="P1304" t="str">
        <f>"4170053977                    "</f>
        <v xml:space="preserve">4170053977                    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>
        <v>23.09</v>
      </c>
      <c r="AR1304">
        <v>0</v>
      </c>
      <c r="AS1304">
        <v>0</v>
      </c>
      <c r="AT1304">
        <v>0</v>
      </c>
      <c r="AU1304">
        <v>0</v>
      </c>
      <c r="AV1304">
        <v>0</v>
      </c>
      <c r="AW1304">
        <v>0</v>
      </c>
      <c r="AX1304">
        <v>0</v>
      </c>
      <c r="AY1304">
        <v>0</v>
      </c>
      <c r="AZ1304">
        <v>0</v>
      </c>
      <c r="BA1304">
        <v>0</v>
      </c>
      <c r="BB1304">
        <v>0</v>
      </c>
      <c r="BC1304">
        <v>0</v>
      </c>
      <c r="BD1304">
        <v>0</v>
      </c>
      <c r="BE1304">
        <v>0</v>
      </c>
      <c r="BF1304">
        <v>0</v>
      </c>
      <c r="BG1304">
        <v>0</v>
      </c>
      <c r="BH1304">
        <v>1</v>
      </c>
      <c r="BI1304">
        <v>1</v>
      </c>
      <c r="BJ1304">
        <v>0.2</v>
      </c>
      <c r="BK1304">
        <v>1</v>
      </c>
      <c r="BL1304">
        <v>71.69</v>
      </c>
      <c r="BM1304">
        <v>10.75</v>
      </c>
      <c r="BN1304">
        <v>82.44</v>
      </c>
      <c r="BO1304">
        <v>82.44</v>
      </c>
      <c r="BQ1304" t="s">
        <v>2053</v>
      </c>
      <c r="BR1304" t="s">
        <v>84</v>
      </c>
      <c r="BS1304" s="3">
        <v>45881</v>
      </c>
      <c r="BT1304" s="4">
        <v>0.40625</v>
      </c>
      <c r="BU1304" t="s">
        <v>2054</v>
      </c>
      <c r="BV1304" t="s">
        <v>86</v>
      </c>
      <c r="BY1304">
        <v>1200</v>
      </c>
      <c r="CA1304" t="s">
        <v>1238</v>
      </c>
      <c r="CC1304" t="s">
        <v>124</v>
      </c>
      <c r="CD1304">
        <v>7460</v>
      </c>
      <c r="CE1304" t="s">
        <v>109</v>
      </c>
      <c r="CF1304" s="3">
        <v>45882</v>
      </c>
      <c r="CI1304">
        <v>1</v>
      </c>
      <c r="CJ1304">
        <v>1</v>
      </c>
      <c r="CK1304">
        <v>21</v>
      </c>
      <c r="CL1304" t="s">
        <v>90</v>
      </c>
    </row>
    <row r="1305" spans="1:90" x14ac:dyDescent="0.3">
      <c r="A1305" t="s">
        <v>72</v>
      </c>
      <c r="B1305" t="s">
        <v>73</v>
      </c>
      <c r="C1305" t="s">
        <v>74</v>
      </c>
      <c r="E1305" t="str">
        <f>"080067149397"</f>
        <v>080067149397</v>
      </c>
      <c r="F1305" s="3">
        <v>45880</v>
      </c>
      <c r="G1305">
        <v>202605</v>
      </c>
      <c r="H1305" t="s">
        <v>75</v>
      </c>
      <c r="I1305" t="s">
        <v>76</v>
      </c>
      <c r="J1305" t="s">
        <v>77</v>
      </c>
      <c r="K1305" t="s">
        <v>78</v>
      </c>
      <c r="L1305" t="s">
        <v>156</v>
      </c>
      <c r="M1305" t="s">
        <v>157</v>
      </c>
      <c r="N1305" t="s">
        <v>158</v>
      </c>
      <c r="O1305" t="s">
        <v>82</v>
      </c>
      <c r="P1305" t="str">
        <f>"4170053935                    "</f>
        <v xml:space="preserve">4170053935                    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Q1305">
        <v>18.03</v>
      </c>
      <c r="AR1305">
        <v>0</v>
      </c>
      <c r="AS1305">
        <v>0</v>
      </c>
      <c r="AT1305">
        <v>0</v>
      </c>
      <c r="AU1305">
        <v>0</v>
      </c>
      <c r="AV1305">
        <v>0</v>
      </c>
      <c r="AW1305">
        <v>0</v>
      </c>
      <c r="AX1305">
        <v>0</v>
      </c>
      <c r="AY1305">
        <v>0</v>
      </c>
      <c r="AZ1305">
        <v>0</v>
      </c>
      <c r="BA1305">
        <v>0</v>
      </c>
      <c r="BB1305">
        <v>0</v>
      </c>
      <c r="BC1305">
        <v>0</v>
      </c>
      <c r="BD1305">
        <v>0</v>
      </c>
      <c r="BE1305">
        <v>0</v>
      </c>
      <c r="BF1305">
        <v>0</v>
      </c>
      <c r="BG1305">
        <v>0</v>
      </c>
      <c r="BH1305">
        <v>1</v>
      </c>
      <c r="BI1305">
        <v>1</v>
      </c>
      <c r="BJ1305">
        <v>1.1000000000000001</v>
      </c>
      <c r="BK1305">
        <v>2</v>
      </c>
      <c r="BL1305">
        <v>55.99</v>
      </c>
      <c r="BM1305">
        <v>8.4</v>
      </c>
      <c r="BN1305">
        <v>64.39</v>
      </c>
      <c r="BO1305">
        <v>64.39</v>
      </c>
      <c r="BQ1305" t="s">
        <v>159</v>
      </c>
      <c r="BR1305" t="s">
        <v>84</v>
      </c>
      <c r="BS1305" s="3">
        <v>45881</v>
      </c>
      <c r="BT1305" s="4">
        <v>0.33402777777777776</v>
      </c>
      <c r="BU1305" t="s">
        <v>160</v>
      </c>
      <c r="BV1305" t="s">
        <v>86</v>
      </c>
      <c r="BY1305">
        <v>5320</v>
      </c>
      <c r="CA1305" t="s">
        <v>161</v>
      </c>
      <c r="CC1305" t="s">
        <v>157</v>
      </c>
      <c r="CD1305">
        <v>1724</v>
      </c>
      <c r="CE1305" t="s">
        <v>147</v>
      </c>
      <c r="CF1305" s="3">
        <v>45882</v>
      </c>
      <c r="CI1305">
        <v>1</v>
      </c>
      <c r="CJ1305">
        <v>1</v>
      </c>
      <c r="CK1305">
        <v>22</v>
      </c>
      <c r="CL1305" t="s">
        <v>90</v>
      </c>
    </row>
    <row r="1306" spans="1:90" x14ac:dyDescent="0.3">
      <c r="A1306" t="s">
        <v>72</v>
      </c>
      <c r="B1306" t="s">
        <v>73</v>
      </c>
      <c r="C1306" t="s">
        <v>74</v>
      </c>
      <c r="E1306" t="str">
        <f>"080067149454"</f>
        <v>080067149454</v>
      </c>
      <c r="F1306" s="3">
        <v>45880</v>
      </c>
      <c r="G1306">
        <v>202605</v>
      </c>
      <c r="H1306" t="s">
        <v>75</v>
      </c>
      <c r="I1306" t="s">
        <v>76</v>
      </c>
      <c r="J1306" t="s">
        <v>77</v>
      </c>
      <c r="K1306" t="s">
        <v>78</v>
      </c>
      <c r="L1306" t="s">
        <v>400</v>
      </c>
      <c r="M1306" t="s">
        <v>401</v>
      </c>
      <c r="N1306" t="s">
        <v>1597</v>
      </c>
      <c r="O1306" t="s">
        <v>82</v>
      </c>
      <c r="P1306" t="str">
        <f>"4170053988                    "</f>
        <v xml:space="preserve">4170053988                    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Q1306">
        <v>34.619999999999997</v>
      </c>
      <c r="AR1306">
        <v>0</v>
      </c>
      <c r="AS1306">
        <v>0</v>
      </c>
      <c r="AT1306">
        <v>0</v>
      </c>
      <c r="AU1306">
        <v>0</v>
      </c>
      <c r="AV1306">
        <v>0</v>
      </c>
      <c r="AW1306">
        <v>0</v>
      </c>
      <c r="AX1306">
        <v>0</v>
      </c>
      <c r="AY1306">
        <v>0</v>
      </c>
      <c r="AZ1306">
        <v>0</v>
      </c>
      <c r="BA1306">
        <v>0</v>
      </c>
      <c r="BB1306">
        <v>0</v>
      </c>
      <c r="BC1306">
        <v>0</v>
      </c>
      <c r="BD1306">
        <v>0</v>
      </c>
      <c r="BE1306">
        <v>0</v>
      </c>
      <c r="BF1306">
        <v>0</v>
      </c>
      <c r="BG1306">
        <v>0</v>
      </c>
      <c r="BH1306">
        <v>1</v>
      </c>
      <c r="BI1306">
        <v>3</v>
      </c>
      <c r="BJ1306">
        <v>1.7</v>
      </c>
      <c r="BK1306">
        <v>3</v>
      </c>
      <c r="BL1306">
        <v>107.5</v>
      </c>
      <c r="BM1306">
        <v>16.13</v>
      </c>
      <c r="BN1306">
        <v>123.63</v>
      </c>
      <c r="BO1306">
        <v>123.63</v>
      </c>
      <c r="BQ1306" t="s">
        <v>1598</v>
      </c>
      <c r="BR1306" t="s">
        <v>84</v>
      </c>
      <c r="BS1306" s="3">
        <v>45881</v>
      </c>
      <c r="BT1306" s="4">
        <v>0.37847222222222221</v>
      </c>
      <c r="BU1306" t="s">
        <v>2055</v>
      </c>
      <c r="BV1306" t="s">
        <v>86</v>
      </c>
      <c r="BY1306">
        <v>8550</v>
      </c>
      <c r="CA1306" t="s">
        <v>405</v>
      </c>
      <c r="CC1306" t="s">
        <v>401</v>
      </c>
      <c r="CD1306">
        <v>6229</v>
      </c>
      <c r="CE1306" t="s">
        <v>147</v>
      </c>
      <c r="CF1306" s="3">
        <v>45881</v>
      </c>
      <c r="CI1306">
        <v>1</v>
      </c>
      <c r="CJ1306">
        <v>1</v>
      </c>
      <c r="CK1306">
        <v>21</v>
      </c>
      <c r="CL1306" t="s">
        <v>90</v>
      </c>
    </row>
    <row r="1307" spans="1:90" x14ac:dyDescent="0.3">
      <c r="A1307" t="s">
        <v>72</v>
      </c>
      <c r="B1307" t="s">
        <v>73</v>
      </c>
      <c r="C1307" t="s">
        <v>74</v>
      </c>
      <c r="E1307" t="str">
        <f>"080067149833"</f>
        <v>080067149833</v>
      </c>
      <c r="F1307" s="3">
        <v>45880</v>
      </c>
      <c r="G1307">
        <v>202605</v>
      </c>
      <c r="H1307" t="s">
        <v>75</v>
      </c>
      <c r="I1307" t="s">
        <v>76</v>
      </c>
      <c r="J1307" t="s">
        <v>77</v>
      </c>
      <c r="K1307" t="s">
        <v>78</v>
      </c>
      <c r="L1307" t="s">
        <v>75</v>
      </c>
      <c r="M1307" t="s">
        <v>76</v>
      </c>
      <c r="N1307" t="s">
        <v>1886</v>
      </c>
      <c r="O1307" t="s">
        <v>82</v>
      </c>
      <c r="P1307" t="str">
        <f>"4170053932                    "</f>
        <v xml:space="preserve">4170053932                    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>
        <v>18.03</v>
      </c>
      <c r="AR1307">
        <v>0</v>
      </c>
      <c r="AS1307">
        <v>0</v>
      </c>
      <c r="AT1307">
        <v>0</v>
      </c>
      <c r="AU1307">
        <v>0</v>
      </c>
      <c r="AV1307">
        <v>0</v>
      </c>
      <c r="AW1307">
        <v>0</v>
      </c>
      <c r="AX1307">
        <v>0</v>
      </c>
      <c r="AY1307">
        <v>0</v>
      </c>
      <c r="AZ1307">
        <v>0</v>
      </c>
      <c r="BA1307">
        <v>0</v>
      </c>
      <c r="BB1307">
        <v>0</v>
      </c>
      <c r="BC1307">
        <v>0</v>
      </c>
      <c r="BD1307">
        <v>0</v>
      </c>
      <c r="BE1307">
        <v>0</v>
      </c>
      <c r="BF1307">
        <v>0</v>
      </c>
      <c r="BG1307">
        <v>0</v>
      </c>
      <c r="BH1307">
        <v>1</v>
      </c>
      <c r="BI1307">
        <v>1</v>
      </c>
      <c r="BJ1307">
        <v>0.2</v>
      </c>
      <c r="BK1307">
        <v>1</v>
      </c>
      <c r="BL1307">
        <v>55.99</v>
      </c>
      <c r="BM1307">
        <v>8.4</v>
      </c>
      <c r="BN1307">
        <v>64.39</v>
      </c>
      <c r="BO1307">
        <v>64.39</v>
      </c>
      <c r="BQ1307" t="s">
        <v>1887</v>
      </c>
      <c r="BR1307" t="s">
        <v>84</v>
      </c>
      <c r="BS1307" s="3">
        <v>45882</v>
      </c>
      <c r="BT1307" s="4">
        <v>0.39930555555555558</v>
      </c>
      <c r="BU1307" t="s">
        <v>1888</v>
      </c>
      <c r="BV1307" t="s">
        <v>90</v>
      </c>
      <c r="BW1307" t="s">
        <v>2056</v>
      </c>
      <c r="BX1307" t="s">
        <v>897</v>
      </c>
      <c r="BY1307">
        <v>1200</v>
      </c>
      <c r="CA1307" t="s">
        <v>155</v>
      </c>
      <c r="CC1307" t="s">
        <v>76</v>
      </c>
      <c r="CD1307">
        <v>1624</v>
      </c>
      <c r="CE1307" t="s">
        <v>109</v>
      </c>
      <c r="CF1307" s="3">
        <v>45882</v>
      </c>
      <c r="CI1307">
        <v>1</v>
      </c>
      <c r="CJ1307">
        <v>2</v>
      </c>
      <c r="CK1307">
        <v>22</v>
      </c>
      <c r="CL1307" t="s">
        <v>90</v>
      </c>
    </row>
    <row r="1308" spans="1:90" x14ac:dyDescent="0.3">
      <c r="A1308" t="s">
        <v>72</v>
      </c>
      <c r="B1308" t="s">
        <v>73</v>
      </c>
      <c r="C1308" t="s">
        <v>74</v>
      </c>
      <c r="E1308" t="str">
        <f>"080067149878"</f>
        <v>080067149878</v>
      </c>
      <c r="F1308" s="3">
        <v>45880</v>
      </c>
      <c r="G1308">
        <v>202605</v>
      </c>
      <c r="H1308" t="s">
        <v>75</v>
      </c>
      <c r="I1308" t="s">
        <v>76</v>
      </c>
      <c r="J1308" t="s">
        <v>77</v>
      </c>
      <c r="K1308" t="s">
        <v>78</v>
      </c>
      <c r="L1308" t="s">
        <v>1616</v>
      </c>
      <c r="M1308" t="s">
        <v>1617</v>
      </c>
      <c r="N1308" t="s">
        <v>1618</v>
      </c>
      <c r="O1308" t="s">
        <v>82</v>
      </c>
      <c r="P1308" t="str">
        <f>"4170053903                    "</f>
        <v xml:space="preserve">4170053903                    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  <c r="AQ1308">
        <v>44.73</v>
      </c>
      <c r="AR1308">
        <v>0</v>
      </c>
      <c r="AS1308">
        <v>0</v>
      </c>
      <c r="AT1308">
        <v>0</v>
      </c>
      <c r="AU1308">
        <v>0</v>
      </c>
      <c r="AV1308">
        <v>0</v>
      </c>
      <c r="AW1308">
        <v>0</v>
      </c>
      <c r="AX1308">
        <v>0</v>
      </c>
      <c r="AY1308">
        <v>0</v>
      </c>
      <c r="AZ1308">
        <v>0</v>
      </c>
      <c r="BA1308">
        <v>0</v>
      </c>
      <c r="BB1308">
        <v>0</v>
      </c>
      <c r="BC1308">
        <v>0</v>
      </c>
      <c r="BD1308">
        <v>0</v>
      </c>
      <c r="BE1308">
        <v>0</v>
      </c>
      <c r="BF1308">
        <v>0</v>
      </c>
      <c r="BG1308">
        <v>0</v>
      </c>
      <c r="BH1308">
        <v>1</v>
      </c>
      <c r="BI1308">
        <v>1</v>
      </c>
      <c r="BJ1308">
        <v>1.9</v>
      </c>
      <c r="BK1308">
        <v>2</v>
      </c>
      <c r="BL1308">
        <v>138.88999999999999</v>
      </c>
      <c r="BM1308">
        <v>20.83</v>
      </c>
      <c r="BN1308">
        <v>159.72</v>
      </c>
      <c r="BO1308">
        <v>159.72</v>
      </c>
      <c r="BQ1308" t="s">
        <v>1619</v>
      </c>
      <c r="BR1308" t="s">
        <v>84</v>
      </c>
      <c r="BS1308" s="3">
        <v>45881</v>
      </c>
      <c r="BT1308" s="4">
        <v>0.48333333333333334</v>
      </c>
      <c r="BU1308" t="s">
        <v>2057</v>
      </c>
      <c r="BV1308" t="s">
        <v>86</v>
      </c>
      <c r="BY1308">
        <v>9600</v>
      </c>
      <c r="CA1308" t="s">
        <v>1621</v>
      </c>
      <c r="CC1308" t="s">
        <v>1617</v>
      </c>
      <c r="CD1308">
        <v>7349</v>
      </c>
      <c r="CE1308" t="s">
        <v>2058</v>
      </c>
      <c r="CF1308" s="3">
        <v>45882</v>
      </c>
      <c r="CI1308">
        <v>1</v>
      </c>
      <c r="CJ1308">
        <v>1</v>
      </c>
      <c r="CK1308">
        <v>23</v>
      </c>
      <c r="CL1308" t="s">
        <v>90</v>
      </c>
    </row>
    <row r="1309" spans="1:90" x14ac:dyDescent="0.3">
      <c r="A1309" t="s">
        <v>72</v>
      </c>
      <c r="B1309" t="s">
        <v>73</v>
      </c>
      <c r="C1309" t="s">
        <v>74</v>
      </c>
      <c r="E1309" t="str">
        <f>"080067149889"</f>
        <v>080067149889</v>
      </c>
      <c r="F1309" s="3">
        <v>45880</v>
      </c>
      <c r="G1309">
        <v>202605</v>
      </c>
      <c r="H1309" t="s">
        <v>75</v>
      </c>
      <c r="I1309" t="s">
        <v>76</v>
      </c>
      <c r="J1309" t="s">
        <v>77</v>
      </c>
      <c r="K1309" t="s">
        <v>78</v>
      </c>
      <c r="L1309" t="s">
        <v>325</v>
      </c>
      <c r="M1309" t="s">
        <v>326</v>
      </c>
      <c r="N1309" t="s">
        <v>754</v>
      </c>
      <c r="O1309" t="s">
        <v>82</v>
      </c>
      <c r="P1309" t="str">
        <f>"4170053952                    "</f>
        <v xml:space="preserve">4170053952                    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  <c r="AQ1309">
        <v>18.03</v>
      </c>
      <c r="AR1309">
        <v>0</v>
      </c>
      <c r="AS1309">
        <v>0</v>
      </c>
      <c r="AT1309">
        <v>0</v>
      </c>
      <c r="AU1309">
        <v>0</v>
      </c>
      <c r="AV1309">
        <v>0</v>
      </c>
      <c r="AW1309">
        <v>0</v>
      </c>
      <c r="AX1309">
        <v>0</v>
      </c>
      <c r="AY1309">
        <v>0</v>
      </c>
      <c r="AZ1309">
        <v>0</v>
      </c>
      <c r="BA1309">
        <v>0</v>
      </c>
      <c r="BB1309">
        <v>0</v>
      </c>
      <c r="BC1309">
        <v>0</v>
      </c>
      <c r="BD1309">
        <v>0</v>
      </c>
      <c r="BE1309">
        <v>0</v>
      </c>
      <c r="BF1309">
        <v>0</v>
      </c>
      <c r="BG1309">
        <v>0</v>
      </c>
      <c r="BH1309">
        <v>1</v>
      </c>
      <c r="BI1309">
        <v>1</v>
      </c>
      <c r="BJ1309">
        <v>0.2</v>
      </c>
      <c r="BK1309">
        <v>1</v>
      </c>
      <c r="BL1309">
        <v>55.99</v>
      </c>
      <c r="BM1309">
        <v>8.4</v>
      </c>
      <c r="BN1309">
        <v>64.39</v>
      </c>
      <c r="BO1309">
        <v>64.39</v>
      </c>
      <c r="BQ1309" t="s">
        <v>755</v>
      </c>
      <c r="BR1309" t="s">
        <v>84</v>
      </c>
      <c r="BS1309" s="3">
        <v>45881</v>
      </c>
      <c r="BT1309" s="4">
        <v>0.39583333333333331</v>
      </c>
      <c r="BU1309" t="s">
        <v>756</v>
      </c>
      <c r="BV1309" t="s">
        <v>86</v>
      </c>
      <c r="BY1309">
        <v>1200</v>
      </c>
      <c r="CA1309" t="s">
        <v>461</v>
      </c>
      <c r="CC1309" t="s">
        <v>326</v>
      </c>
      <c r="CD1309">
        <v>2094</v>
      </c>
      <c r="CE1309" t="s">
        <v>109</v>
      </c>
      <c r="CF1309" s="3">
        <v>45881</v>
      </c>
      <c r="CI1309">
        <v>1</v>
      </c>
      <c r="CJ1309">
        <v>1</v>
      </c>
      <c r="CK1309">
        <v>22</v>
      </c>
      <c r="CL1309" t="s">
        <v>90</v>
      </c>
    </row>
    <row r="1310" spans="1:90" x14ac:dyDescent="0.3">
      <c r="A1310" t="s">
        <v>72</v>
      </c>
      <c r="B1310" t="s">
        <v>73</v>
      </c>
      <c r="C1310" t="s">
        <v>74</v>
      </c>
      <c r="E1310" t="str">
        <f>"080067149973"</f>
        <v>080067149973</v>
      </c>
      <c r="F1310" s="3">
        <v>45880</v>
      </c>
      <c r="G1310">
        <v>202605</v>
      </c>
      <c r="H1310" t="s">
        <v>75</v>
      </c>
      <c r="I1310" t="s">
        <v>76</v>
      </c>
      <c r="J1310" t="s">
        <v>77</v>
      </c>
      <c r="K1310" t="s">
        <v>78</v>
      </c>
      <c r="L1310" t="s">
        <v>2059</v>
      </c>
      <c r="M1310" t="s">
        <v>2060</v>
      </c>
      <c r="N1310" t="s">
        <v>2061</v>
      </c>
      <c r="O1310" t="s">
        <v>82</v>
      </c>
      <c r="P1310" t="str">
        <f>"4170053986                    "</f>
        <v xml:space="preserve">4170053986                    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Q1310">
        <v>44.73</v>
      </c>
      <c r="AR1310">
        <v>0</v>
      </c>
      <c r="AS1310">
        <v>0</v>
      </c>
      <c r="AT1310">
        <v>0</v>
      </c>
      <c r="AU1310">
        <v>0</v>
      </c>
      <c r="AV1310">
        <v>0</v>
      </c>
      <c r="AW1310">
        <v>0</v>
      </c>
      <c r="AX1310">
        <v>0</v>
      </c>
      <c r="AY1310">
        <v>0</v>
      </c>
      <c r="AZ1310">
        <v>0</v>
      </c>
      <c r="BA1310">
        <v>0</v>
      </c>
      <c r="BB1310">
        <v>0</v>
      </c>
      <c r="BC1310">
        <v>0</v>
      </c>
      <c r="BD1310">
        <v>0</v>
      </c>
      <c r="BE1310">
        <v>0</v>
      </c>
      <c r="BF1310">
        <v>0</v>
      </c>
      <c r="BG1310">
        <v>0</v>
      </c>
      <c r="BH1310">
        <v>1</v>
      </c>
      <c r="BI1310">
        <v>1</v>
      </c>
      <c r="BJ1310">
        <v>0.2</v>
      </c>
      <c r="BK1310">
        <v>1</v>
      </c>
      <c r="BL1310">
        <v>138.88999999999999</v>
      </c>
      <c r="BM1310">
        <v>20.83</v>
      </c>
      <c r="BN1310">
        <v>159.72</v>
      </c>
      <c r="BO1310">
        <v>159.72</v>
      </c>
      <c r="BQ1310" t="s">
        <v>2062</v>
      </c>
      <c r="BR1310" t="s">
        <v>84</v>
      </c>
      <c r="BS1310" s="3">
        <v>45882</v>
      </c>
      <c r="BT1310" s="4">
        <v>0.69861111111111107</v>
      </c>
      <c r="BU1310" t="s">
        <v>2063</v>
      </c>
      <c r="BV1310" t="s">
        <v>90</v>
      </c>
      <c r="BW1310" t="s">
        <v>134</v>
      </c>
      <c r="BX1310" t="s">
        <v>135</v>
      </c>
      <c r="BY1310">
        <v>1200</v>
      </c>
      <c r="CA1310" t="s">
        <v>734</v>
      </c>
      <c r="CC1310" t="s">
        <v>2060</v>
      </c>
      <c r="CD1310">
        <v>4170</v>
      </c>
      <c r="CE1310" t="s">
        <v>109</v>
      </c>
      <c r="CF1310" s="3">
        <v>45883</v>
      </c>
      <c r="CI1310">
        <v>1</v>
      </c>
      <c r="CJ1310">
        <v>2</v>
      </c>
      <c r="CK1310">
        <v>23</v>
      </c>
      <c r="CL1310" t="s">
        <v>90</v>
      </c>
    </row>
    <row r="1311" spans="1:90" x14ac:dyDescent="0.3">
      <c r="A1311" t="s">
        <v>72</v>
      </c>
      <c r="B1311" t="s">
        <v>73</v>
      </c>
      <c r="C1311" t="s">
        <v>74</v>
      </c>
      <c r="E1311" t="str">
        <f>"080067150002"</f>
        <v>080067150002</v>
      </c>
      <c r="F1311" s="3">
        <v>45880</v>
      </c>
      <c r="G1311">
        <v>202605</v>
      </c>
      <c r="H1311" t="s">
        <v>75</v>
      </c>
      <c r="I1311" t="s">
        <v>76</v>
      </c>
      <c r="J1311" t="s">
        <v>77</v>
      </c>
      <c r="K1311" t="s">
        <v>78</v>
      </c>
      <c r="L1311" t="s">
        <v>555</v>
      </c>
      <c r="M1311" t="s">
        <v>556</v>
      </c>
      <c r="N1311" t="s">
        <v>1472</v>
      </c>
      <c r="O1311" t="s">
        <v>82</v>
      </c>
      <c r="P1311" t="str">
        <f>"4170053747                    "</f>
        <v xml:space="preserve">4170053747                    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Q1311">
        <v>256.79000000000002</v>
      </c>
      <c r="AR1311">
        <v>0</v>
      </c>
      <c r="AS1311">
        <v>0</v>
      </c>
      <c r="AT1311">
        <v>0</v>
      </c>
      <c r="AU1311">
        <v>0</v>
      </c>
      <c r="AV1311">
        <v>0</v>
      </c>
      <c r="AW1311">
        <v>0</v>
      </c>
      <c r="AX1311">
        <v>0</v>
      </c>
      <c r="AY1311">
        <v>0</v>
      </c>
      <c r="AZ1311">
        <v>0</v>
      </c>
      <c r="BA1311">
        <v>0</v>
      </c>
      <c r="BB1311">
        <v>0</v>
      </c>
      <c r="BC1311">
        <v>0</v>
      </c>
      <c r="BD1311">
        <v>0</v>
      </c>
      <c r="BE1311">
        <v>0</v>
      </c>
      <c r="BF1311">
        <v>0</v>
      </c>
      <c r="BG1311">
        <v>0</v>
      </c>
      <c r="BH1311">
        <v>1</v>
      </c>
      <c r="BI1311">
        <v>7</v>
      </c>
      <c r="BJ1311">
        <v>12.5</v>
      </c>
      <c r="BK1311">
        <v>12.5</v>
      </c>
      <c r="BL1311">
        <v>797.41</v>
      </c>
      <c r="BM1311">
        <v>119.61</v>
      </c>
      <c r="BN1311">
        <v>917.02</v>
      </c>
      <c r="BO1311">
        <v>917.02</v>
      </c>
      <c r="BQ1311" t="s">
        <v>1473</v>
      </c>
      <c r="BR1311" t="s">
        <v>84</v>
      </c>
      <c r="BS1311" s="3">
        <v>45881</v>
      </c>
      <c r="BT1311" s="4">
        <v>0.58958333333333335</v>
      </c>
      <c r="BU1311" t="s">
        <v>2064</v>
      </c>
      <c r="BV1311" t="s">
        <v>86</v>
      </c>
      <c r="BY1311">
        <v>62400</v>
      </c>
      <c r="CA1311" t="s">
        <v>560</v>
      </c>
      <c r="CC1311" t="s">
        <v>556</v>
      </c>
      <c r="CD1311">
        <v>6849</v>
      </c>
      <c r="CE1311" t="s">
        <v>117</v>
      </c>
      <c r="CF1311" s="3">
        <v>45882</v>
      </c>
      <c r="CI1311">
        <v>2</v>
      </c>
      <c r="CJ1311">
        <v>1</v>
      </c>
      <c r="CK1311">
        <v>23</v>
      </c>
      <c r="CL1311" t="s">
        <v>90</v>
      </c>
    </row>
    <row r="1312" spans="1:90" x14ac:dyDescent="0.3">
      <c r="A1312" t="s">
        <v>72</v>
      </c>
      <c r="B1312" t="s">
        <v>73</v>
      </c>
      <c r="C1312" t="s">
        <v>74</v>
      </c>
      <c r="E1312" t="str">
        <f>"080067150066"</f>
        <v>080067150066</v>
      </c>
      <c r="F1312" s="3">
        <v>45880</v>
      </c>
      <c r="G1312">
        <v>202605</v>
      </c>
      <c r="H1312" t="s">
        <v>75</v>
      </c>
      <c r="I1312" t="s">
        <v>76</v>
      </c>
      <c r="J1312" t="s">
        <v>77</v>
      </c>
      <c r="K1312" t="s">
        <v>78</v>
      </c>
      <c r="L1312" t="s">
        <v>385</v>
      </c>
      <c r="M1312" t="s">
        <v>386</v>
      </c>
      <c r="N1312" t="s">
        <v>635</v>
      </c>
      <c r="O1312" t="s">
        <v>113</v>
      </c>
      <c r="P1312" t="str">
        <f>"4170053766                    "</f>
        <v xml:space="preserve">4170053766                    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>
        <v>18.04</v>
      </c>
      <c r="AR1312">
        <v>0</v>
      </c>
      <c r="AS1312">
        <v>0</v>
      </c>
      <c r="AT1312">
        <v>0</v>
      </c>
      <c r="AU1312">
        <v>0</v>
      </c>
      <c r="AV1312">
        <v>0</v>
      </c>
      <c r="AW1312">
        <v>0</v>
      </c>
      <c r="AX1312">
        <v>0</v>
      </c>
      <c r="AY1312">
        <v>0</v>
      </c>
      <c r="AZ1312">
        <v>0</v>
      </c>
      <c r="BA1312">
        <v>0</v>
      </c>
      <c r="BB1312">
        <v>0</v>
      </c>
      <c r="BC1312">
        <v>0</v>
      </c>
      <c r="BD1312">
        <v>0</v>
      </c>
      <c r="BE1312">
        <v>0</v>
      </c>
      <c r="BF1312">
        <v>0</v>
      </c>
      <c r="BG1312">
        <v>0</v>
      </c>
      <c r="BH1312">
        <v>1</v>
      </c>
      <c r="BI1312">
        <v>5</v>
      </c>
      <c r="BJ1312">
        <v>7.8</v>
      </c>
      <c r="BK1312">
        <v>8</v>
      </c>
      <c r="BL1312">
        <v>56.01</v>
      </c>
      <c r="BM1312">
        <v>8.4</v>
      </c>
      <c r="BN1312">
        <v>64.41</v>
      </c>
      <c r="BO1312">
        <v>64.41</v>
      </c>
      <c r="BQ1312" t="s">
        <v>636</v>
      </c>
      <c r="BR1312" t="s">
        <v>84</v>
      </c>
      <c r="BS1312" s="3">
        <v>45881</v>
      </c>
      <c r="BT1312" s="4">
        <v>0.45277777777777778</v>
      </c>
      <c r="BU1312" t="s">
        <v>2065</v>
      </c>
      <c r="BV1312" t="s">
        <v>86</v>
      </c>
      <c r="BY1312">
        <v>39000</v>
      </c>
      <c r="CA1312" t="s">
        <v>851</v>
      </c>
      <c r="CC1312" t="s">
        <v>386</v>
      </c>
      <c r="CD1312">
        <v>1559</v>
      </c>
      <c r="CE1312" t="s">
        <v>117</v>
      </c>
      <c r="CF1312" s="3">
        <v>45881</v>
      </c>
      <c r="CI1312">
        <v>1</v>
      </c>
      <c r="CJ1312">
        <v>1</v>
      </c>
      <c r="CK1312">
        <v>32</v>
      </c>
      <c r="CL1312" t="s">
        <v>90</v>
      </c>
    </row>
    <row r="1313" spans="1:90" x14ac:dyDescent="0.3">
      <c r="A1313" t="s">
        <v>72</v>
      </c>
      <c r="B1313" t="s">
        <v>73</v>
      </c>
      <c r="C1313" t="s">
        <v>74</v>
      </c>
      <c r="E1313" t="str">
        <f>"080067151171"</f>
        <v>080067151171</v>
      </c>
      <c r="F1313" s="3">
        <v>45880</v>
      </c>
      <c r="G1313">
        <v>202605</v>
      </c>
      <c r="H1313" t="s">
        <v>75</v>
      </c>
      <c r="I1313" t="s">
        <v>76</v>
      </c>
      <c r="J1313" t="s">
        <v>77</v>
      </c>
      <c r="K1313" t="s">
        <v>78</v>
      </c>
      <c r="L1313" t="s">
        <v>278</v>
      </c>
      <c r="M1313" t="s">
        <v>279</v>
      </c>
      <c r="N1313" t="s">
        <v>880</v>
      </c>
      <c r="O1313" t="s">
        <v>82</v>
      </c>
      <c r="P1313" t="str">
        <f>"4170053955                    "</f>
        <v xml:space="preserve">4170053955                    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>
        <v>23.09</v>
      </c>
      <c r="AR1313">
        <v>0</v>
      </c>
      <c r="AS1313">
        <v>0</v>
      </c>
      <c r="AT1313">
        <v>0</v>
      </c>
      <c r="AU1313">
        <v>0</v>
      </c>
      <c r="AV1313">
        <v>0</v>
      </c>
      <c r="AW1313">
        <v>0</v>
      </c>
      <c r="AX1313">
        <v>0</v>
      </c>
      <c r="AY1313">
        <v>0</v>
      </c>
      <c r="AZ1313">
        <v>0</v>
      </c>
      <c r="BA1313">
        <v>0</v>
      </c>
      <c r="BB1313">
        <v>0</v>
      </c>
      <c r="BC1313">
        <v>0</v>
      </c>
      <c r="BD1313">
        <v>0</v>
      </c>
      <c r="BE1313">
        <v>0</v>
      </c>
      <c r="BF1313">
        <v>0</v>
      </c>
      <c r="BG1313">
        <v>0</v>
      </c>
      <c r="BH1313">
        <v>1</v>
      </c>
      <c r="BI1313">
        <v>1</v>
      </c>
      <c r="BJ1313">
        <v>0.2</v>
      </c>
      <c r="BK1313">
        <v>1</v>
      </c>
      <c r="BL1313">
        <v>71.69</v>
      </c>
      <c r="BM1313">
        <v>10.75</v>
      </c>
      <c r="BN1313">
        <v>82.44</v>
      </c>
      <c r="BO1313">
        <v>82.44</v>
      </c>
      <c r="BQ1313" t="s">
        <v>881</v>
      </c>
      <c r="BR1313" t="s">
        <v>84</v>
      </c>
      <c r="BS1313" s="3">
        <v>45881</v>
      </c>
      <c r="BT1313" s="4">
        <v>0.40555555555555556</v>
      </c>
      <c r="BU1313" t="s">
        <v>2066</v>
      </c>
      <c r="BV1313" t="s">
        <v>86</v>
      </c>
      <c r="BY1313">
        <v>1200</v>
      </c>
      <c r="CA1313" t="s">
        <v>2067</v>
      </c>
      <c r="CC1313" t="s">
        <v>279</v>
      </c>
      <c r="CD1313" s="5" t="s">
        <v>883</v>
      </c>
      <c r="CE1313" t="s">
        <v>109</v>
      </c>
      <c r="CF1313" s="3">
        <v>45881</v>
      </c>
      <c r="CI1313">
        <v>1</v>
      </c>
      <c r="CJ1313">
        <v>1</v>
      </c>
      <c r="CK1313">
        <v>21</v>
      </c>
      <c r="CL1313" t="s">
        <v>90</v>
      </c>
    </row>
    <row r="1314" spans="1:90" x14ac:dyDescent="0.3">
      <c r="A1314" t="s">
        <v>72</v>
      </c>
      <c r="B1314" t="s">
        <v>73</v>
      </c>
      <c r="C1314" t="s">
        <v>74</v>
      </c>
      <c r="E1314" t="str">
        <f>"080067151214"</f>
        <v>080067151214</v>
      </c>
      <c r="F1314" s="3">
        <v>45880</v>
      </c>
      <c r="G1314">
        <v>202605</v>
      </c>
      <c r="H1314" t="s">
        <v>75</v>
      </c>
      <c r="I1314" t="s">
        <v>76</v>
      </c>
      <c r="J1314" t="s">
        <v>77</v>
      </c>
      <c r="K1314" t="s">
        <v>78</v>
      </c>
      <c r="L1314" t="s">
        <v>75</v>
      </c>
      <c r="M1314" t="s">
        <v>76</v>
      </c>
      <c r="N1314" t="s">
        <v>2068</v>
      </c>
      <c r="O1314" t="s">
        <v>82</v>
      </c>
      <c r="P1314" t="str">
        <f>"4170053978                    "</f>
        <v xml:space="preserve">4170053978                    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18.03</v>
      </c>
      <c r="AR1314">
        <v>0</v>
      </c>
      <c r="AS1314">
        <v>0</v>
      </c>
      <c r="AT1314">
        <v>0</v>
      </c>
      <c r="AU1314">
        <v>0</v>
      </c>
      <c r="AV1314">
        <v>0</v>
      </c>
      <c r="AW1314">
        <v>0</v>
      </c>
      <c r="AX1314">
        <v>0</v>
      </c>
      <c r="AY1314">
        <v>0</v>
      </c>
      <c r="AZ1314">
        <v>0</v>
      </c>
      <c r="BA1314">
        <v>0</v>
      </c>
      <c r="BB1314">
        <v>0</v>
      </c>
      <c r="BC1314">
        <v>0</v>
      </c>
      <c r="BD1314">
        <v>0</v>
      </c>
      <c r="BE1314">
        <v>0</v>
      </c>
      <c r="BF1314">
        <v>0</v>
      </c>
      <c r="BG1314">
        <v>0</v>
      </c>
      <c r="BH1314">
        <v>1</v>
      </c>
      <c r="BI1314">
        <v>1</v>
      </c>
      <c r="BJ1314">
        <v>0.2</v>
      </c>
      <c r="BK1314">
        <v>1</v>
      </c>
      <c r="BL1314">
        <v>55.99</v>
      </c>
      <c r="BM1314">
        <v>8.4</v>
      </c>
      <c r="BN1314">
        <v>64.39</v>
      </c>
      <c r="BO1314">
        <v>64.39</v>
      </c>
      <c r="BQ1314" t="s">
        <v>2069</v>
      </c>
      <c r="BR1314" t="s">
        <v>84</v>
      </c>
      <c r="BS1314" s="3">
        <v>45881</v>
      </c>
      <c r="BT1314" s="4">
        <v>0.42638888888888887</v>
      </c>
      <c r="BU1314" t="s">
        <v>2070</v>
      </c>
      <c r="BV1314" t="s">
        <v>86</v>
      </c>
      <c r="BY1314">
        <v>1200</v>
      </c>
      <c r="CA1314" t="s">
        <v>1840</v>
      </c>
      <c r="CC1314" t="s">
        <v>76</v>
      </c>
      <c r="CD1314">
        <v>1685</v>
      </c>
      <c r="CE1314" t="s">
        <v>109</v>
      </c>
      <c r="CF1314" s="3">
        <v>45882</v>
      </c>
      <c r="CI1314">
        <v>1</v>
      </c>
      <c r="CJ1314">
        <v>1</v>
      </c>
      <c r="CK1314">
        <v>22</v>
      </c>
      <c r="CL1314" t="s">
        <v>90</v>
      </c>
    </row>
    <row r="1315" spans="1:90" x14ac:dyDescent="0.3">
      <c r="A1315" t="s">
        <v>72</v>
      </c>
      <c r="B1315" t="s">
        <v>73</v>
      </c>
      <c r="C1315" t="s">
        <v>74</v>
      </c>
      <c r="E1315" t="str">
        <f>"080067151234"</f>
        <v>080067151234</v>
      </c>
      <c r="F1315" s="3">
        <v>45880</v>
      </c>
      <c r="G1315">
        <v>202605</v>
      </c>
      <c r="H1315" t="s">
        <v>75</v>
      </c>
      <c r="I1315" t="s">
        <v>76</v>
      </c>
      <c r="J1315" t="s">
        <v>77</v>
      </c>
      <c r="K1315" t="s">
        <v>78</v>
      </c>
      <c r="L1315" t="s">
        <v>303</v>
      </c>
      <c r="M1315" t="s">
        <v>304</v>
      </c>
      <c r="N1315" t="s">
        <v>1923</v>
      </c>
      <c r="O1315" t="s">
        <v>82</v>
      </c>
      <c r="P1315" t="str">
        <f>"4170053971                    "</f>
        <v xml:space="preserve">4170053971                    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Q1315">
        <v>44.73</v>
      </c>
      <c r="AR1315">
        <v>0</v>
      </c>
      <c r="AS1315">
        <v>0</v>
      </c>
      <c r="AT1315">
        <v>0</v>
      </c>
      <c r="AU1315">
        <v>0</v>
      </c>
      <c r="AV1315">
        <v>0</v>
      </c>
      <c r="AW1315">
        <v>0</v>
      </c>
      <c r="AX1315">
        <v>0</v>
      </c>
      <c r="AY1315">
        <v>0</v>
      </c>
      <c r="AZ1315">
        <v>0</v>
      </c>
      <c r="BA1315">
        <v>0</v>
      </c>
      <c r="BB1315">
        <v>0</v>
      </c>
      <c r="BC1315">
        <v>0</v>
      </c>
      <c r="BD1315">
        <v>0</v>
      </c>
      <c r="BE1315">
        <v>0</v>
      </c>
      <c r="BF1315">
        <v>0</v>
      </c>
      <c r="BG1315">
        <v>0</v>
      </c>
      <c r="BH1315">
        <v>1</v>
      </c>
      <c r="BI1315">
        <v>1</v>
      </c>
      <c r="BJ1315">
        <v>0.2</v>
      </c>
      <c r="BK1315">
        <v>1</v>
      </c>
      <c r="BL1315">
        <v>138.88999999999999</v>
      </c>
      <c r="BM1315">
        <v>20.83</v>
      </c>
      <c r="BN1315">
        <v>159.72</v>
      </c>
      <c r="BO1315">
        <v>159.72</v>
      </c>
      <c r="BQ1315" t="s">
        <v>1924</v>
      </c>
      <c r="BR1315" t="s">
        <v>84</v>
      </c>
      <c r="BS1315" s="3">
        <v>45881</v>
      </c>
      <c r="BT1315" s="4">
        <v>0.4597222222222222</v>
      </c>
      <c r="BU1315" t="s">
        <v>1925</v>
      </c>
      <c r="BV1315" t="s">
        <v>86</v>
      </c>
      <c r="BY1315">
        <v>1200</v>
      </c>
      <c r="CA1315" t="s">
        <v>308</v>
      </c>
      <c r="CC1315" t="s">
        <v>304</v>
      </c>
      <c r="CD1315">
        <v>7130</v>
      </c>
      <c r="CE1315" t="s">
        <v>109</v>
      </c>
      <c r="CF1315" s="3">
        <v>45882</v>
      </c>
      <c r="CI1315">
        <v>1</v>
      </c>
      <c r="CJ1315">
        <v>1</v>
      </c>
      <c r="CK1315">
        <v>23</v>
      </c>
      <c r="CL1315" t="s">
        <v>90</v>
      </c>
    </row>
    <row r="1316" spans="1:90" x14ac:dyDescent="0.3">
      <c r="A1316" t="s">
        <v>72</v>
      </c>
      <c r="B1316" t="s">
        <v>73</v>
      </c>
      <c r="C1316" t="s">
        <v>74</v>
      </c>
      <c r="E1316" t="str">
        <f>"080067151262"</f>
        <v>080067151262</v>
      </c>
      <c r="F1316" s="3">
        <v>45880</v>
      </c>
      <c r="G1316">
        <v>202605</v>
      </c>
      <c r="H1316" t="s">
        <v>75</v>
      </c>
      <c r="I1316" t="s">
        <v>76</v>
      </c>
      <c r="J1316" t="s">
        <v>77</v>
      </c>
      <c r="K1316" t="s">
        <v>78</v>
      </c>
      <c r="L1316" t="s">
        <v>75</v>
      </c>
      <c r="M1316" t="s">
        <v>76</v>
      </c>
      <c r="N1316" t="s">
        <v>152</v>
      </c>
      <c r="O1316" t="s">
        <v>82</v>
      </c>
      <c r="P1316" t="str">
        <f>"4170053920                    "</f>
        <v xml:space="preserve">4170053920                    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Q1316">
        <v>18.03</v>
      </c>
      <c r="AR1316">
        <v>0</v>
      </c>
      <c r="AS1316">
        <v>0</v>
      </c>
      <c r="AT1316">
        <v>0</v>
      </c>
      <c r="AU1316">
        <v>0</v>
      </c>
      <c r="AV1316">
        <v>0</v>
      </c>
      <c r="AW1316">
        <v>0</v>
      </c>
      <c r="AX1316">
        <v>0</v>
      </c>
      <c r="AY1316">
        <v>0</v>
      </c>
      <c r="AZ1316">
        <v>0</v>
      </c>
      <c r="BA1316">
        <v>0</v>
      </c>
      <c r="BB1316">
        <v>0</v>
      </c>
      <c r="BC1316">
        <v>0</v>
      </c>
      <c r="BD1316">
        <v>0</v>
      </c>
      <c r="BE1316">
        <v>0</v>
      </c>
      <c r="BF1316">
        <v>0</v>
      </c>
      <c r="BG1316">
        <v>0</v>
      </c>
      <c r="BH1316">
        <v>1</v>
      </c>
      <c r="BI1316">
        <v>3</v>
      </c>
      <c r="BJ1316">
        <v>2.4</v>
      </c>
      <c r="BK1316">
        <v>3</v>
      </c>
      <c r="BL1316">
        <v>55.99</v>
      </c>
      <c r="BM1316">
        <v>8.4</v>
      </c>
      <c r="BN1316">
        <v>64.39</v>
      </c>
      <c r="BO1316">
        <v>64.39</v>
      </c>
      <c r="BQ1316" t="s">
        <v>153</v>
      </c>
      <c r="BR1316" t="s">
        <v>84</v>
      </c>
      <c r="BS1316" s="3">
        <v>45881</v>
      </c>
      <c r="BT1316" s="4">
        <v>0.34583333333333333</v>
      </c>
      <c r="BU1316" t="s">
        <v>995</v>
      </c>
      <c r="BV1316" t="s">
        <v>86</v>
      </c>
      <c r="BY1316">
        <v>12096</v>
      </c>
      <c r="CA1316" t="s">
        <v>155</v>
      </c>
      <c r="CC1316" t="s">
        <v>76</v>
      </c>
      <c r="CD1316">
        <v>1600</v>
      </c>
      <c r="CE1316" t="s">
        <v>117</v>
      </c>
      <c r="CF1316" s="3">
        <v>45881</v>
      </c>
      <c r="CI1316">
        <v>1</v>
      </c>
      <c r="CJ1316">
        <v>1</v>
      </c>
      <c r="CK1316">
        <v>22</v>
      </c>
      <c r="CL1316" t="s">
        <v>90</v>
      </c>
    </row>
    <row r="1317" spans="1:90" x14ac:dyDescent="0.3">
      <c r="A1317" t="s">
        <v>72</v>
      </c>
      <c r="B1317" t="s">
        <v>73</v>
      </c>
      <c r="C1317" t="s">
        <v>74</v>
      </c>
      <c r="E1317" t="str">
        <f>"080067151538"</f>
        <v>080067151538</v>
      </c>
      <c r="F1317" s="3">
        <v>45880</v>
      </c>
      <c r="G1317">
        <v>202605</v>
      </c>
      <c r="H1317" t="s">
        <v>75</v>
      </c>
      <c r="I1317" t="s">
        <v>76</v>
      </c>
      <c r="J1317" t="s">
        <v>77</v>
      </c>
      <c r="K1317" t="s">
        <v>78</v>
      </c>
      <c r="L1317" t="s">
        <v>1076</v>
      </c>
      <c r="M1317" t="s">
        <v>1077</v>
      </c>
      <c r="N1317" t="s">
        <v>351</v>
      </c>
      <c r="O1317" t="s">
        <v>82</v>
      </c>
      <c r="P1317" t="str">
        <f>"4170053813                    "</f>
        <v xml:space="preserve">4170053813                    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>
        <v>44.73</v>
      </c>
      <c r="AR1317">
        <v>0</v>
      </c>
      <c r="AS1317">
        <v>0</v>
      </c>
      <c r="AT1317">
        <v>0</v>
      </c>
      <c r="AU1317">
        <v>0</v>
      </c>
      <c r="AV1317">
        <v>0</v>
      </c>
      <c r="AW1317">
        <v>0</v>
      </c>
      <c r="AX1317">
        <v>0</v>
      </c>
      <c r="AY1317">
        <v>0</v>
      </c>
      <c r="AZ1317">
        <v>0</v>
      </c>
      <c r="BA1317">
        <v>0</v>
      </c>
      <c r="BB1317">
        <v>0</v>
      </c>
      <c r="BC1317">
        <v>0</v>
      </c>
      <c r="BD1317">
        <v>0</v>
      </c>
      <c r="BE1317">
        <v>0</v>
      </c>
      <c r="BF1317">
        <v>0</v>
      </c>
      <c r="BG1317">
        <v>0</v>
      </c>
      <c r="BH1317">
        <v>1</v>
      </c>
      <c r="BI1317">
        <v>1</v>
      </c>
      <c r="BJ1317">
        <v>0.2</v>
      </c>
      <c r="BK1317">
        <v>1</v>
      </c>
      <c r="BL1317">
        <v>138.88999999999999</v>
      </c>
      <c r="BM1317">
        <v>20.83</v>
      </c>
      <c r="BN1317">
        <v>159.72</v>
      </c>
      <c r="BO1317">
        <v>159.72</v>
      </c>
      <c r="BQ1317" t="s">
        <v>352</v>
      </c>
      <c r="BR1317" t="s">
        <v>84</v>
      </c>
      <c r="BS1317" s="3">
        <v>45881</v>
      </c>
      <c r="BT1317" s="4">
        <v>0.70208333333333328</v>
      </c>
      <c r="BU1317" t="s">
        <v>2071</v>
      </c>
      <c r="BV1317" t="s">
        <v>86</v>
      </c>
      <c r="BY1317">
        <v>1200</v>
      </c>
      <c r="CA1317" t="s">
        <v>2072</v>
      </c>
      <c r="CC1317" t="s">
        <v>1077</v>
      </c>
      <c r="CD1317">
        <v>9880</v>
      </c>
      <c r="CE1317" t="s">
        <v>109</v>
      </c>
      <c r="CF1317" s="3">
        <v>45882</v>
      </c>
      <c r="CI1317">
        <v>1</v>
      </c>
      <c r="CJ1317">
        <v>1</v>
      </c>
      <c r="CK1317">
        <v>23</v>
      </c>
      <c r="CL1317" t="s">
        <v>90</v>
      </c>
    </row>
    <row r="1318" spans="1:90" x14ac:dyDescent="0.3">
      <c r="A1318" t="s">
        <v>72</v>
      </c>
      <c r="B1318" t="s">
        <v>73</v>
      </c>
      <c r="C1318" t="s">
        <v>74</v>
      </c>
      <c r="E1318" t="str">
        <f>"080067151583"</f>
        <v>080067151583</v>
      </c>
      <c r="F1318" s="3">
        <v>45880</v>
      </c>
      <c r="G1318">
        <v>202605</v>
      </c>
      <c r="H1318" t="s">
        <v>75</v>
      </c>
      <c r="I1318" t="s">
        <v>76</v>
      </c>
      <c r="J1318" t="s">
        <v>77</v>
      </c>
      <c r="K1318" t="s">
        <v>78</v>
      </c>
      <c r="L1318" t="s">
        <v>234</v>
      </c>
      <c r="M1318" t="s">
        <v>235</v>
      </c>
      <c r="N1318" t="s">
        <v>821</v>
      </c>
      <c r="O1318" t="s">
        <v>82</v>
      </c>
      <c r="P1318" t="str">
        <f>"4170053972                    "</f>
        <v xml:space="preserve">4170053972                    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Q1318">
        <v>23.09</v>
      </c>
      <c r="AR1318">
        <v>0</v>
      </c>
      <c r="AS1318">
        <v>0</v>
      </c>
      <c r="AT1318">
        <v>0</v>
      </c>
      <c r="AU1318">
        <v>0</v>
      </c>
      <c r="AV1318">
        <v>0</v>
      </c>
      <c r="AW1318">
        <v>0</v>
      </c>
      <c r="AX1318">
        <v>0</v>
      </c>
      <c r="AY1318">
        <v>0</v>
      </c>
      <c r="AZ1318">
        <v>0</v>
      </c>
      <c r="BA1318">
        <v>0</v>
      </c>
      <c r="BB1318">
        <v>0</v>
      </c>
      <c r="BC1318">
        <v>0</v>
      </c>
      <c r="BD1318">
        <v>0</v>
      </c>
      <c r="BE1318">
        <v>0</v>
      </c>
      <c r="BF1318">
        <v>0</v>
      </c>
      <c r="BG1318">
        <v>0</v>
      </c>
      <c r="BH1318">
        <v>1</v>
      </c>
      <c r="BI1318">
        <v>1</v>
      </c>
      <c r="BJ1318">
        <v>0.2</v>
      </c>
      <c r="BK1318">
        <v>1</v>
      </c>
      <c r="BL1318">
        <v>71.69</v>
      </c>
      <c r="BM1318">
        <v>10.75</v>
      </c>
      <c r="BN1318">
        <v>82.44</v>
      </c>
      <c r="BO1318">
        <v>82.44</v>
      </c>
      <c r="BQ1318" t="s">
        <v>822</v>
      </c>
      <c r="BR1318" t="s">
        <v>84</v>
      </c>
      <c r="BS1318" s="3">
        <v>45881</v>
      </c>
      <c r="BT1318" s="4">
        <v>0.41736111111111113</v>
      </c>
      <c r="BU1318" t="s">
        <v>2073</v>
      </c>
      <c r="BV1318" t="s">
        <v>86</v>
      </c>
      <c r="BY1318">
        <v>1200</v>
      </c>
      <c r="CA1318" t="s">
        <v>2074</v>
      </c>
      <c r="CC1318" t="s">
        <v>235</v>
      </c>
      <c r="CD1318" s="5" t="s">
        <v>240</v>
      </c>
      <c r="CE1318" t="s">
        <v>109</v>
      </c>
      <c r="CF1318" s="3">
        <v>45881</v>
      </c>
      <c r="CI1318">
        <v>1</v>
      </c>
      <c r="CJ1318">
        <v>1</v>
      </c>
      <c r="CK1318">
        <v>21</v>
      </c>
      <c r="CL1318" t="s">
        <v>90</v>
      </c>
    </row>
    <row r="1319" spans="1:90" x14ac:dyDescent="0.3">
      <c r="A1319" t="s">
        <v>72</v>
      </c>
      <c r="B1319" t="s">
        <v>73</v>
      </c>
      <c r="C1319" t="s">
        <v>74</v>
      </c>
      <c r="E1319" t="str">
        <f>"080067151637"</f>
        <v>080067151637</v>
      </c>
      <c r="F1319" s="3">
        <v>45880</v>
      </c>
      <c r="G1319">
        <v>202605</v>
      </c>
      <c r="H1319" t="s">
        <v>75</v>
      </c>
      <c r="I1319" t="s">
        <v>76</v>
      </c>
      <c r="J1319" t="s">
        <v>77</v>
      </c>
      <c r="K1319" t="s">
        <v>78</v>
      </c>
      <c r="L1319" t="s">
        <v>129</v>
      </c>
      <c r="M1319" t="s">
        <v>130</v>
      </c>
      <c r="N1319" t="s">
        <v>2034</v>
      </c>
      <c r="O1319" t="s">
        <v>82</v>
      </c>
      <c r="P1319" t="str">
        <f>"4170053981                    "</f>
        <v xml:space="preserve">4170053981                    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0</v>
      </c>
      <c r="AQ1319">
        <v>23.09</v>
      </c>
      <c r="AR1319">
        <v>0</v>
      </c>
      <c r="AS1319">
        <v>0</v>
      </c>
      <c r="AT1319">
        <v>0</v>
      </c>
      <c r="AU1319">
        <v>0</v>
      </c>
      <c r="AV1319">
        <v>0</v>
      </c>
      <c r="AW1319">
        <v>0</v>
      </c>
      <c r="AX1319">
        <v>0</v>
      </c>
      <c r="AY1319">
        <v>0</v>
      </c>
      <c r="AZ1319">
        <v>0</v>
      </c>
      <c r="BA1319">
        <v>0</v>
      </c>
      <c r="BB1319">
        <v>0</v>
      </c>
      <c r="BC1319">
        <v>0</v>
      </c>
      <c r="BD1319">
        <v>0</v>
      </c>
      <c r="BE1319">
        <v>0</v>
      </c>
      <c r="BF1319">
        <v>0</v>
      </c>
      <c r="BG1319">
        <v>0</v>
      </c>
      <c r="BH1319">
        <v>1</v>
      </c>
      <c r="BI1319">
        <v>1</v>
      </c>
      <c r="BJ1319">
        <v>0.2</v>
      </c>
      <c r="BK1319">
        <v>1</v>
      </c>
      <c r="BL1319">
        <v>71.69</v>
      </c>
      <c r="BM1319">
        <v>10.75</v>
      </c>
      <c r="BN1319">
        <v>82.44</v>
      </c>
      <c r="BO1319">
        <v>82.44</v>
      </c>
      <c r="BQ1319" t="s">
        <v>2035</v>
      </c>
      <c r="BR1319" t="s">
        <v>84</v>
      </c>
      <c r="BS1319" s="3">
        <v>45881</v>
      </c>
      <c r="BT1319" s="4">
        <v>0.72777777777777775</v>
      </c>
      <c r="BU1319" t="s">
        <v>2075</v>
      </c>
      <c r="BV1319" t="s">
        <v>90</v>
      </c>
      <c r="BW1319" t="s">
        <v>134</v>
      </c>
      <c r="BX1319" t="s">
        <v>135</v>
      </c>
      <c r="BY1319">
        <v>1200</v>
      </c>
      <c r="CA1319" t="s">
        <v>136</v>
      </c>
      <c r="CC1319" t="s">
        <v>130</v>
      </c>
      <c r="CD1319">
        <v>4113</v>
      </c>
      <c r="CE1319" t="s">
        <v>109</v>
      </c>
      <c r="CF1319" s="3">
        <v>45882</v>
      </c>
      <c r="CI1319">
        <v>1</v>
      </c>
      <c r="CJ1319">
        <v>1</v>
      </c>
      <c r="CK1319">
        <v>21</v>
      </c>
      <c r="CL1319" t="s">
        <v>90</v>
      </c>
    </row>
    <row r="1320" spans="1:90" x14ac:dyDescent="0.3">
      <c r="A1320" t="s">
        <v>72</v>
      </c>
      <c r="B1320" t="s">
        <v>73</v>
      </c>
      <c r="C1320" t="s">
        <v>74</v>
      </c>
      <c r="E1320" t="str">
        <f>"080067151669"</f>
        <v>080067151669</v>
      </c>
      <c r="F1320" s="3">
        <v>45880</v>
      </c>
      <c r="G1320">
        <v>202605</v>
      </c>
      <c r="H1320" t="s">
        <v>75</v>
      </c>
      <c r="I1320" t="s">
        <v>76</v>
      </c>
      <c r="J1320" t="s">
        <v>77</v>
      </c>
      <c r="K1320" t="s">
        <v>78</v>
      </c>
      <c r="L1320" t="s">
        <v>198</v>
      </c>
      <c r="M1320" t="s">
        <v>199</v>
      </c>
      <c r="N1320" t="s">
        <v>1357</v>
      </c>
      <c r="O1320" t="s">
        <v>82</v>
      </c>
      <c r="P1320" t="str">
        <f>"4170053879                    "</f>
        <v xml:space="preserve">4170053879                    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Q1320">
        <v>40.380000000000003</v>
      </c>
      <c r="AR1320">
        <v>0</v>
      </c>
      <c r="AS1320">
        <v>0</v>
      </c>
      <c r="AT1320">
        <v>0</v>
      </c>
      <c r="AU1320">
        <v>0</v>
      </c>
      <c r="AV1320">
        <v>0</v>
      </c>
      <c r="AW1320">
        <v>0</v>
      </c>
      <c r="AX1320">
        <v>0</v>
      </c>
      <c r="AY1320">
        <v>0</v>
      </c>
      <c r="AZ1320">
        <v>0</v>
      </c>
      <c r="BA1320">
        <v>0</v>
      </c>
      <c r="BB1320">
        <v>0</v>
      </c>
      <c r="BC1320">
        <v>0</v>
      </c>
      <c r="BD1320">
        <v>0</v>
      </c>
      <c r="BE1320">
        <v>0</v>
      </c>
      <c r="BF1320">
        <v>0</v>
      </c>
      <c r="BG1320">
        <v>0</v>
      </c>
      <c r="BH1320">
        <v>1</v>
      </c>
      <c r="BI1320">
        <v>1</v>
      </c>
      <c r="BJ1320">
        <v>3.4</v>
      </c>
      <c r="BK1320">
        <v>3.5</v>
      </c>
      <c r="BL1320">
        <v>125.4</v>
      </c>
      <c r="BM1320">
        <v>18.809999999999999</v>
      </c>
      <c r="BN1320">
        <v>144.21</v>
      </c>
      <c r="BO1320">
        <v>144.21</v>
      </c>
      <c r="BQ1320" t="s">
        <v>1358</v>
      </c>
      <c r="BR1320" t="s">
        <v>84</v>
      </c>
      <c r="BS1320" s="3">
        <v>45881</v>
      </c>
      <c r="BT1320" s="4">
        <v>0.35416666666666669</v>
      </c>
      <c r="BU1320" t="s">
        <v>2076</v>
      </c>
      <c r="BV1320" t="s">
        <v>86</v>
      </c>
      <c r="BY1320">
        <v>16965</v>
      </c>
      <c r="CA1320" t="s">
        <v>203</v>
      </c>
      <c r="CC1320" t="s">
        <v>199</v>
      </c>
      <c r="CD1320">
        <v>6001</v>
      </c>
      <c r="CE1320" t="s">
        <v>147</v>
      </c>
      <c r="CF1320" s="3">
        <v>45881</v>
      </c>
      <c r="CI1320">
        <v>1</v>
      </c>
      <c r="CJ1320">
        <v>1</v>
      </c>
      <c r="CK1320">
        <v>21</v>
      </c>
      <c r="CL1320" t="s">
        <v>90</v>
      </c>
    </row>
    <row r="1321" spans="1:90" x14ac:dyDescent="0.3">
      <c r="A1321" t="s">
        <v>72</v>
      </c>
      <c r="B1321" t="s">
        <v>73</v>
      </c>
      <c r="C1321" t="s">
        <v>74</v>
      </c>
      <c r="E1321" t="str">
        <f>"080067152474"</f>
        <v>080067152474</v>
      </c>
      <c r="F1321" s="3">
        <v>45880</v>
      </c>
      <c r="G1321">
        <v>202605</v>
      </c>
      <c r="H1321" t="s">
        <v>75</v>
      </c>
      <c r="I1321" t="s">
        <v>76</v>
      </c>
      <c r="J1321" t="s">
        <v>77</v>
      </c>
      <c r="K1321" t="s">
        <v>78</v>
      </c>
      <c r="L1321" t="s">
        <v>391</v>
      </c>
      <c r="M1321" t="s">
        <v>392</v>
      </c>
      <c r="N1321" t="s">
        <v>393</v>
      </c>
      <c r="O1321" t="s">
        <v>82</v>
      </c>
      <c r="P1321" t="str">
        <f>"4170053969                    "</f>
        <v xml:space="preserve">4170053969                    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Q1321">
        <v>145.71</v>
      </c>
      <c r="AR1321">
        <v>0</v>
      </c>
      <c r="AS1321">
        <v>0</v>
      </c>
      <c r="AT1321">
        <v>0</v>
      </c>
      <c r="AU1321">
        <v>0</v>
      </c>
      <c r="AV1321">
        <v>0</v>
      </c>
      <c r="AW1321">
        <v>0</v>
      </c>
      <c r="AX1321">
        <v>0</v>
      </c>
      <c r="AY1321">
        <v>0</v>
      </c>
      <c r="AZ1321">
        <v>0</v>
      </c>
      <c r="BA1321">
        <v>0</v>
      </c>
      <c r="BB1321">
        <v>0</v>
      </c>
      <c r="BC1321">
        <v>0</v>
      </c>
      <c r="BD1321">
        <v>0</v>
      </c>
      <c r="BE1321">
        <v>0</v>
      </c>
      <c r="BF1321">
        <v>0</v>
      </c>
      <c r="BG1321">
        <v>0</v>
      </c>
      <c r="BH1321">
        <v>1</v>
      </c>
      <c r="BI1321">
        <v>7</v>
      </c>
      <c r="BJ1321">
        <v>3.7</v>
      </c>
      <c r="BK1321">
        <v>7</v>
      </c>
      <c r="BL1321">
        <v>452.47</v>
      </c>
      <c r="BM1321">
        <v>67.87</v>
      </c>
      <c r="BN1321">
        <v>520.34</v>
      </c>
      <c r="BO1321">
        <v>520.34</v>
      </c>
      <c r="BQ1321" t="s">
        <v>394</v>
      </c>
      <c r="BR1321" t="s">
        <v>84</v>
      </c>
      <c r="BS1321" s="3">
        <v>45881</v>
      </c>
      <c r="BT1321" s="4">
        <v>0.48819444444444443</v>
      </c>
      <c r="BU1321" t="s">
        <v>395</v>
      </c>
      <c r="BV1321" t="s">
        <v>86</v>
      </c>
      <c r="BY1321">
        <v>18432</v>
      </c>
      <c r="CA1321" t="s">
        <v>1347</v>
      </c>
      <c r="CC1321" t="s">
        <v>392</v>
      </c>
      <c r="CD1321">
        <v>6715</v>
      </c>
      <c r="CE1321" t="s">
        <v>117</v>
      </c>
      <c r="CF1321" s="3">
        <v>45882</v>
      </c>
      <c r="CI1321">
        <v>2</v>
      </c>
      <c r="CJ1321">
        <v>1</v>
      </c>
      <c r="CK1321">
        <v>23</v>
      </c>
      <c r="CL1321" t="s">
        <v>90</v>
      </c>
    </row>
    <row r="1322" spans="1:90" x14ac:dyDescent="0.3">
      <c r="A1322" t="s">
        <v>72</v>
      </c>
      <c r="B1322" t="s">
        <v>73</v>
      </c>
      <c r="C1322" t="s">
        <v>74</v>
      </c>
      <c r="E1322" t="str">
        <f>"080067152494"</f>
        <v>080067152494</v>
      </c>
      <c r="F1322" s="3">
        <v>45880</v>
      </c>
      <c r="G1322">
        <v>202605</v>
      </c>
      <c r="H1322" t="s">
        <v>75</v>
      </c>
      <c r="I1322" t="s">
        <v>76</v>
      </c>
      <c r="J1322" t="s">
        <v>77</v>
      </c>
      <c r="K1322" t="s">
        <v>78</v>
      </c>
      <c r="L1322" t="s">
        <v>75</v>
      </c>
      <c r="M1322" t="s">
        <v>76</v>
      </c>
      <c r="N1322" t="s">
        <v>602</v>
      </c>
      <c r="O1322" t="s">
        <v>82</v>
      </c>
      <c r="P1322" t="str">
        <f>"4170053965                    "</f>
        <v xml:space="preserve">4170053965                    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0</v>
      </c>
      <c r="AQ1322">
        <v>18.03</v>
      </c>
      <c r="AR1322">
        <v>0</v>
      </c>
      <c r="AS1322">
        <v>0</v>
      </c>
      <c r="AT1322">
        <v>0</v>
      </c>
      <c r="AU1322">
        <v>0</v>
      </c>
      <c r="AV1322">
        <v>0</v>
      </c>
      <c r="AW1322">
        <v>0</v>
      </c>
      <c r="AX1322">
        <v>0</v>
      </c>
      <c r="AY1322">
        <v>0</v>
      </c>
      <c r="AZ1322">
        <v>0</v>
      </c>
      <c r="BA1322">
        <v>0</v>
      </c>
      <c r="BB1322">
        <v>0</v>
      </c>
      <c r="BC1322">
        <v>0</v>
      </c>
      <c r="BD1322">
        <v>0</v>
      </c>
      <c r="BE1322">
        <v>0</v>
      </c>
      <c r="BF1322">
        <v>0</v>
      </c>
      <c r="BG1322">
        <v>0</v>
      </c>
      <c r="BH1322">
        <v>1</v>
      </c>
      <c r="BI1322">
        <v>2</v>
      </c>
      <c r="BJ1322">
        <v>3</v>
      </c>
      <c r="BK1322">
        <v>3</v>
      </c>
      <c r="BL1322">
        <v>55.99</v>
      </c>
      <c r="BM1322">
        <v>8.4</v>
      </c>
      <c r="BN1322">
        <v>64.39</v>
      </c>
      <c r="BO1322">
        <v>64.39</v>
      </c>
      <c r="BQ1322" t="s">
        <v>603</v>
      </c>
      <c r="BR1322" t="s">
        <v>84</v>
      </c>
      <c r="BS1322" s="3">
        <v>45881</v>
      </c>
      <c r="BT1322" s="4">
        <v>0.31527777777777777</v>
      </c>
      <c r="BU1322" t="s">
        <v>295</v>
      </c>
      <c r="BV1322" t="s">
        <v>86</v>
      </c>
      <c r="BY1322">
        <v>14858</v>
      </c>
      <c r="CA1322" t="s">
        <v>1327</v>
      </c>
      <c r="CC1322" t="s">
        <v>76</v>
      </c>
      <c r="CD1322">
        <v>1665</v>
      </c>
      <c r="CE1322" t="s">
        <v>117</v>
      </c>
      <c r="CF1322" s="3">
        <v>45882</v>
      </c>
      <c r="CI1322">
        <v>1</v>
      </c>
      <c r="CJ1322">
        <v>1</v>
      </c>
      <c r="CK1322">
        <v>22</v>
      </c>
      <c r="CL1322" t="s">
        <v>90</v>
      </c>
    </row>
    <row r="1323" spans="1:90" x14ac:dyDescent="0.3">
      <c r="A1323" t="s">
        <v>72</v>
      </c>
      <c r="B1323" t="s">
        <v>73</v>
      </c>
      <c r="C1323" t="s">
        <v>74</v>
      </c>
      <c r="E1323" t="str">
        <f>"080067152658"</f>
        <v>080067152658</v>
      </c>
      <c r="F1323" s="3">
        <v>45880</v>
      </c>
      <c r="G1323">
        <v>202605</v>
      </c>
      <c r="H1323" t="s">
        <v>75</v>
      </c>
      <c r="I1323" t="s">
        <v>76</v>
      </c>
      <c r="J1323" t="s">
        <v>77</v>
      </c>
      <c r="K1323" t="s">
        <v>78</v>
      </c>
      <c r="L1323" t="s">
        <v>278</v>
      </c>
      <c r="M1323" t="s">
        <v>279</v>
      </c>
      <c r="N1323" t="s">
        <v>735</v>
      </c>
      <c r="O1323" t="s">
        <v>95</v>
      </c>
      <c r="P1323" t="str">
        <f>"4170053804                    "</f>
        <v xml:space="preserve">4170053804                    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0</v>
      </c>
      <c r="AO1323">
        <v>0</v>
      </c>
      <c r="AP1323">
        <v>0</v>
      </c>
      <c r="AQ1323">
        <v>74.13</v>
      </c>
      <c r="AR1323">
        <v>0</v>
      </c>
      <c r="AS1323">
        <v>0</v>
      </c>
      <c r="AT1323">
        <v>0</v>
      </c>
      <c r="AU1323">
        <v>0</v>
      </c>
      <c r="AV1323">
        <v>0</v>
      </c>
      <c r="AW1323">
        <v>0</v>
      </c>
      <c r="AX1323">
        <v>0</v>
      </c>
      <c r="AY1323">
        <v>0</v>
      </c>
      <c r="AZ1323">
        <v>0</v>
      </c>
      <c r="BA1323">
        <v>0</v>
      </c>
      <c r="BB1323">
        <v>0</v>
      </c>
      <c r="BC1323">
        <v>0</v>
      </c>
      <c r="BD1323">
        <v>0</v>
      </c>
      <c r="BE1323">
        <v>0</v>
      </c>
      <c r="BF1323">
        <v>0</v>
      </c>
      <c r="BG1323">
        <v>0</v>
      </c>
      <c r="BH1323">
        <v>1</v>
      </c>
      <c r="BI1323">
        <v>19</v>
      </c>
      <c r="BJ1323">
        <v>30.9</v>
      </c>
      <c r="BK1323">
        <v>31</v>
      </c>
      <c r="BL1323">
        <v>236.06</v>
      </c>
      <c r="BM1323">
        <v>35.409999999999997</v>
      </c>
      <c r="BN1323">
        <v>271.47000000000003</v>
      </c>
      <c r="BO1323">
        <v>271.47000000000003</v>
      </c>
      <c r="BQ1323" t="s">
        <v>736</v>
      </c>
      <c r="BR1323" t="s">
        <v>84</v>
      </c>
      <c r="BS1323" s="3">
        <v>45881</v>
      </c>
      <c r="BT1323" s="4">
        <v>0.58750000000000002</v>
      </c>
      <c r="BU1323" t="s">
        <v>2077</v>
      </c>
      <c r="BV1323" t="s">
        <v>86</v>
      </c>
      <c r="BY1323">
        <v>154560</v>
      </c>
      <c r="CA1323" t="s">
        <v>1987</v>
      </c>
      <c r="CC1323" t="s">
        <v>279</v>
      </c>
      <c r="CD1323" s="5" t="s">
        <v>533</v>
      </c>
      <c r="CE1323" t="s">
        <v>147</v>
      </c>
      <c r="CF1323" s="3">
        <v>45881</v>
      </c>
      <c r="CI1323">
        <v>1</v>
      </c>
      <c r="CJ1323">
        <v>1</v>
      </c>
      <c r="CK1323">
        <v>41</v>
      </c>
      <c r="CL1323" t="s">
        <v>90</v>
      </c>
    </row>
    <row r="1324" spans="1:90" x14ac:dyDescent="0.3">
      <c r="A1324" t="s">
        <v>72</v>
      </c>
      <c r="B1324" t="s">
        <v>73</v>
      </c>
      <c r="C1324" t="s">
        <v>74</v>
      </c>
      <c r="E1324" t="str">
        <f>"080067152909"</f>
        <v>080067152909</v>
      </c>
      <c r="F1324" s="3">
        <v>45880</v>
      </c>
      <c r="G1324">
        <v>202605</v>
      </c>
      <c r="H1324" t="s">
        <v>75</v>
      </c>
      <c r="I1324" t="s">
        <v>76</v>
      </c>
      <c r="J1324" t="s">
        <v>77</v>
      </c>
      <c r="K1324" t="s">
        <v>78</v>
      </c>
      <c r="L1324" t="s">
        <v>75</v>
      </c>
      <c r="M1324" t="s">
        <v>76</v>
      </c>
      <c r="N1324" t="s">
        <v>1905</v>
      </c>
      <c r="O1324" t="s">
        <v>95</v>
      </c>
      <c r="P1324" t="str">
        <f>"4170053968                    "</f>
        <v xml:space="preserve">4170053968                    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Q1324">
        <v>34.450000000000003</v>
      </c>
      <c r="AR1324">
        <v>0</v>
      </c>
      <c r="AS1324">
        <v>0</v>
      </c>
      <c r="AT1324">
        <v>0</v>
      </c>
      <c r="AU1324">
        <v>0</v>
      </c>
      <c r="AV1324">
        <v>0</v>
      </c>
      <c r="AW1324">
        <v>0</v>
      </c>
      <c r="AX1324">
        <v>0</v>
      </c>
      <c r="AY1324">
        <v>0</v>
      </c>
      <c r="AZ1324">
        <v>0</v>
      </c>
      <c r="BA1324">
        <v>0</v>
      </c>
      <c r="BB1324">
        <v>0</v>
      </c>
      <c r="BC1324">
        <v>0</v>
      </c>
      <c r="BD1324">
        <v>0</v>
      </c>
      <c r="BE1324">
        <v>0</v>
      </c>
      <c r="BF1324">
        <v>0</v>
      </c>
      <c r="BG1324">
        <v>0</v>
      </c>
      <c r="BH1324">
        <v>1</v>
      </c>
      <c r="BI1324">
        <v>6</v>
      </c>
      <c r="BJ1324">
        <v>2.6</v>
      </c>
      <c r="BK1324">
        <v>6</v>
      </c>
      <c r="BL1324">
        <v>112.84</v>
      </c>
      <c r="BM1324">
        <v>16.93</v>
      </c>
      <c r="BN1324">
        <v>129.77000000000001</v>
      </c>
      <c r="BO1324">
        <v>129.77000000000001</v>
      </c>
      <c r="BQ1324" t="s">
        <v>1906</v>
      </c>
      <c r="BR1324" t="s">
        <v>84</v>
      </c>
      <c r="BS1324" s="3">
        <v>45881</v>
      </c>
      <c r="BT1324" s="4">
        <v>0.51180555555555551</v>
      </c>
      <c r="BU1324" t="s">
        <v>1907</v>
      </c>
      <c r="BV1324" t="s">
        <v>86</v>
      </c>
      <c r="BY1324">
        <v>13110</v>
      </c>
      <c r="CA1324" t="s">
        <v>1743</v>
      </c>
      <c r="CC1324" t="s">
        <v>76</v>
      </c>
      <c r="CD1324">
        <v>1600</v>
      </c>
      <c r="CE1324" t="s">
        <v>147</v>
      </c>
      <c r="CF1324" s="3">
        <v>45881</v>
      </c>
      <c r="CI1324">
        <v>1</v>
      </c>
      <c r="CJ1324">
        <v>1</v>
      </c>
      <c r="CK1324">
        <v>42</v>
      </c>
      <c r="CL1324" t="s">
        <v>90</v>
      </c>
    </row>
    <row r="1325" spans="1:90" x14ac:dyDescent="0.3">
      <c r="A1325" t="s">
        <v>72</v>
      </c>
      <c r="B1325" t="s">
        <v>73</v>
      </c>
      <c r="C1325" t="s">
        <v>74</v>
      </c>
      <c r="E1325" t="str">
        <f>"080067152949"</f>
        <v>080067152949</v>
      </c>
      <c r="F1325" s="3">
        <v>45880</v>
      </c>
      <c r="G1325">
        <v>202605</v>
      </c>
      <c r="H1325" t="s">
        <v>75</v>
      </c>
      <c r="I1325" t="s">
        <v>76</v>
      </c>
      <c r="J1325" t="s">
        <v>77</v>
      </c>
      <c r="K1325" t="s">
        <v>78</v>
      </c>
      <c r="L1325" t="s">
        <v>303</v>
      </c>
      <c r="M1325" t="s">
        <v>304</v>
      </c>
      <c r="N1325" t="s">
        <v>840</v>
      </c>
      <c r="O1325" t="s">
        <v>82</v>
      </c>
      <c r="P1325" t="str">
        <f>"4170053694                    "</f>
        <v xml:space="preserve">4170053694                    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0</v>
      </c>
      <c r="AQ1325">
        <v>64.92</v>
      </c>
      <c r="AR1325">
        <v>0</v>
      </c>
      <c r="AS1325">
        <v>0</v>
      </c>
      <c r="AT1325">
        <v>0</v>
      </c>
      <c r="AU1325">
        <v>0</v>
      </c>
      <c r="AV1325">
        <v>0</v>
      </c>
      <c r="AW1325">
        <v>0</v>
      </c>
      <c r="AX1325">
        <v>0</v>
      </c>
      <c r="AY1325">
        <v>0</v>
      </c>
      <c r="AZ1325">
        <v>0</v>
      </c>
      <c r="BA1325">
        <v>0</v>
      </c>
      <c r="BB1325">
        <v>0</v>
      </c>
      <c r="BC1325">
        <v>0</v>
      </c>
      <c r="BD1325">
        <v>0</v>
      </c>
      <c r="BE1325">
        <v>0</v>
      </c>
      <c r="BF1325">
        <v>0</v>
      </c>
      <c r="BG1325">
        <v>0</v>
      </c>
      <c r="BH1325">
        <v>1</v>
      </c>
      <c r="BI1325">
        <v>3</v>
      </c>
      <c r="BJ1325">
        <v>1.7</v>
      </c>
      <c r="BK1325">
        <v>3</v>
      </c>
      <c r="BL1325">
        <v>201.6</v>
      </c>
      <c r="BM1325">
        <v>30.24</v>
      </c>
      <c r="BN1325">
        <v>231.84</v>
      </c>
      <c r="BO1325">
        <v>231.84</v>
      </c>
      <c r="BQ1325" t="s">
        <v>841</v>
      </c>
      <c r="BR1325" t="s">
        <v>84</v>
      </c>
      <c r="BS1325" s="3">
        <v>45881</v>
      </c>
      <c r="BT1325" s="4">
        <v>0.49444444444444446</v>
      </c>
      <c r="BU1325" t="s">
        <v>2078</v>
      </c>
      <c r="BV1325" t="s">
        <v>86</v>
      </c>
      <c r="BY1325">
        <v>8512</v>
      </c>
      <c r="CA1325" t="s">
        <v>308</v>
      </c>
      <c r="CC1325" t="s">
        <v>304</v>
      </c>
      <c r="CD1325">
        <v>7130</v>
      </c>
      <c r="CE1325" t="s">
        <v>147</v>
      </c>
      <c r="CF1325" s="3">
        <v>45882</v>
      </c>
      <c r="CI1325">
        <v>1</v>
      </c>
      <c r="CJ1325">
        <v>1</v>
      </c>
      <c r="CK1325">
        <v>23</v>
      </c>
      <c r="CL1325" t="s">
        <v>90</v>
      </c>
    </row>
    <row r="1326" spans="1:90" x14ac:dyDescent="0.3">
      <c r="A1326" t="s">
        <v>72</v>
      </c>
      <c r="B1326" t="s">
        <v>73</v>
      </c>
      <c r="C1326" t="s">
        <v>74</v>
      </c>
      <c r="E1326" t="str">
        <f>"080067152967"</f>
        <v>080067152967</v>
      </c>
      <c r="F1326" s="3">
        <v>45880</v>
      </c>
      <c r="G1326">
        <v>202605</v>
      </c>
      <c r="H1326" t="s">
        <v>75</v>
      </c>
      <c r="I1326" t="s">
        <v>76</v>
      </c>
      <c r="J1326" t="s">
        <v>77</v>
      </c>
      <c r="K1326" t="s">
        <v>78</v>
      </c>
      <c r="L1326" t="s">
        <v>179</v>
      </c>
      <c r="M1326" t="s">
        <v>180</v>
      </c>
      <c r="N1326" t="s">
        <v>181</v>
      </c>
      <c r="O1326" t="s">
        <v>82</v>
      </c>
      <c r="P1326" t="str">
        <f>"4170053829                    "</f>
        <v xml:space="preserve">4170053829                    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Q1326">
        <v>32.47</v>
      </c>
      <c r="AR1326">
        <v>0</v>
      </c>
      <c r="AS1326">
        <v>0</v>
      </c>
      <c r="AT1326">
        <v>0</v>
      </c>
      <c r="AU1326">
        <v>0</v>
      </c>
      <c r="AV1326">
        <v>0</v>
      </c>
      <c r="AW1326">
        <v>0</v>
      </c>
      <c r="AX1326">
        <v>0</v>
      </c>
      <c r="AY1326">
        <v>0</v>
      </c>
      <c r="AZ1326">
        <v>0</v>
      </c>
      <c r="BA1326">
        <v>0</v>
      </c>
      <c r="BB1326">
        <v>0</v>
      </c>
      <c r="BC1326">
        <v>0</v>
      </c>
      <c r="BD1326">
        <v>0</v>
      </c>
      <c r="BE1326">
        <v>0</v>
      </c>
      <c r="BF1326">
        <v>0</v>
      </c>
      <c r="BG1326">
        <v>0</v>
      </c>
      <c r="BH1326">
        <v>1</v>
      </c>
      <c r="BI1326">
        <v>1</v>
      </c>
      <c r="BJ1326">
        <v>0.2</v>
      </c>
      <c r="BK1326">
        <v>1</v>
      </c>
      <c r="BL1326">
        <v>100.82</v>
      </c>
      <c r="BM1326">
        <v>15.12</v>
      </c>
      <c r="BN1326">
        <v>115.94</v>
      </c>
      <c r="BO1326">
        <v>115.94</v>
      </c>
      <c r="BQ1326" t="s">
        <v>182</v>
      </c>
      <c r="BR1326" t="s">
        <v>84</v>
      </c>
      <c r="BS1326" s="3">
        <v>45881</v>
      </c>
      <c r="BT1326" s="4">
        <v>0.3923611111111111</v>
      </c>
      <c r="BU1326" t="s">
        <v>183</v>
      </c>
      <c r="BV1326" t="s">
        <v>86</v>
      </c>
      <c r="BY1326">
        <v>1200</v>
      </c>
      <c r="CA1326" t="s">
        <v>184</v>
      </c>
      <c r="CC1326" t="s">
        <v>180</v>
      </c>
      <c r="CD1326">
        <v>1748</v>
      </c>
      <c r="CE1326" t="s">
        <v>109</v>
      </c>
      <c r="CF1326" s="3">
        <v>45881</v>
      </c>
      <c r="CI1326">
        <v>1</v>
      </c>
      <c r="CJ1326">
        <v>1</v>
      </c>
      <c r="CK1326">
        <v>24</v>
      </c>
      <c r="CL1326" t="s">
        <v>90</v>
      </c>
    </row>
    <row r="1327" spans="1:90" x14ac:dyDescent="0.3">
      <c r="A1327" t="s">
        <v>72</v>
      </c>
      <c r="B1327" t="s">
        <v>73</v>
      </c>
      <c r="C1327" t="s">
        <v>74</v>
      </c>
      <c r="E1327" t="str">
        <f>"080067153019"</f>
        <v>080067153019</v>
      </c>
      <c r="F1327" s="3">
        <v>45880</v>
      </c>
      <c r="G1327">
        <v>202605</v>
      </c>
      <c r="H1327" t="s">
        <v>75</v>
      </c>
      <c r="I1327" t="s">
        <v>76</v>
      </c>
      <c r="J1327" t="s">
        <v>77</v>
      </c>
      <c r="K1327" t="s">
        <v>78</v>
      </c>
      <c r="L1327" t="s">
        <v>335</v>
      </c>
      <c r="M1327" t="s">
        <v>336</v>
      </c>
      <c r="N1327" t="s">
        <v>727</v>
      </c>
      <c r="O1327" t="s">
        <v>82</v>
      </c>
      <c r="P1327" t="str">
        <f>"4170053738                    "</f>
        <v xml:space="preserve">4170053738                    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Q1327">
        <v>64.92</v>
      </c>
      <c r="AR1327">
        <v>0</v>
      </c>
      <c r="AS1327">
        <v>0</v>
      </c>
      <c r="AT1327">
        <v>0</v>
      </c>
      <c r="AU1327">
        <v>0</v>
      </c>
      <c r="AV1327">
        <v>0</v>
      </c>
      <c r="AW1327">
        <v>0</v>
      </c>
      <c r="AX1327">
        <v>0</v>
      </c>
      <c r="AY1327">
        <v>0</v>
      </c>
      <c r="AZ1327">
        <v>0</v>
      </c>
      <c r="BA1327">
        <v>0</v>
      </c>
      <c r="BB1327">
        <v>0</v>
      </c>
      <c r="BC1327">
        <v>0</v>
      </c>
      <c r="BD1327">
        <v>0</v>
      </c>
      <c r="BE1327">
        <v>0</v>
      </c>
      <c r="BF1327">
        <v>0</v>
      </c>
      <c r="BG1327">
        <v>0</v>
      </c>
      <c r="BH1327">
        <v>1</v>
      </c>
      <c r="BI1327">
        <v>3</v>
      </c>
      <c r="BJ1327">
        <v>2</v>
      </c>
      <c r="BK1327">
        <v>3</v>
      </c>
      <c r="BL1327">
        <v>201.6</v>
      </c>
      <c r="BM1327">
        <v>30.24</v>
      </c>
      <c r="BN1327">
        <v>231.84</v>
      </c>
      <c r="BO1327">
        <v>231.84</v>
      </c>
      <c r="BQ1327" t="s">
        <v>728</v>
      </c>
      <c r="BR1327" t="s">
        <v>84</v>
      </c>
      <c r="BS1327" s="3">
        <v>45881</v>
      </c>
      <c r="BT1327" s="4">
        <v>0.4284722222222222</v>
      </c>
      <c r="BU1327" t="s">
        <v>1587</v>
      </c>
      <c r="BV1327" t="s">
        <v>86</v>
      </c>
      <c r="BY1327">
        <v>9918</v>
      </c>
      <c r="CA1327" t="s">
        <v>730</v>
      </c>
      <c r="CC1327" t="s">
        <v>336</v>
      </c>
      <c r="CD1327" s="5" t="s">
        <v>341</v>
      </c>
      <c r="CE1327" t="s">
        <v>147</v>
      </c>
      <c r="CF1327" s="3">
        <v>45882</v>
      </c>
      <c r="CI1327">
        <v>1</v>
      </c>
      <c r="CJ1327">
        <v>1</v>
      </c>
      <c r="CK1327">
        <v>23</v>
      </c>
      <c r="CL1327" t="s">
        <v>90</v>
      </c>
    </row>
    <row r="1328" spans="1:90" x14ac:dyDescent="0.3">
      <c r="A1328" t="s">
        <v>72</v>
      </c>
      <c r="B1328" t="s">
        <v>73</v>
      </c>
      <c r="C1328" t="s">
        <v>74</v>
      </c>
      <c r="E1328" t="str">
        <f>"080067153051"</f>
        <v>080067153051</v>
      </c>
      <c r="F1328" s="3">
        <v>45880</v>
      </c>
      <c r="G1328">
        <v>202605</v>
      </c>
      <c r="H1328" t="s">
        <v>75</v>
      </c>
      <c r="I1328" t="s">
        <v>76</v>
      </c>
      <c r="J1328" t="s">
        <v>77</v>
      </c>
      <c r="K1328" t="s">
        <v>78</v>
      </c>
      <c r="L1328" t="s">
        <v>373</v>
      </c>
      <c r="M1328" t="s">
        <v>374</v>
      </c>
      <c r="N1328" t="s">
        <v>383</v>
      </c>
      <c r="O1328" t="s">
        <v>82</v>
      </c>
      <c r="P1328" t="str">
        <f>"4170053765                    "</f>
        <v xml:space="preserve">4170053765                    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Q1328">
        <v>103.82</v>
      </c>
      <c r="AR1328">
        <v>0</v>
      </c>
      <c r="AS1328">
        <v>0</v>
      </c>
      <c r="AT1328">
        <v>0</v>
      </c>
      <c r="AU1328">
        <v>0</v>
      </c>
      <c r="AV1328">
        <v>0</v>
      </c>
      <c r="AW1328">
        <v>0</v>
      </c>
      <c r="AX1328">
        <v>0</v>
      </c>
      <c r="AY1328">
        <v>0</v>
      </c>
      <c r="AZ1328">
        <v>0</v>
      </c>
      <c r="BA1328">
        <v>0</v>
      </c>
      <c r="BB1328">
        <v>0</v>
      </c>
      <c r="BC1328">
        <v>0</v>
      </c>
      <c r="BD1328">
        <v>0</v>
      </c>
      <c r="BE1328">
        <v>0</v>
      </c>
      <c r="BF1328">
        <v>0</v>
      </c>
      <c r="BG1328">
        <v>0</v>
      </c>
      <c r="BH1328">
        <v>1</v>
      </c>
      <c r="BI1328">
        <v>3</v>
      </c>
      <c r="BJ1328">
        <v>8.9</v>
      </c>
      <c r="BK1328">
        <v>9</v>
      </c>
      <c r="BL1328">
        <v>322.38</v>
      </c>
      <c r="BM1328">
        <v>48.36</v>
      </c>
      <c r="BN1328">
        <v>370.74</v>
      </c>
      <c r="BO1328">
        <v>370.74</v>
      </c>
      <c r="BQ1328" t="s">
        <v>384</v>
      </c>
      <c r="BR1328" t="s">
        <v>84</v>
      </c>
      <c r="BS1328" s="3">
        <v>45881</v>
      </c>
      <c r="BT1328" s="4">
        <v>0.43402777777777779</v>
      </c>
      <c r="BU1328" t="s">
        <v>2079</v>
      </c>
      <c r="BV1328" t="s">
        <v>86</v>
      </c>
      <c r="BY1328">
        <v>44640</v>
      </c>
      <c r="CA1328" t="s">
        <v>203</v>
      </c>
      <c r="CC1328" t="s">
        <v>374</v>
      </c>
      <c r="CD1328">
        <v>6220</v>
      </c>
      <c r="CE1328" t="s">
        <v>147</v>
      </c>
      <c r="CF1328" s="3">
        <v>45881</v>
      </c>
      <c r="CI1328">
        <v>1</v>
      </c>
      <c r="CJ1328">
        <v>1</v>
      </c>
      <c r="CK1328">
        <v>21</v>
      </c>
      <c r="CL1328" t="s">
        <v>90</v>
      </c>
    </row>
    <row r="1329" spans="1:90" x14ac:dyDescent="0.3">
      <c r="A1329" t="s">
        <v>72</v>
      </c>
      <c r="B1329" t="s">
        <v>73</v>
      </c>
      <c r="C1329" t="s">
        <v>74</v>
      </c>
      <c r="E1329" t="str">
        <f>"080067153066"</f>
        <v>080067153066</v>
      </c>
      <c r="F1329" s="3">
        <v>45880</v>
      </c>
      <c r="G1329">
        <v>202605</v>
      </c>
      <c r="H1329" t="s">
        <v>75</v>
      </c>
      <c r="I1329" t="s">
        <v>76</v>
      </c>
      <c r="J1329" t="s">
        <v>77</v>
      </c>
      <c r="K1329" t="s">
        <v>78</v>
      </c>
      <c r="L1329" t="s">
        <v>400</v>
      </c>
      <c r="M1329" t="s">
        <v>401</v>
      </c>
      <c r="N1329" t="s">
        <v>694</v>
      </c>
      <c r="O1329" t="s">
        <v>82</v>
      </c>
      <c r="P1329" t="str">
        <f>"4170053989                    "</f>
        <v xml:space="preserve">4170053989                    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Q1329">
        <v>34.619999999999997</v>
      </c>
      <c r="AR1329">
        <v>0</v>
      </c>
      <c r="AS1329">
        <v>0</v>
      </c>
      <c r="AT1329">
        <v>0</v>
      </c>
      <c r="AU1329">
        <v>0</v>
      </c>
      <c r="AV1329">
        <v>0</v>
      </c>
      <c r="AW1329">
        <v>0</v>
      </c>
      <c r="AX1329">
        <v>0</v>
      </c>
      <c r="AY1329">
        <v>0</v>
      </c>
      <c r="AZ1329">
        <v>0</v>
      </c>
      <c r="BA1329">
        <v>0</v>
      </c>
      <c r="BB1329">
        <v>0</v>
      </c>
      <c r="BC1329">
        <v>0</v>
      </c>
      <c r="BD1329">
        <v>0</v>
      </c>
      <c r="BE1329">
        <v>0</v>
      </c>
      <c r="BF1329">
        <v>0</v>
      </c>
      <c r="BG1329">
        <v>0</v>
      </c>
      <c r="BH1329">
        <v>1</v>
      </c>
      <c r="BI1329">
        <v>3</v>
      </c>
      <c r="BJ1329">
        <v>2</v>
      </c>
      <c r="BK1329">
        <v>3</v>
      </c>
      <c r="BL1329">
        <v>107.5</v>
      </c>
      <c r="BM1329">
        <v>16.13</v>
      </c>
      <c r="BN1329">
        <v>123.63</v>
      </c>
      <c r="BO1329">
        <v>123.63</v>
      </c>
      <c r="BQ1329" t="s">
        <v>695</v>
      </c>
      <c r="BR1329" t="s">
        <v>84</v>
      </c>
      <c r="BS1329" s="3">
        <v>45881</v>
      </c>
      <c r="BT1329" s="4">
        <v>0.34375</v>
      </c>
      <c r="BU1329" t="s">
        <v>696</v>
      </c>
      <c r="BV1329" t="s">
        <v>86</v>
      </c>
      <c r="BY1329">
        <v>9918</v>
      </c>
      <c r="CA1329" t="s">
        <v>405</v>
      </c>
      <c r="CC1329" t="s">
        <v>401</v>
      </c>
      <c r="CD1329">
        <v>6021</v>
      </c>
      <c r="CE1329" t="s">
        <v>147</v>
      </c>
      <c r="CF1329" s="3">
        <v>45881</v>
      </c>
      <c r="CI1329">
        <v>1</v>
      </c>
      <c r="CJ1329">
        <v>1</v>
      </c>
      <c r="CK1329">
        <v>21</v>
      </c>
      <c r="CL1329" t="s">
        <v>90</v>
      </c>
    </row>
    <row r="1330" spans="1:90" x14ac:dyDescent="0.3">
      <c r="A1330" t="s">
        <v>72</v>
      </c>
      <c r="B1330" t="s">
        <v>73</v>
      </c>
      <c r="C1330" t="s">
        <v>74</v>
      </c>
      <c r="E1330" t="str">
        <f>"080067153073"</f>
        <v>080067153073</v>
      </c>
      <c r="F1330" s="3">
        <v>45880</v>
      </c>
      <c r="G1330">
        <v>202605</v>
      </c>
      <c r="H1330" t="s">
        <v>75</v>
      </c>
      <c r="I1330" t="s">
        <v>76</v>
      </c>
      <c r="J1330" t="s">
        <v>77</v>
      </c>
      <c r="K1330" t="s">
        <v>78</v>
      </c>
      <c r="L1330" t="s">
        <v>303</v>
      </c>
      <c r="M1330" t="s">
        <v>304</v>
      </c>
      <c r="N1330" t="s">
        <v>840</v>
      </c>
      <c r="O1330" t="s">
        <v>82</v>
      </c>
      <c r="P1330" t="str">
        <f>"4170053695                    "</f>
        <v xml:space="preserve">4170053695                    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0</v>
      </c>
      <c r="AP1330">
        <v>0</v>
      </c>
      <c r="AQ1330">
        <v>44.73</v>
      </c>
      <c r="AR1330">
        <v>0</v>
      </c>
      <c r="AS1330">
        <v>0</v>
      </c>
      <c r="AT1330">
        <v>0</v>
      </c>
      <c r="AU1330">
        <v>0</v>
      </c>
      <c r="AV1330">
        <v>0</v>
      </c>
      <c r="AW1330">
        <v>0</v>
      </c>
      <c r="AX1330">
        <v>0</v>
      </c>
      <c r="AY1330">
        <v>0</v>
      </c>
      <c r="AZ1330">
        <v>0</v>
      </c>
      <c r="BA1330">
        <v>0</v>
      </c>
      <c r="BB1330">
        <v>0</v>
      </c>
      <c r="BC1330">
        <v>0</v>
      </c>
      <c r="BD1330">
        <v>0</v>
      </c>
      <c r="BE1330">
        <v>0</v>
      </c>
      <c r="BF1330">
        <v>0</v>
      </c>
      <c r="BG1330">
        <v>0</v>
      </c>
      <c r="BH1330">
        <v>1</v>
      </c>
      <c r="BI1330">
        <v>1</v>
      </c>
      <c r="BJ1330">
        <v>1.4</v>
      </c>
      <c r="BK1330">
        <v>1.5</v>
      </c>
      <c r="BL1330">
        <v>138.88999999999999</v>
      </c>
      <c r="BM1330">
        <v>20.83</v>
      </c>
      <c r="BN1330">
        <v>159.72</v>
      </c>
      <c r="BO1330">
        <v>159.72</v>
      </c>
      <c r="BQ1330" t="s">
        <v>841</v>
      </c>
      <c r="BR1330" t="s">
        <v>84</v>
      </c>
      <c r="BS1330" s="3">
        <v>45881</v>
      </c>
      <c r="BT1330" s="4">
        <v>0.49444444444444446</v>
      </c>
      <c r="BU1330" t="s">
        <v>2078</v>
      </c>
      <c r="BV1330" t="s">
        <v>86</v>
      </c>
      <c r="BY1330">
        <v>7000</v>
      </c>
      <c r="CA1330" t="s">
        <v>308</v>
      </c>
      <c r="CC1330" t="s">
        <v>304</v>
      </c>
      <c r="CD1330">
        <v>7130</v>
      </c>
      <c r="CE1330" t="s">
        <v>147</v>
      </c>
      <c r="CF1330" s="3">
        <v>45882</v>
      </c>
      <c r="CI1330">
        <v>1</v>
      </c>
      <c r="CJ1330">
        <v>1</v>
      </c>
      <c r="CK1330">
        <v>23</v>
      </c>
      <c r="CL1330" t="s">
        <v>90</v>
      </c>
    </row>
    <row r="1331" spans="1:90" x14ac:dyDescent="0.3">
      <c r="A1331" t="s">
        <v>72</v>
      </c>
      <c r="B1331" t="s">
        <v>73</v>
      </c>
      <c r="C1331" t="s">
        <v>74</v>
      </c>
      <c r="E1331" t="str">
        <f>"080067153111"</f>
        <v>080067153111</v>
      </c>
      <c r="F1331" s="3">
        <v>45880</v>
      </c>
      <c r="G1331">
        <v>202605</v>
      </c>
      <c r="H1331" t="s">
        <v>75</v>
      </c>
      <c r="I1331" t="s">
        <v>76</v>
      </c>
      <c r="J1331" t="s">
        <v>77</v>
      </c>
      <c r="K1331" t="s">
        <v>78</v>
      </c>
      <c r="L1331" t="s">
        <v>198</v>
      </c>
      <c r="M1331" t="s">
        <v>199</v>
      </c>
      <c r="N1331" t="s">
        <v>430</v>
      </c>
      <c r="O1331" t="s">
        <v>82</v>
      </c>
      <c r="P1331" t="str">
        <f>"4170053983                    "</f>
        <v xml:space="preserve">4170053983                    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Q1331">
        <v>46.15</v>
      </c>
      <c r="AR1331">
        <v>0</v>
      </c>
      <c r="AS1331">
        <v>0</v>
      </c>
      <c r="AT1331">
        <v>0</v>
      </c>
      <c r="AU1331">
        <v>0</v>
      </c>
      <c r="AV1331">
        <v>0</v>
      </c>
      <c r="AW1331">
        <v>0</v>
      </c>
      <c r="AX1331">
        <v>0</v>
      </c>
      <c r="AY1331">
        <v>0</v>
      </c>
      <c r="AZ1331">
        <v>0</v>
      </c>
      <c r="BA1331">
        <v>0</v>
      </c>
      <c r="BB1331">
        <v>0</v>
      </c>
      <c r="BC1331">
        <v>0</v>
      </c>
      <c r="BD1331">
        <v>0</v>
      </c>
      <c r="BE1331">
        <v>0</v>
      </c>
      <c r="BF1331">
        <v>0</v>
      </c>
      <c r="BG1331">
        <v>0</v>
      </c>
      <c r="BH1331">
        <v>1</v>
      </c>
      <c r="BI1331">
        <v>4</v>
      </c>
      <c r="BJ1331">
        <v>3.8</v>
      </c>
      <c r="BK1331">
        <v>4</v>
      </c>
      <c r="BL1331">
        <v>143.31</v>
      </c>
      <c r="BM1331">
        <v>21.5</v>
      </c>
      <c r="BN1331">
        <v>164.81</v>
      </c>
      <c r="BO1331">
        <v>164.81</v>
      </c>
      <c r="BQ1331" t="s">
        <v>431</v>
      </c>
      <c r="BR1331" t="s">
        <v>84</v>
      </c>
      <c r="BS1331" s="3">
        <v>45881</v>
      </c>
      <c r="BT1331" s="4">
        <v>0.32916666666666666</v>
      </c>
      <c r="BU1331" t="s">
        <v>1902</v>
      </c>
      <c r="BV1331" t="s">
        <v>86</v>
      </c>
      <c r="BY1331">
        <v>19227</v>
      </c>
      <c r="CA1331" t="s">
        <v>433</v>
      </c>
      <c r="CC1331" t="s">
        <v>199</v>
      </c>
      <c r="CD1331">
        <v>6001</v>
      </c>
      <c r="CE1331" t="s">
        <v>147</v>
      </c>
      <c r="CF1331" s="3">
        <v>45881</v>
      </c>
      <c r="CI1331">
        <v>1</v>
      </c>
      <c r="CJ1331">
        <v>1</v>
      </c>
      <c r="CK1331">
        <v>21</v>
      </c>
      <c r="CL1331" t="s">
        <v>90</v>
      </c>
    </row>
    <row r="1332" spans="1:90" x14ac:dyDescent="0.3">
      <c r="A1332" t="s">
        <v>72</v>
      </c>
      <c r="B1332" t="s">
        <v>73</v>
      </c>
      <c r="C1332" t="s">
        <v>74</v>
      </c>
      <c r="E1332" t="str">
        <f>"080067153133"</f>
        <v>080067153133</v>
      </c>
      <c r="F1332" s="3">
        <v>45880</v>
      </c>
      <c r="G1332">
        <v>202605</v>
      </c>
      <c r="H1332" t="s">
        <v>75</v>
      </c>
      <c r="I1332" t="s">
        <v>76</v>
      </c>
      <c r="J1332" t="s">
        <v>77</v>
      </c>
      <c r="K1332" t="s">
        <v>78</v>
      </c>
      <c r="L1332" t="s">
        <v>118</v>
      </c>
      <c r="M1332" t="s">
        <v>118</v>
      </c>
      <c r="N1332" t="s">
        <v>119</v>
      </c>
      <c r="O1332" t="s">
        <v>82</v>
      </c>
      <c r="P1332" t="str">
        <f>"4170053945                    "</f>
        <v xml:space="preserve">4170053945                    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Q1332">
        <v>186.11</v>
      </c>
      <c r="AR1332">
        <v>0</v>
      </c>
      <c r="AS1332">
        <v>0</v>
      </c>
      <c r="AT1332">
        <v>0</v>
      </c>
      <c r="AU1332">
        <v>0</v>
      </c>
      <c r="AV1332">
        <v>0</v>
      </c>
      <c r="AW1332">
        <v>0</v>
      </c>
      <c r="AX1332">
        <v>0</v>
      </c>
      <c r="AY1332">
        <v>0</v>
      </c>
      <c r="AZ1332">
        <v>0</v>
      </c>
      <c r="BA1332">
        <v>0</v>
      </c>
      <c r="BB1332">
        <v>0</v>
      </c>
      <c r="BC1332">
        <v>0</v>
      </c>
      <c r="BD1332">
        <v>0</v>
      </c>
      <c r="BE1332">
        <v>0</v>
      </c>
      <c r="BF1332">
        <v>0</v>
      </c>
      <c r="BG1332">
        <v>0</v>
      </c>
      <c r="BH1332">
        <v>1</v>
      </c>
      <c r="BI1332">
        <v>6</v>
      </c>
      <c r="BJ1332">
        <v>8.6999999999999993</v>
      </c>
      <c r="BK1332">
        <v>9</v>
      </c>
      <c r="BL1332">
        <v>577.91</v>
      </c>
      <c r="BM1332">
        <v>86.69</v>
      </c>
      <c r="BN1332">
        <v>664.6</v>
      </c>
      <c r="BO1332">
        <v>664.6</v>
      </c>
      <c r="BQ1332" t="s">
        <v>120</v>
      </c>
      <c r="BR1332" t="s">
        <v>84</v>
      </c>
      <c r="BS1332" s="3">
        <v>45881</v>
      </c>
      <c r="BT1332" s="4">
        <v>0.54027777777777775</v>
      </c>
      <c r="BU1332" t="s">
        <v>121</v>
      </c>
      <c r="BV1332" t="s">
        <v>86</v>
      </c>
      <c r="BY1332">
        <v>43264</v>
      </c>
      <c r="CA1332" t="s">
        <v>122</v>
      </c>
      <c r="CC1332" t="s">
        <v>118</v>
      </c>
      <c r="CD1332">
        <v>7646</v>
      </c>
      <c r="CE1332" t="s">
        <v>970</v>
      </c>
      <c r="CF1332" s="3">
        <v>45883</v>
      </c>
      <c r="CI1332">
        <v>1</v>
      </c>
      <c r="CJ1332">
        <v>1</v>
      </c>
      <c r="CK1332">
        <v>23</v>
      </c>
      <c r="CL1332" t="s">
        <v>90</v>
      </c>
    </row>
    <row r="1333" spans="1:90" x14ac:dyDescent="0.3">
      <c r="A1333" t="s">
        <v>72</v>
      </c>
      <c r="B1333" t="s">
        <v>73</v>
      </c>
      <c r="C1333" t="s">
        <v>74</v>
      </c>
      <c r="E1333" t="str">
        <f>"080067153172"</f>
        <v>080067153172</v>
      </c>
      <c r="F1333" s="3">
        <v>45880</v>
      </c>
      <c r="G1333">
        <v>202605</v>
      </c>
      <c r="H1333" t="s">
        <v>75</v>
      </c>
      <c r="I1333" t="s">
        <v>76</v>
      </c>
      <c r="J1333" t="s">
        <v>77</v>
      </c>
      <c r="K1333" t="s">
        <v>78</v>
      </c>
      <c r="L1333" t="s">
        <v>373</v>
      </c>
      <c r="M1333" t="s">
        <v>374</v>
      </c>
      <c r="N1333" t="s">
        <v>383</v>
      </c>
      <c r="O1333" t="s">
        <v>82</v>
      </c>
      <c r="P1333" t="str">
        <f>"4170053966                    "</f>
        <v xml:space="preserve">4170053966                    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Q1333">
        <v>121.12</v>
      </c>
      <c r="AR1333">
        <v>0</v>
      </c>
      <c r="AS1333">
        <v>0</v>
      </c>
      <c r="AT1333">
        <v>0</v>
      </c>
      <c r="AU1333">
        <v>0</v>
      </c>
      <c r="AV1333">
        <v>0</v>
      </c>
      <c r="AW1333">
        <v>0</v>
      </c>
      <c r="AX1333">
        <v>0</v>
      </c>
      <c r="AY1333">
        <v>0</v>
      </c>
      <c r="AZ1333">
        <v>0</v>
      </c>
      <c r="BA1333">
        <v>0</v>
      </c>
      <c r="BB1333">
        <v>0</v>
      </c>
      <c r="BC1333">
        <v>0</v>
      </c>
      <c r="BD1333">
        <v>0</v>
      </c>
      <c r="BE1333">
        <v>0</v>
      </c>
      <c r="BF1333">
        <v>0</v>
      </c>
      <c r="BG1333">
        <v>0</v>
      </c>
      <c r="BH1333">
        <v>1</v>
      </c>
      <c r="BI1333">
        <v>7</v>
      </c>
      <c r="BJ1333">
        <v>10.5</v>
      </c>
      <c r="BK1333">
        <v>10.5</v>
      </c>
      <c r="BL1333">
        <v>376.1</v>
      </c>
      <c r="BM1333">
        <v>56.42</v>
      </c>
      <c r="BN1333">
        <v>432.52</v>
      </c>
      <c r="BO1333">
        <v>432.52</v>
      </c>
      <c r="BQ1333" t="s">
        <v>384</v>
      </c>
      <c r="BR1333" t="s">
        <v>84</v>
      </c>
      <c r="BS1333" s="3">
        <v>45881</v>
      </c>
      <c r="BT1333" s="4">
        <v>0.43402777777777779</v>
      </c>
      <c r="BU1333" t="s">
        <v>2079</v>
      </c>
      <c r="BV1333" t="s">
        <v>86</v>
      </c>
      <c r="BY1333">
        <v>52272</v>
      </c>
      <c r="CA1333" t="s">
        <v>203</v>
      </c>
      <c r="CC1333" t="s">
        <v>374</v>
      </c>
      <c r="CD1333">
        <v>6220</v>
      </c>
      <c r="CE1333" t="s">
        <v>117</v>
      </c>
      <c r="CF1333" s="3">
        <v>45881</v>
      </c>
      <c r="CI1333">
        <v>1</v>
      </c>
      <c r="CJ1333">
        <v>1</v>
      </c>
      <c r="CK1333">
        <v>21</v>
      </c>
      <c r="CL1333" t="s">
        <v>90</v>
      </c>
    </row>
    <row r="1334" spans="1:90" x14ac:dyDescent="0.3">
      <c r="A1334" t="s">
        <v>72</v>
      </c>
      <c r="B1334" t="s">
        <v>73</v>
      </c>
      <c r="C1334" t="s">
        <v>74</v>
      </c>
      <c r="E1334" t="str">
        <f>"080067153177"</f>
        <v>080067153177</v>
      </c>
      <c r="F1334" s="3">
        <v>45880</v>
      </c>
      <c r="G1334">
        <v>202605</v>
      </c>
      <c r="H1334" t="s">
        <v>75</v>
      </c>
      <c r="I1334" t="s">
        <v>76</v>
      </c>
      <c r="J1334" t="s">
        <v>77</v>
      </c>
      <c r="K1334" t="s">
        <v>78</v>
      </c>
      <c r="L1334" t="s">
        <v>179</v>
      </c>
      <c r="M1334" t="s">
        <v>180</v>
      </c>
      <c r="N1334" t="s">
        <v>131</v>
      </c>
      <c r="O1334" t="s">
        <v>113</v>
      </c>
      <c r="P1334" t="str">
        <f>"4170054049                    "</f>
        <v xml:space="preserve">4170054049                    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>
        <v>120.15</v>
      </c>
      <c r="AR1334">
        <v>0</v>
      </c>
      <c r="AS1334">
        <v>0</v>
      </c>
      <c r="AT1334">
        <v>0</v>
      </c>
      <c r="AU1334">
        <v>0</v>
      </c>
      <c r="AV1334">
        <v>0</v>
      </c>
      <c r="AW1334">
        <v>0</v>
      </c>
      <c r="AX1334">
        <v>0</v>
      </c>
      <c r="AY1334">
        <v>0</v>
      </c>
      <c r="AZ1334">
        <v>0</v>
      </c>
      <c r="BA1334">
        <v>0</v>
      </c>
      <c r="BB1334">
        <v>0</v>
      </c>
      <c r="BC1334">
        <v>0</v>
      </c>
      <c r="BD1334">
        <v>0</v>
      </c>
      <c r="BE1334">
        <v>0</v>
      </c>
      <c r="BF1334">
        <v>0</v>
      </c>
      <c r="BG1334">
        <v>0</v>
      </c>
      <c r="BH1334">
        <v>1</v>
      </c>
      <c r="BI1334">
        <v>4</v>
      </c>
      <c r="BJ1334">
        <v>6.3</v>
      </c>
      <c r="BK1334">
        <v>6.5</v>
      </c>
      <c r="BL1334">
        <v>373.09</v>
      </c>
      <c r="BM1334">
        <v>55.96</v>
      </c>
      <c r="BN1334">
        <v>429.05</v>
      </c>
      <c r="BO1334">
        <v>429.05</v>
      </c>
      <c r="BQ1334" t="s">
        <v>132</v>
      </c>
      <c r="BR1334" t="s">
        <v>84</v>
      </c>
      <c r="BS1334" s="3">
        <v>45882</v>
      </c>
      <c r="BT1334" s="4">
        <v>0.41666666666666669</v>
      </c>
      <c r="BU1334" t="s">
        <v>2080</v>
      </c>
      <c r="BV1334" t="s">
        <v>90</v>
      </c>
      <c r="BW1334" t="s">
        <v>380</v>
      </c>
      <c r="BX1334" t="s">
        <v>2081</v>
      </c>
      <c r="BY1334">
        <v>31552</v>
      </c>
      <c r="CC1334" t="s">
        <v>180</v>
      </c>
      <c r="CD1334">
        <v>1754</v>
      </c>
      <c r="CE1334" t="s">
        <v>117</v>
      </c>
      <c r="CF1334" s="3">
        <v>45882</v>
      </c>
      <c r="CI1334">
        <v>1</v>
      </c>
      <c r="CJ1334">
        <v>2</v>
      </c>
      <c r="CK1334">
        <v>34</v>
      </c>
      <c r="CL1334" t="s">
        <v>90</v>
      </c>
    </row>
    <row r="1335" spans="1:90" x14ac:dyDescent="0.3">
      <c r="A1335" t="s">
        <v>72</v>
      </c>
      <c r="B1335" t="s">
        <v>73</v>
      </c>
      <c r="C1335" t="s">
        <v>74</v>
      </c>
      <c r="E1335" t="str">
        <f>"080067153217"</f>
        <v>080067153217</v>
      </c>
      <c r="F1335" s="3">
        <v>45880</v>
      </c>
      <c r="G1335">
        <v>202605</v>
      </c>
      <c r="H1335" t="s">
        <v>75</v>
      </c>
      <c r="I1335" t="s">
        <v>76</v>
      </c>
      <c r="J1335" t="s">
        <v>77</v>
      </c>
      <c r="K1335" t="s">
        <v>78</v>
      </c>
      <c r="L1335" t="s">
        <v>198</v>
      </c>
      <c r="M1335" t="s">
        <v>199</v>
      </c>
      <c r="N1335" t="s">
        <v>680</v>
      </c>
      <c r="O1335" t="s">
        <v>82</v>
      </c>
      <c r="P1335" t="str">
        <f>"4170053838                    "</f>
        <v xml:space="preserve">4170053838                    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Q1335">
        <v>51.92</v>
      </c>
      <c r="AR1335">
        <v>0</v>
      </c>
      <c r="AS1335">
        <v>0</v>
      </c>
      <c r="AT1335">
        <v>0</v>
      </c>
      <c r="AU1335">
        <v>0</v>
      </c>
      <c r="AV1335">
        <v>0</v>
      </c>
      <c r="AW1335">
        <v>0</v>
      </c>
      <c r="AX1335">
        <v>0</v>
      </c>
      <c r="AY1335">
        <v>0</v>
      </c>
      <c r="AZ1335">
        <v>0</v>
      </c>
      <c r="BA1335">
        <v>0</v>
      </c>
      <c r="BB1335">
        <v>0</v>
      </c>
      <c r="BC1335">
        <v>0</v>
      </c>
      <c r="BD1335">
        <v>0</v>
      </c>
      <c r="BE1335">
        <v>0</v>
      </c>
      <c r="BF1335">
        <v>0</v>
      </c>
      <c r="BG1335">
        <v>0</v>
      </c>
      <c r="BH1335">
        <v>1</v>
      </c>
      <c r="BI1335">
        <v>4</v>
      </c>
      <c r="BJ1335">
        <v>4.0999999999999996</v>
      </c>
      <c r="BK1335">
        <v>4.5</v>
      </c>
      <c r="BL1335">
        <v>161.22</v>
      </c>
      <c r="BM1335">
        <v>24.18</v>
      </c>
      <c r="BN1335">
        <v>185.4</v>
      </c>
      <c r="BO1335">
        <v>185.4</v>
      </c>
      <c r="BQ1335" t="s">
        <v>681</v>
      </c>
      <c r="BR1335" t="s">
        <v>84</v>
      </c>
      <c r="BS1335" s="3">
        <v>45881</v>
      </c>
      <c r="BT1335" s="4">
        <v>0.38750000000000001</v>
      </c>
      <c r="BU1335" t="s">
        <v>682</v>
      </c>
      <c r="BV1335" t="s">
        <v>86</v>
      </c>
      <c r="BY1335">
        <v>20358</v>
      </c>
      <c r="CA1335" t="s">
        <v>413</v>
      </c>
      <c r="CC1335" t="s">
        <v>199</v>
      </c>
      <c r="CD1335">
        <v>6001</v>
      </c>
      <c r="CE1335" t="s">
        <v>147</v>
      </c>
      <c r="CF1335" s="3">
        <v>45881</v>
      </c>
      <c r="CI1335">
        <v>1</v>
      </c>
      <c r="CJ1335">
        <v>1</v>
      </c>
      <c r="CK1335">
        <v>21</v>
      </c>
      <c r="CL1335" t="s">
        <v>90</v>
      </c>
    </row>
    <row r="1336" spans="1:90" x14ac:dyDescent="0.3">
      <c r="A1336" t="s">
        <v>72</v>
      </c>
      <c r="B1336" t="s">
        <v>73</v>
      </c>
      <c r="C1336" t="s">
        <v>74</v>
      </c>
      <c r="E1336" t="str">
        <f>"080067153220"</f>
        <v>080067153220</v>
      </c>
      <c r="F1336" s="3">
        <v>45880</v>
      </c>
      <c r="G1336">
        <v>202605</v>
      </c>
      <c r="H1336" t="s">
        <v>75</v>
      </c>
      <c r="I1336" t="s">
        <v>76</v>
      </c>
      <c r="J1336" t="s">
        <v>77</v>
      </c>
      <c r="K1336" t="s">
        <v>78</v>
      </c>
      <c r="L1336" t="s">
        <v>75</v>
      </c>
      <c r="M1336" t="s">
        <v>76</v>
      </c>
      <c r="N1336" t="s">
        <v>761</v>
      </c>
      <c r="O1336" t="s">
        <v>82</v>
      </c>
      <c r="P1336" t="str">
        <f>"4170053822                    "</f>
        <v xml:space="preserve">4170053822                    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>
        <v>18.03</v>
      </c>
      <c r="AR1336">
        <v>0</v>
      </c>
      <c r="AS1336">
        <v>0</v>
      </c>
      <c r="AT1336">
        <v>0</v>
      </c>
      <c r="AU1336">
        <v>0</v>
      </c>
      <c r="AV1336">
        <v>0</v>
      </c>
      <c r="AW1336">
        <v>0</v>
      </c>
      <c r="AX1336">
        <v>0</v>
      </c>
      <c r="AY1336">
        <v>0</v>
      </c>
      <c r="AZ1336">
        <v>0</v>
      </c>
      <c r="BA1336">
        <v>0</v>
      </c>
      <c r="BB1336">
        <v>0</v>
      </c>
      <c r="BC1336">
        <v>0</v>
      </c>
      <c r="BD1336">
        <v>0</v>
      </c>
      <c r="BE1336">
        <v>0</v>
      </c>
      <c r="BF1336">
        <v>0</v>
      </c>
      <c r="BG1336">
        <v>0</v>
      </c>
      <c r="BH1336">
        <v>1</v>
      </c>
      <c r="BI1336">
        <v>1</v>
      </c>
      <c r="BJ1336">
        <v>1.7</v>
      </c>
      <c r="BK1336">
        <v>2</v>
      </c>
      <c r="BL1336">
        <v>55.99</v>
      </c>
      <c r="BM1336">
        <v>8.4</v>
      </c>
      <c r="BN1336">
        <v>64.39</v>
      </c>
      <c r="BO1336">
        <v>64.39</v>
      </c>
      <c r="BQ1336" t="s">
        <v>762</v>
      </c>
      <c r="BR1336" t="s">
        <v>84</v>
      </c>
      <c r="BS1336" s="3">
        <v>45881</v>
      </c>
      <c r="BT1336" s="4">
        <v>0.37569444444444444</v>
      </c>
      <c r="BU1336" t="s">
        <v>763</v>
      </c>
      <c r="BV1336" t="s">
        <v>86</v>
      </c>
      <c r="BY1336">
        <v>8512</v>
      </c>
      <c r="CA1336" t="s">
        <v>155</v>
      </c>
      <c r="CC1336" t="s">
        <v>76</v>
      </c>
      <c r="CD1336">
        <v>1618</v>
      </c>
      <c r="CE1336" t="s">
        <v>147</v>
      </c>
      <c r="CF1336" s="3">
        <v>45881</v>
      </c>
      <c r="CI1336">
        <v>1</v>
      </c>
      <c r="CJ1336">
        <v>1</v>
      </c>
      <c r="CK1336">
        <v>22</v>
      </c>
      <c r="CL1336" t="s">
        <v>90</v>
      </c>
    </row>
    <row r="1337" spans="1:90" x14ac:dyDescent="0.3">
      <c r="A1337" t="s">
        <v>72</v>
      </c>
      <c r="B1337" t="s">
        <v>73</v>
      </c>
      <c r="C1337" t="s">
        <v>74</v>
      </c>
      <c r="E1337" t="str">
        <f>"080067153270"</f>
        <v>080067153270</v>
      </c>
      <c r="F1337" s="3">
        <v>45880</v>
      </c>
      <c r="G1337">
        <v>202605</v>
      </c>
      <c r="H1337" t="s">
        <v>75</v>
      </c>
      <c r="I1337" t="s">
        <v>76</v>
      </c>
      <c r="J1337" t="s">
        <v>77</v>
      </c>
      <c r="K1337" t="s">
        <v>78</v>
      </c>
      <c r="L1337" t="s">
        <v>75</v>
      </c>
      <c r="M1337" t="s">
        <v>76</v>
      </c>
      <c r="N1337" t="s">
        <v>537</v>
      </c>
      <c r="O1337" t="s">
        <v>82</v>
      </c>
      <c r="P1337" t="str">
        <f>"4170053953                    "</f>
        <v xml:space="preserve">4170053953                    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18.03</v>
      </c>
      <c r="AR1337">
        <v>0</v>
      </c>
      <c r="AS1337">
        <v>0</v>
      </c>
      <c r="AT1337">
        <v>0</v>
      </c>
      <c r="AU1337">
        <v>0</v>
      </c>
      <c r="AV1337">
        <v>0</v>
      </c>
      <c r="AW1337">
        <v>0</v>
      </c>
      <c r="AX1337">
        <v>0</v>
      </c>
      <c r="AY1337">
        <v>0</v>
      </c>
      <c r="AZ1337">
        <v>0</v>
      </c>
      <c r="BA1337">
        <v>0</v>
      </c>
      <c r="BB1337">
        <v>0</v>
      </c>
      <c r="BC1337">
        <v>0</v>
      </c>
      <c r="BD1337">
        <v>0</v>
      </c>
      <c r="BE1337">
        <v>0</v>
      </c>
      <c r="BF1337">
        <v>0</v>
      </c>
      <c r="BG1337">
        <v>0</v>
      </c>
      <c r="BH1337">
        <v>1</v>
      </c>
      <c r="BI1337">
        <v>1</v>
      </c>
      <c r="BJ1337">
        <v>1.8</v>
      </c>
      <c r="BK1337">
        <v>2</v>
      </c>
      <c r="BL1337">
        <v>55.99</v>
      </c>
      <c r="BM1337">
        <v>8.4</v>
      </c>
      <c r="BN1337">
        <v>64.39</v>
      </c>
      <c r="BO1337">
        <v>64.39</v>
      </c>
      <c r="BQ1337" t="s">
        <v>538</v>
      </c>
      <c r="BR1337" t="s">
        <v>84</v>
      </c>
      <c r="BS1337" s="3">
        <v>45881</v>
      </c>
      <c r="BT1337" s="4">
        <v>0.4236111111111111</v>
      </c>
      <c r="BU1337" t="s">
        <v>738</v>
      </c>
      <c r="BV1337" t="s">
        <v>86</v>
      </c>
      <c r="BY1337">
        <v>8775</v>
      </c>
      <c r="CA1337" t="s">
        <v>739</v>
      </c>
      <c r="CC1337" t="s">
        <v>76</v>
      </c>
      <c r="CD1337">
        <v>1619</v>
      </c>
      <c r="CE1337" t="s">
        <v>147</v>
      </c>
      <c r="CF1337" s="3">
        <v>45882</v>
      </c>
      <c r="CI1337">
        <v>1</v>
      </c>
      <c r="CJ1337">
        <v>1</v>
      </c>
      <c r="CK1337">
        <v>22</v>
      </c>
      <c r="CL1337" t="s">
        <v>90</v>
      </c>
    </row>
    <row r="1338" spans="1:90" x14ac:dyDescent="0.3">
      <c r="A1338" t="s">
        <v>72</v>
      </c>
      <c r="B1338" t="s">
        <v>73</v>
      </c>
      <c r="C1338" t="s">
        <v>74</v>
      </c>
      <c r="E1338" t="str">
        <f>"080067153290"</f>
        <v>080067153290</v>
      </c>
      <c r="F1338" s="3">
        <v>45880</v>
      </c>
      <c r="G1338">
        <v>202605</v>
      </c>
      <c r="H1338" t="s">
        <v>75</v>
      </c>
      <c r="I1338" t="s">
        <v>76</v>
      </c>
      <c r="J1338" t="s">
        <v>77</v>
      </c>
      <c r="K1338" t="s">
        <v>78</v>
      </c>
      <c r="L1338" t="s">
        <v>79</v>
      </c>
      <c r="M1338" t="s">
        <v>80</v>
      </c>
      <c r="N1338" t="s">
        <v>1027</v>
      </c>
      <c r="O1338" t="s">
        <v>82</v>
      </c>
      <c r="P1338" t="str">
        <f>"4170054068                    "</f>
        <v xml:space="preserve">4170054068                    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Q1338">
        <v>18.03</v>
      </c>
      <c r="AR1338">
        <v>0</v>
      </c>
      <c r="AS1338">
        <v>0</v>
      </c>
      <c r="AT1338">
        <v>0</v>
      </c>
      <c r="AU1338">
        <v>0</v>
      </c>
      <c r="AV1338">
        <v>0</v>
      </c>
      <c r="AW1338">
        <v>0</v>
      </c>
      <c r="AX1338">
        <v>0</v>
      </c>
      <c r="AY1338">
        <v>0</v>
      </c>
      <c r="AZ1338">
        <v>0</v>
      </c>
      <c r="BA1338">
        <v>0</v>
      </c>
      <c r="BB1338">
        <v>0</v>
      </c>
      <c r="BC1338">
        <v>0</v>
      </c>
      <c r="BD1338">
        <v>0</v>
      </c>
      <c r="BE1338">
        <v>0</v>
      </c>
      <c r="BF1338">
        <v>0</v>
      </c>
      <c r="BG1338">
        <v>0</v>
      </c>
      <c r="BH1338">
        <v>1</v>
      </c>
      <c r="BI1338">
        <v>1</v>
      </c>
      <c r="BJ1338">
        <v>0.2</v>
      </c>
      <c r="BK1338">
        <v>1</v>
      </c>
      <c r="BL1338">
        <v>55.99</v>
      </c>
      <c r="BM1338">
        <v>8.4</v>
      </c>
      <c r="BN1338">
        <v>64.39</v>
      </c>
      <c r="BO1338">
        <v>64.39</v>
      </c>
      <c r="BQ1338" t="s">
        <v>2082</v>
      </c>
      <c r="BR1338" t="s">
        <v>84</v>
      </c>
      <c r="BS1338" s="3">
        <v>45881</v>
      </c>
      <c r="BT1338" s="4">
        <v>0.36319444444444443</v>
      </c>
      <c r="BU1338" t="s">
        <v>2083</v>
      </c>
      <c r="BV1338" t="s">
        <v>86</v>
      </c>
      <c r="BY1338">
        <v>1200</v>
      </c>
      <c r="CA1338" t="s">
        <v>1026</v>
      </c>
      <c r="CC1338" t="s">
        <v>80</v>
      </c>
      <c r="CD1338">
        <v>1406</v>
      </c>
      <c r="CE1338" t="s">
        <v>109</v>
      </c>
      <c r="CF1338" s="3">
        <v>45881</v>
      </c>
      <c r="CI1338">
        <v>1</v>
      </c>
      <c r="CJ1338">
        <v>1</v>
      </c>
      <c r="CK1338">
        <v>22</v>
      </c>
      <c r="CL1338" t="s">
        <v>90</v>
      </c>
    </row>
    <row r="1339" spans="1:90" x14ac:dyDescent="0.3">
      <c r="A1339" t="s">
        <v>72</v>
      </c>
      <c r="B1339" t="s">
        <v>73</v>
      </c>
      <c r="C1339" t="s">
        <v>74</v>
      </c>
      <c r="E1339" t="str">
        <f>"080067153808"</f>
        <v>080067153808</v>
      </c>
      <c r="F1339" s="3">
        <v>45880</v>
      </c>
      <c r="G1339">
        <v>202605</v>
      </c>
      <c r="H1339" t="s">
        <v>75</v>
      </c>
      <c r="I1339" t="s">
        <v>76</v>
      </c>
      <c r="J1339" t="s">
        <v>77</v>
      </c>
      <c r="K1339" t="s">
        <v>78</v>
      </c>
      <c r="L1339" t="s">
        <v>319</v>
      </c>
      <c r="M1339" t="s">
        <v>320</v>
      </c>
      <c r="N1339" t="s">
        <v>321</v>
      </c>
      <c r="O1339" t="s">
        <v>82</v>
      </c>
      <c r="P1339" t="str">
        <f>"4170054074                    "</f>
        <v xml:space="preserve">4170054074                    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44.73</v>
      </c>
      <c r="AR1339">
        <v>0</v>
      </c>
      <c r="AS1339">
        <v>0</v>
      </c>
      <c r="AT1339">
        <v>0</v>
      </c>
      <c r="AU1339">
        <v>0</v>
      </c>
      <c r="AV1339">
        <v>0</v>
      </c>
      <c r="AW1339">
        <v>0</v>
      </c>
      <c r="AX1339">
        <v>0</v>
      </c>
      <c r="AY1339">
        <v>0</v>
      </c>
      <c r="AZ1339">
        <v>0</v>
      </c>
      <c r="BA1339">
        <v>0</v>
      </c>
      <c r="BB1339">
        <v>0</v>
      </c>
      <c r="BC1339">
        <v>0</v>
      </c>
      <c r="BD1339">
        <v>0</v>
      </c>
      <c r="BE1339">
        <v>0</v>
      </c>
      <c r="BF1339">
        <v>0</v>
      </c>
      <c r="BG1339">
        <v>0</v>
      </c>
      <c r="BH1339">
        <v>1</v>
      </c>
      <c r="BI1339">
        <v>1</v>
      </c>
      <c r="BJ1339">
        <v>0.2</v>
      </c>
      <c r="BK1339">
        <v>1</v>
      </c>
      <c r="BL1339">
        <v>138.88999999999999</v>
      </c>
      <c r="BM1339">
        <v>20.83</v>
      </c>
      <c r="BN1339">
        <v>159.72</v>
      </c>
      <c r="BO1339">
        <v>159.72</v>
      </c>
      <c r="BQ1339" t="s">
        <v>322</v>
      </c>
      <c r="BR1339" t="s">
        <v>84</v>
      </c>
      <c r="BS1339" s="3">
        <v>45881</v>
      </c>
      <c r="BT1339" s="4">
        <v>0.40416666666666667</v>
      </c>
      <c r="BU1339" t="s">
        <v>2041</v>
      </c>
      <c r="BV1339" t="s">
        <v>86</v>
      </c>
      <c r="BY1339">
        <v>1200</v>
      </c>
      <c r="CA1339" t="s">
        <v>324</v>
      </c>
      <c r="CC1339" t="s">
        <v>320</v>
      </c>
      <c r="CD1339">
        <v>2531</v>
      </c>
      <c r="CE1339" t="s">
        <v>109</v>
      </c>
      <c r="CF1339" s="3">
        <v>45882</v>
      </c>
      <c r="CI1339">
        <v>1</v>
      </c>
      <c r="CJ1339">
        <v>1</v>
      </c>
      <c r="CK1339">
        <v>23</v>
      </c>
      <c r="CL1339" t="s">
        <v>90</v>
      </c>
    </row>
    <row r="1340" spans="1:90" x14ac:dyDescent="0.3">
      <c r="A1340" t="s">
        <v>72</v>
      </c>
      <c r="B1340" t="s">
        <v>73</v>
      </c>
      <c r="C1340" t="s">
        <v>74</v>
      </c>
      <c r="E1340" t="str">
        <f>"080067153865"</f>
        <v>080067153865</v>
      </c>
      <c r="F1340" s="3">
        <v>45880</v>
      </c>
      <c r="G1340">
        <v>202605</v>
      </c>
      <c r="H1340" t="s">
        <v>75</v>
      </c>
      <c r="I1340" t="s">
        <v>76</v>
      </c>
      <c r="J1340" t="s">
        <v>77</v>
      </c>
      <c r="K1340" t="s">
        <v>78</v>
      </c>
      <c r="L1340" t="s">
        <v>373</v>
      </c>
      <c r="M1340" t="s">
        <v>374</v>
      </c>
      <c r="N1340" t="s">
        <v>1695</v>
      </c>
      <c r="O1340" t="s">
        <v>82</v>
      </c>
      <c r="P1340" t="str">
        <f>"4170054091                    "</f>
        <v xml:space="preserve">4170054091                    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Q1340">
        <v>23.09</v>
      </c>
      <c r="AR1340">
        <v>0</v>
      </c>
      <c r="AS1340">
        <v>0</v>
      </c>
      <c r="AT1340">
        <v>0</v>
      </c>
      <c r="AU1340">
        <v>0</v>
      </c>
      <c r="AV1340">
        <v>0</v>
      </c>
      <c r="AW1340">
        <v>0</v>
      </c>
      <c r="AX1340">
        <v>0</v>
      </c>
      <c r="AY1340">
        <v>0</v>
      </c>
      <c r="AZ1340">
        <v>0</v>
      </c>
      <c r="BA1340">
        <v>0</v>
      </c>
      <c r="BB1340">
        <v>0</v>
      </c>
      <c r="BC1340">
        <v>0</v>
      </c>
      <c r="BD1340">
        <v>0</v>
      </c>
      <c r="BE1340">
        <v>0</v>
      </c>
      <c r="BF1340">
        <v>0</v>
      </c>
      <c r="BG1340">
        <v>0</v>
      </c>
      <c r="BH1340">
        <v>1</v>
      </c>
      <c r="BI1340">
        <v>1</v>
      </c>
      <c r="BJ1340">
        <v>0.2</v>
      </c>
      <c r="BK1340">
        <v>1</v>
      </c>
      <c r="BL1340">
        <v>71.69</v>
      </c>
      <c r="BM1340">
        <v>10.75</v>
      </c>
      <c r="BN1340">
        <v>82.44</v>
      </c>
      <c r="BO1340">
        <v>82.44</v>
      </c>
      <c r="BQ1340" t="s">
        <v>1696</v>
      </c>
      <c r="BR1340" t="s">
        <v>84</v>
      </c>
      <c r="BS1340" s="3">
        <v>45881</v>
      </c>
      <c r="BT1340" s="4">
        <v>0.42291666666666666</v>
      </c>
      <c r="BU1340" t="s">
        <v>1697</v>
      </c>
      <c r="BV1340" t="s">
        <v>86</v>
      </c>
      <c r="BY1340">
        <v>1200</v>
      </c>
      <c r="CA1340" t="s">
        <v>203</v>
      </c>
      <c r="CC1340" t="s">
        <v>374</v>
      </c>
      <c r="CD1340">
        <v>6220</v>
      </c>
      <c r="CE1340" t="s">
        <v>109</v>
      </c>
      <c r="CF1340" s="3">
        <v>45881</v>
      </c>
      <c r="CI1340">
        <v>1</v>
      </c>
      <c r="CJ1340">
        <v>1</v>
      </c>
      <c r="CK1340">
        <v>21</v>
      </c>
      <c r="CL1340" t="s">
        <v>90</v>
      </c>
    </row>
    <row r="1341" spans="1:90" x14ac:dyDescent="0.3">
      <c r="A1341" t="s">
        <v>72</v>
      </c>
      <c r="B1341" t="s">
        <v>73</v>
      </c>
      <c r="C1341" t="s">
        <v>74</v>
      </c>
      <c r="E1341" t="str">
        <f>"080067153884"</f>
        <v>080067153884</v>
      </c>
      <c r="F1341" s="3">
        <v>45880</v>
      </c>
      <c r="G1341">
        <v>202605</v>
      </c>
      <c r="H1341" t="s">
        <v>75</v>
      </c>
      <c r="I1341" t="s">
        <v>76</v>
      </c>
      <c r="J1341" t="s">
        <v>77</v>
      </c>
      <c r="K1341" t="s">
        <v>78</v>
      </c>
      <c r="L1341" t="s">
        <v>223</v>
      </c>
      <c r="M1341" t="s">
        <v>224</v>
      </c>
      <c r="N1341" t="s">
        <v>939</v>
      </c>
      <c r="O1341" t="s">
        <v>82</v>
      </c>
      <c r="P1341" t="str">
        <f>"4170054059                    "</f>
        <v xml:space="preserve">4170054059                    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Q1341">
        <v>69.22</v>
      </c>
      <c r="AR1341">
        <v>0</v>
      </c>
      <c r="AS1341">
        <v>0</v>
      </c>
      <c r="AT1341">
        <v>0</v>
      </c>
      <c r="AU1341">
        <v>0</v>
      </c>
      <c r="AV1341">
        <v>0</v>
      </c>
      <c r="AW1341">
        <v>0</v>
      </c>
      <c r="AX1341">
        <v>0</v>
      </c>
      <c r="AY1341">
        <v>0</v>
      </c>
      <c r="AZ1341">
        <v>0</v>
      </c>
      <c r="BA1341">
        <v>0</v>
      </c>
      <c r="BB1341">
        <v>0</v>
      </c>
      <c r="BC1341">
        <v>0</v>
      </c>
      <c r="BD1341">
        <v>0</v>
      </c>
      <c r="BE1341">
        <v>0</v>
      </c>
      <c r="BF1341">
        <v>0</v>
      </c>
      <c r="BG1341">
        <v>0</v>
      </c>
      <c r="BH1341">
        <v>1</v>
      </c>
      <c r="BI1341">
        <v>6</v>
      </c>
      <c r="BJ1341">
        <v>4.5999999999999996</v>
      </c>
      <c r="BK1341">
        <v>6</v>
      </c>
      <c r="BL1341">
        <v>214.94</v>
      </c>
      <c r="BM1341">
        <v>32.24</v>
      </c>
      <c r="BN1341">
        <v>247.18</v>
      </c>
      <c r="BO1341">
        <v>247.18</v>
      </c>
      <c r="BQ1341" t="s">
        <v>940</v>
      </c>
      <c r="BR1341" t="s">
        <v>84</v>
      </c>
      <c r="BS1341" s="3">
        <v>45881</v>
      </c>
      <c r="BT1341" s="4">
        <v>0.4375</v>
      </c>
      <c r="BU1341" t="s">
        <v>2084</v>
      </c>
      <c r="BV1341" t="s">
        <v>86</v>
      </c>
      <c r="BY1341">
        <v>23100</v>
      </c>
      <c r="CA1341" t="s">
        <v>228</v>
      </c>
      <c r="CC1341" t="s">
        <v>224</v>
      </c>
      <c r="CD1341">
        <v>5201</v>
      </c>
      <c r="CE1341" t="s">
        <v>117</v>
      </c>
      <c r="CF1341" s="3">
        <v>45881</v>
      </c>
      <c r="CI1341">
        <v>1</v>
      </c>
      <c r="CJ1341">
        <v>1</v>
      </c>
      <c r="CK1341">
        <v>21</v>
      </c>
      <c r="CL1341" t="s">
        <v>90</v>
      </c>
    </row>
    <row r="1342" spans="1:90" x14ac:dyDescent="0.3">
      <c r="A1342" t="s">
        <v>72</v>
      </c>
      <c r="B1342" t="s">
        <v>73</v>
      </c>
      <c r="C1342" t="s">
        <v>74</v>
      </c>
      <c r="E1342" t="str">
        <f>"080067153928"</f>
        <v>080067153928</v>
      </c>
      <c r="F1342" s="3">
        <v>45880</v>
      </c>
      <c r="G1342">
        <v>202605</v>
      </c>
      <c r="H1342" t="s">
        <v>75</v>
      </c>
      <c r="I1342" t="s">
        <v>76</v>
      </c>
      <c r="J1342" t="s">
        <v>77</v>
      </c>
      <c r="K1342" t="s">
        <v>78</v>
      </c>
      <c r="L1342" t="s">
        <v>234</v>
      </c>
      <c r="M1342" t="s">
        <v>235</v>
      </c>
      <c r="N1342" t="s">
        <v>821</v>
      </c>
      <c r="O1342" t="s">
        <v>82</v>
      </c>
      <c r="P1342" t="str">
        <f>"4170054041                    "</f>
        <v xml:space="preserve">4170054041                    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Q1342">
        <v>23.09</v>
      </c>
      <c r="AR1342">
        <v>0</v>
      </c>
      <c r="AS1342">
        <v>0</v>
      </c>
      <c r="AT1342">
        <v>0</v>
      </c>
      <c r="AU1342">
        <v>0</v>
      </c>
      <c r="AV1342">
        <v>0</v>
      </c>
      <c r="AW1342">
        <v>0</v>
      </c>
      <c r="AX1342">
        <v>0</v>
      </c>
      <c r="AY1342">
        <v>0</v>
      </c>
      <c r="AZ1342">
        <v>0</v>
      </c>
      <c r="BA1342">
        <v>0</v>
      </c>
      <c r="BB1342">
        <v>0</v>
      </c>
      <c r="BC1342">
        <v>0</v>
      </c>
      <c r="BD1342">
        <v>0</v>
      </c>
      <c r="BE1342">
        <v>0</v>
      </c>
      <c r="BF1342">
        <v>0</v>
      </c>
      <c r="BG1342">
        <v>0</v>
      </c>
      <c r="BH1342">
        <v>1</v>
      </c>
      <c r="BI1342">
        <v>1</v>
      </c>
      <c r="BJ1342">
        <v>0.2</v>
      </c>
      <c r="BK1342">
        <v>1</v>
      </c>
      <c r="BL1342">
        <v>71.69</v>
      </c>
      <c r="BM1342">
        <v>10.75</v>
      </c>
      <c r="BN1342">
        <v>82.44</v>
      </c>
      <c r="BO1342">
        <v>82.44</v>
      </c>
      <c r="BQ1342" t="s">
        <v>822</v>
      </c>
      <c r="BR1342" t="s">
        <v>84</v>
      </c>
      <c r="BS1342" s="3">
        <v>45881</v>
      </c>
      <c r="BT1342" s="4">
        <v>0.41736111111111113</v>
      </c>
      <c r="BU1342" t="s">
        <v>1195</v>
      </c>
      <c r="BV1342" t="s">
        <v>86</v>
      </c>
      <c r="BY1342">
        <v>1200</v>
      </c>
      <c r="CA1342" t="s">
        <v>938</v>
      </c>
      <c r="CC1342" t="s">
        <v>235</v>
      </c>
      <c r="CD1342" s="5" t="s">
        <v>240</v>
      </c>
      <c r="CE1342" t="s">
        <v>109</v>
      </c>
      <c r="CF1342" s="3">
        <v>45881</v>
      </c>
      <c r="CI1342">
        <v>1</v>
      </c>
      <c r="CJ1342">
        <v>1</v>
      </c>
      <c r="CK1342">
        <v>21</v>
      </c>
      <c r="CL1342" t="s">
        <v>90</v>
      </c>
    </row>
    <row r="1343" spans="1:90" x14ac:dyDescent="0.3">
      <c r="A1343" t="s">
        <v>72</v>
      </c>
      <c r="B1343" t="s">
        <v>73</v>
      </c>
      <c r="C1343" t="s">
        <v>74</v>
      </c>
      <c r="E1343" t="str">
        <f>"080067153975"</f>
        <v>080067153975</v>
      </c>
      <c r="F1343" s="3">
        <v>45880</v>
      </c>
      <c r="G1343">
        <v>202605</v>
      </c>
      <c r="H1343" t="s">
        <v>75</v>
      </c>
      <c r="I1343" t="s">
        <v>76</v>
      </c>
      <c r="J1343" t="s">
        <v>77</v>
      </c>
      <c r="K1343" t="s">
        <v>78</v>
      </c>
      <c r="L1343" t="s">
        <v>1076</v>
      </c>
      <c r="M1343" t="s">
        <v>1077</v>
      </c>
      <c r="N1343" t="s">
        <v>351</v>
      </c>
      <c r="O1343" t="s">
        <v>82</v>
      </c>
      <c r="P1343" t="str">
        <f>"4170053985                    "</f>
        <v xml:space="preserve">4170053985                    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0</v>
      </c>
      <c r="AP1343">
        <v>0</v>
      </c>
      <c r="AQ1343">
        <v>145.71</v>
      </c>
      <c r="AR1343">
        <v>0</v>
      </c>
      <c r="AS1343">
        <v>0</v>
      </c>
      <c r="AT1343">
        <v>0</v>
      </c>
      <c r="AU1343">
        <v>0</v>
      </c>
      <c r="AV1343">
        <v>0</v>
      </c>
      <c r="AW1343">
        <v>0</v>
      </c>
      <c r="AX1343">
        <v>0</v>
      </c>
      <c r="AY1343">
        <v>0</v>
      </c>
      <c r="AZ1343">
        <v>0</v>
      </c>
      <c r="BA1343">
        <v>0</v>
      </c>
      <c r="BB1343">
        <v>0</v>
      </c>
      <c r="BC1343">
        <v>0</v>
      </c>
      <c r="BD1343">
        <v>0</v>
      </c>
      <c r="BE1343">
        <v>0</v>
      </c>
      <c r="BF1343">
        <v>0</v>
      </c>
      <c r="BG1343">
        <v>0</v>
      </c>
      <c r="BH1343">
        <v>1</v>
      </c>
      <c r="BI1343">
        <v>7</v>
      </c>
      <c r="BJ1343">
        <v>4.3</v>
      </c>
      <c r="BK1343">
        <v>7</v>
      </c>
      <c r="BL1343">
        <v>452.47</v>
      </c>
      <c r="BM1343">
        <v>67.87</v>
      </c>
      <c r="BN1343">
        <v>520.34</v>
      </c>
      <c r="BO1343">
        <v>520.34</v>
      </c>
      <c r="BQ1343" t="s">
        <v>352</v>
      </c>
      <c r="BR1343" t="s">
        <v>84</v>
      </c>
      <c r="BS1343" s="3">
        <v>45881</v>
      </c>
      <c r="BT1343" s="4">
        <v>0.70208333333333328</v>
      </c>
      <c r="BU1343" t="s">
        <v>2071</v>
      </c>
      <c r="BV1343" t="s">
        <v>86</v>
      </c>
      <c r="BY1343">
        <v>21489</v>
      </c>
      <c r="CA1343" t="s">
        <v>2072</v>
      </c>
      <c r="CC1343" t="s">
        <v>1077</v>
      </c>
      <c r="CD1343">
        <v>9880</v>
      </c>
      <c r="CE1343" t="s">
        <v>147</v>
      </c>
      <c r="CF1343" s="3">
        <v>45882</v>
      </c>
      <c r="CI1343">
        <v>1</v>
      </c>
      <c r="CJ1343">
        <v>1</v>
      </c>
      <c r="CK1343">
        <v>23</v>
      </c>
      <c r="CL1343" t="s">
        <v>90</v>
      </c>
    </row>
    <row r="1344" spans="1:90" x14ac:dyDescent="0.3">
      <c r="A1344" t="s">
        <v>72</v>
      </c>
      <c r="B1344" t="s">
        <v>73</v>
      </c>
      <c r="C1344" t="s">
        <v>74</v>
      </c>
      <c r="E1344" t="str">
        <f>"080067154018"</f>
        <v>080067154018</v>
      </c>
      <c r="F1344" s="3">
        <v>45880</v>
      </c>
      <c r="G1344">
        <v>202605</v>
      </c>
      <c r="H1344" t="s">
        <v>75</v>
      </c>
      <c r="I1344" t="s">
        <v>76</v>
      </c>
      <c r="J1344" t="s">
        <v>77</v>
      </c>
      <c r="K1344" t="s">
        <v>78</v>
      </c>
      <c r="L1344" t="s">
        <v>75</v>
      </c>
      <c r="M1344" t="s">
        <v>76</v>
      </c>
      <c r="N1344" t="s">
        <v>1905</v>
      </c>
      <c r="O1344" t="s">
        <v>82</v>
      </c>
      <c r="P1344" t="str">
        <f>"4170053967                    "</f>
        <v xml:space="preserve">4170053967                    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Q1344">
        <v>18.03</v>
      </c>
      <c r="AR1344">
        <v>0</v>
      </c>
      <c r="AS1344">
        <v>0</v>
      </c>
      <c r="AT1344">
        <v>0</v>
      </c>
      <c r="AU1344">
        <v>0</v>
      </c>
      <c r="AV1344">
        <v>0</v>
      </c>
      <c r="AW1344">
        <v>0</v>
      </c>
      <c r="AX1344">
        <v>0</v>
      </c>
      <c r="AY1344">
        <v>0</v>
      </c>
      <c r="AZ1344">
        <v>0</v>
      </c>
      <c r="BA1344">
        <v>0</v>
      </c>
      <c r="BB1344">
        <v>0</v>
      </c>
      <c r="BC1344">
        <v>0</v>
      </c>
      <c r="BD1344">
        <v>0</v>
      </c>
      <c r="BE1344">
        <v>0</v>
      </c>
      <c r="BF1344">
        <v>0</v>
      </c>
      <c r="BG1344">
        <v>0</v>
      </c>
      <c r="BH1344">
        <v>1</v>
      </c>
      <c r="BI1344">
        <v>1</v>
      </c>
      <c r="BJ1344">
        <v>1.5</v>
      </c>
      <c r="BK1344">
        <v>2</v>
      </c>
      <c r="BL1344">
        <v>55.99</v>
      </c>
      <c r="BM1344">
        <v>8.4</v>
      </c>
      <c r="BN1344">
        <v>64.39</v>
      </c>
      <c r="BO1344">
        <v>64.39</v>
      </c>
      <c r="BQ1344" t="s">
        <v>1906</v>
      </c>
      <c r="BR1344" t="s">
        <v>84</v>
      </c>
      <c r="BS1344" s="3">
        <v>45881</v>
      </c>
      <c r="BT1344" s="4">
        <v>0.4201388888888889</v>
      </c>
      <c r="BU1344" t="s">
        <v>1907</v>
      </c>
      <c r="BV1344" t="s">
        <v>86</v>
      </c>
      <c r="BY1344">
        <v>7700</v>
      </c>
      <c r="CA1344" t="s">
        <v>1743</v>
      </c>
      <c r="CC1344" t="s">
        <v>76</v>
      </c>
      <c r="CD1344">
        <v>1600</v>
      </c>
      <c r="CE1344" t="s">
        <v>178</v>
      </c>
      <c r="CF1344" s="3">
        <v>45881</v>
      </c>
      <c r="CI1344">
        <v>1</v>
      </c>
      <c r="CJ1344">
        <v>1</v>
      </c>
      <c r="CK1344">
        <v>22</v>
      </c>
      <c r="CL1344" t="s">
        <v>90</v>
      </c>
    </row>
    <row r="1345" spans="1:90" x14ac:dyDescent="0.3">
      <c r="A1345" t="s">
        <v>72</v>
      </c>
      <c r="B1345" t="s">
        <v>73</v>
      </c>
      <c r="C1345" t="s">
        <v>74</v>
      </c>
      <c r="E1345" t="str">
        <f>"080067154068"</f>
        <v>080067154068</v>
      </c>
      <c r="F1345" s="3">
        <v>45880</v>
      </c>
      <c r="G1345">
        <v>202605</v>
      </c>
      <c r="H1345" t="s">
        <v>75</v>
      </c>
      <c r="I1345" t="s">
        <v>76</v>
      </c>
      <c r="J1345" t="s">
        <v>77</v>
      </c>
      <c r="K1345" t="s">
        <v>78</v>
      </c>
      <c r="L1345" t="s">
        <v>75</v>
      </c>
      <c r="M1345" t="s">
        <v>76</v>
      </c>
      <c r="N1345" t="s">
        <v>152</v>
      </c>
      <c r="O1345" t="s">
        <v>113</v>
      </c>
      <c r="P1345" t="str">
        <f>"4170053948                    "</f>
        <v xml:space="preserve">4170053948                    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>
        <v>20.059999999999999</v>
      </c>
      <c r="AR1345">
        <v>0</v>
      </c>
      <c r="AS1345">
        <v>0</v>
      </c>
      <c r="AT1345">
        <v>0</v>
      </c>
      <c r="AU1345">
        <v>0</v>
      </c>
      <c r="AV1345">
        <v>0</v>
      </c>
      <c r="AW1345">
        <v>0</v>
      </c>
      <c r="AX1345">
        <v>0</v>
      </c>
      <c r="AY1345">
        <v>0</v>
      </c>
      <c r="AZ1345">
        <v>0</v>
      </c>
      <c r="BA1345">
        <v>0</v>
      </c>
      <c r="BB1345">
        <v>0</v>
      </c>
      <c r="BC1345">
        <v>0</v>
      </c>
      <c r="BD1345">
        <v>0</v>
      </c>
      <c r="BE1345">
        <v>0</v>
      </c>
      <c r="BF1345">
        <v>0</v>
      </c>
      <c r="BG1345">
        <v>0</v>
      </c>
      <c r="BH1345">
        <v>1</v>
      </c>
      <c r="BI1345">
        <v>5</v>
      </c>
      <c r="BJ1345">
        <v>8.8000000000000007</v>
      </c>
      <c r="BK1345">
        <v>9</v>
      </c>
      <c r="BL1345">
        <v>62.29</v>
      </c>
      <c r="BM1345">
        <v>9.34</v>
      </c>
      <c r="BN1345">
        <v>71.63</v>
      </c>
      <c r="BO1345">
        <v>71.63</v>
      </c>
      <c r="BQ1345" t="s">
        <v>153</v>
      </c>
      <c r="BR1345" t="s">
        <v>84</v>
      </c>
      <c r="BS1345" s="3">
        <v>45881</v>
      </c>
      <c r="BT1345" s="4">
        <v>0.34722222222222221</v>
      </c>
      <c r="BU1345" t="s">
        <v>995</v>
      </c>
      <c r="BV1345" t="s">
        <v>86</v>
      </c>
      <c r="BY1345">
        <v>43776</v>
      </c>
      <c r="CA1345" t="s">
        <v>155</v>
      </c>
      <c r="CC1345" t="s">
        <v>76</v>
      </c>
      <c r="CD1345">
        <v>1600</v>
      </c>
      <c r="CE1345" t="s">
        <v>178</v>
      </c>
      <c r="CF1345" s="3">
        <v>45881</v>
      </c>
      <c r="CI1345">
        <v>1</v>
      </c>
      <c r="CJ1345">
        <v>1</v>
      </c>
      <c r="CK1345">
        <v>32</v>
      </c>
      <c r="CL1345" t="s">
        <v>90</v>
      </c>
    </row>
    <row r="1346" spans="1:90" x14ac:dyDescent="0.3">
      <c r="A1346" t="s">
        <v>72</v>
      </c>
      <c r="B1346" t="s">
        <v>73</v>
      </c>
      <c r="C1346" t="s">
        <v>74</v>
      </c>
      <c r="E1346" t="str">
        <f>"080067154101"</f>
        <v>080067154101</v>
      </c>
      <c r="F1346" s="3">
        <v>45880</v>
      </c>
      <c r="G1346">
        <v>202605</v>
      </c>
      <c r="H1346" t="s">
        <v>75</v>
      </c>
      <c r="I1346" t="s">
        <v>76</v>
      </c>
      <c r="J1346" t="s">
        <v>77</v>
      </c>
      <c r="K1346" t="s">
        <v>78</v>
      </c>
      <c r="L1346" t="s">
        <v>156</v>
      </c>
      <c r="M1346" t="s">
        <v>157</v>
      </c>
      <c r="N1346" t="s">
        <v>1129</v>
      </c>
      <c r="O1346" t="s">
        <v>82</v>
      </c>
      <c r="P1346" t="str">
        <f>"4170053846                    "</f>
        <v xml:space="preserve">4170053846                    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0</v>
      </c>
      <c r="AP1346">
        <v>0</v>
      </c>
      <c r="AQ1346">
        <v>18.03</v>
      </c>
      <c r="AR1346">
        <v>0</v>
      </c>
      <c r="AS1346">
        <v>0</v>
      </c>
      <c r="AT1346">
        <v>0</v>
      </c>
      <c r="AU1346">
        <v>0</v>
      </c>
      <c r="AV1346">
        <v>0</v>
      </c>
      <c r="AW1346">
        <v>0</v>
      </c>
      <c r="AX1346">
        <v>0</v>
      </c>
      <c r="AY1346">
        <v>0</v>
      </c>
      <c r="AZ1346">
        <v>0</v>
      </c>
      <c r="BA1346">
        <v>0</v>
      </c>
      <c r="BB1346">
        <v>0</v>
      </c>
      <c r="BC1346">
        <v>0</v>
      </c>
      <c r="BD1346">
        <v>0</v>
      </c>
      <c r="BE1346">
        <v>0</v>
      </c>
      <c r="BF1346">
        <v>0</v>
      </c>
      <c r="BG1346">
        <v>0</v>
      </c>
      <c r="BH1346">
        <v>1</v>
      </c>
      <c r="BI1346">
        <v>2</v>
      </c>
      <c r="BJ1346">
        <v>1.7</v>
      </c>
      <c r="BK1346">
        <v>2</v>
      </c>
      <c r="BL1346">
        <v>55.99</v>
      </c>
      <c r="BM1346">
        <v>8.4</v>
      </c>
      <c r="BN1346">
        <v>64.39</v>
      </c>
      <c r="BO1346">
        <v>64.39</v>
      </c>
      <c r="BQ1346" t="s">
        <v>1205</v>
      </c>
      <c r="BR1346" t="s">
        <v>84</v>
      </c>
      <c r="BS1346" s="3">
        <v>45881</v>
      </c>
      <c r="BT1346" s="4">
        <v>0.41319444444444442</v>
      </c>
      <c r="BU1346" t="s">
        <v>2085</v>
      </c>
      <c r="BV1346" t="s">
        <v>86</v>
      </c>
      <c r="BY1346">
        <v>8512</v>
      </c>
      <c r="CA1346" t="s">
        <v>1133</v>
      </c>
      <c r="CC1346" t="s">
        <v>157</v>
      </c>
      <c r="CD1346">
        <v>1724</v>
      </c>
      <c r="CE1346" t="s">
        <v>178</v>
      </c>
      <c r="CF1346" s="3">
        <v>45882</v>
      </c>
      <c r="CI1346">
        <v>1</v>
      </c>
      <c r="CJ1346">
        <v>1</v>
      </c>
      <c r="CK1346">
        <v>22</v>
      </c>
      <c r="CL1346" t="s">
        <v>90</v>
      </c>
    </row>
    <row r="1347" spans="1:90" x14ac:dyDescent="0.3">
      <c r="A1347" t="s">
        <v>72</v>
      </c>
      <c r="B1347" t="s">
        <v>73</v>
      </c>
      <c r="C1347" t="s">
        <v>74</v>
      </c>
      <c r="E1347" t="str">
        <f>"080067154141"</f>
        <v>080067154141</v>
      </c>
      <c r="F1347" s="3">
        <v>45880</v>
      </c>
      <c r="G1347">
        <v>202605</v>
      </c>
      <c r="H1347" t="s">
        <v>75</v>
      </c>
      <c r="I1347" t="s">
        <v>76</v>
      </c>
      <c r="J1347" t="s">
        <v>77</v>
      </c>
      <c r="K1347" t="s">
        <v>78</v>
      </c>
      <c r="L1347" t="s">
        <v>123</v>
      </c>
      <c r="M1347" t="s">
        <v>124</v>
      </c>
      <c r="N1347" t="s">
        <v>677</v>
      </c>
      <c r="O1347" t="s">
        <v>82</v>
      </c>
      <c r="P1347" t="str">
        <f>"4170054151                    "</f>
        <v xml:space="preserve">4170054151                    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Q1347">
        <v>23.09</v>
      </c>
      <c r="AR1347">
        <v>0</v>
      </c>
      <c r="AS1347">
        <v>0</v>
      </c>
      <c r="AT1347">
        <v>0</v>
      </c>
      <c r="AU1347">
        <v>0</v>
      </c>
      <c r="AV1347">
        <v>0</v>
      </c>
      <c r="AW1347">
        <v>0</v>
      </c>
      <c r="AX1347">
        <v>0</v>
      </c>
      <c r="AY1347">
        <v>0</v>
      </c>
      <c r="AZ1347">
        <v>0</v>
      </c>
      <c r="BA1347">
        <v>0</v>
      </c>
      <c r="BB1347">
        <v>0</v>
      </c>
      <c r="BC1347">
        <v>0</v>
      </c>
      <c r="BD1347">
        <v>0</v>
      </c>
      <c r="BE1347">
        <v>0</v>
      </c>
      <c r="BF1347">
        <v>0</v>
      </c>
      <c r="BG1347">
        <v>0</v>
      </c>
      <c r="BH1347">
        <v>1</v>
      </c>
      <c r="BI1347">
        <v>1</v>
      </c>
      <c r="BJ1347">
        <v>0.2</v>
      </c>
      <c r="BK1347">
        <v>1</v>
      </c>
      <c r="BL1347">
        <v>71.69</v>
      </c>
      <c r="BM1347">
        <v>10.75</v>
      </c>
      <c r="BN1347">
        <v>82.44</v>
      </c>
      <c r="BO1347">
        <v>82.44</v>
      </c>
      <c r="BQ1347" t="s">
        <v>678</v>
      </c>
      <c r="BR1347" t="s">
        <v>84</v>
      </c>
      <c r="BS1347" s="3">
        <v>45881</v>
      </c>
      <c r="BT1347" s="4">
        <v>0.4284722222222222</v>
      </c>
      <c r="BU1347" t="s">
        <v>679</v>
      </c>
      <c r="BV1347" t="s">
        <v>86</v>
      </c>
      <c r="BY1347">
        <v>1200</v>
      </c>
      <c r="CA1347" t="s">
        <v>171</v>
      </c>
      <c r="CC1347" t="s">
        <v>124</v>
      </c>
      <c r="CD1347">
        <v>7530</v>
      </c>
      <c r="CE1347" t="s">
        <v>109</v>
      </c>
      <c r="CF1347" s="3">
        <v>45882</v>
      </c>
      <c r="CI1347">
        <v>1</v>
      </c>
      <c r="CJ1347">
        <v>1</v>
      </c>
      <c r="CK1347">
        <v>21</v>
      </c>
      <c r="CL1347" t="s">
        <v>90</v>
      </c>
    </row>
    <row r="1348" spans="1:90" x14ac:dyDescent="0.3">
      <c r="A1348" t="s">
        <v>72</v>
      </c>
      <c r="B1348" t="s">
        <v>73</v>
      </c>
      <c r="C1348" t="s">
        <v>74</v>
      </c>
      <c r="E1348" t="str">
        <f>"080067154217"</f>
        <v>080067154217</v>
      </c>
      <c r="F1348" s="3">
        <v>45880</v>
      </c>
      <c r="G1348">
        <v>202605</v>
      </c>
      <c r="H1348" t="s">
        <v>75</v>
      </c>
      <c r="I1348" t="s">
        <v>76</v>
      </c>
      <c r="J1348" t="s">
        <v>77</v>
      </c>
      <c r="K1348" t="s">
        <v>78</v>
      </c>
      <c r="L1348" t="s">
        <v>110</v>
      </c>
      <c r="M1348" t="s">
        <v>111</v>
      </c>
      <c r="N1348" t="s">
        <v>480</v>
      </c>
      <c r="O1348" t="s">
        <v>95</v>
      </c>
      <c r="P1348" t="str">
        <f>"4170053584                    "</f>
        <v xml:space="preserve">4170053584                    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0</v>
      </c>
      <c r="AO1348">
        <v>0</v>
      </c>
      <c r="AP1348">
        <v>0</v>
      </c>
      <c r="AQ1348">
        <v>693.03</v>
      </c>
      <c r="AR1348">
        <v>0</v>
      </c>
      <c r="AS1348">
        <v>0</v>
      </c>
      <c r="AT1348">
        <v>0</v>
      </c>
      <c r="AU1348">
        <v>0</v>
      </c>
      <c r="AV1348">
        <v>0</v>
      </c>
      <c r="AW1348">
        <v>0</v>
      </c>
      <c r="AX1348">
        <v>0</v>
      </c>
      <c r="AY1348">
        <v>0</v>
      </c>
      <c r="AZ1348">
        <v>0</v>
      </c>
      <c r="BA1348">
        <v>0</v>
      </c>
      <c r="BB1348">
        <v>0</v>
      </c>
      <c r="BC1348">
        <v>0</v>
      </c>
      <c r="BD1348">
        <v>0</v>
      </c>
      <c r="BE1348">
        <v>0</v>
      </c>
      <c r="BF1348">
        <v>0</v>
      </c>
      <c r="BG1348">
        <v>0</v>
      </c>
      <c r="BH1348">
        <v>4</v>
      </c>
      <c r="BI1348">
        <v>548</v>
      </c>
      <c r="BJ1348">
        <v>669</v>
      </c>
      <c r="BK1348">
        <v>669</v>
      </c>
      <c r="BL1348">
        <v>2157.9</v>
      </c>
      <c r="BM1348">
        <v>323.69</v>
      </c>
      <c r="BN1348">
        <v>2481.59</v>
      </c>
      <c r="BO1348">
        <v>2481.59</v>
      </c>
      <c r="BQ1348" t="s">
        <v>481</v>
      </c>
      <c r="BR1348" t="s">
        <v>84</v>
      </c>
      <c r="BS1348" s="3">
        <v>45881</v>
      </c>
      <c r="BT1348" s="4">
        <v>0.43888888888888888</v>
      </c>
      <c r="BU1348" t="s">
        <v>2086</v>
      </c>
      <c r="BV1348" t="s">
        <v>86</v>
      </c>
      <c r="BY1348">
        <v>2494652</v>
      </c>
      <c r="CC1348" t="s">
        <v>111</v>
      </c>
      <c r="CD1348">
        <v>2163</v>
      </c>
      <c r="CE1348" t="s">
        <v>708</v>
      </c>
      <c r="CF1348" s="3">
        <v>45881</v>
      </c>
      <c r="CI1348">
        <v>1</v>
      </c>
      <c r="CJ1348">
        <v>1</v>
      </c>
      <c r="CK1348">
        <v>42</v>
      </c>
      <c r="CL1348" t="s">
        <v>90</v>
      </c>
    </row>
    <row r="1349" spans="1:90" x14ac:dyDescent="0.3">
      <c r="A1349" t="s">
        <v>72</v>
      </c>
      <c r="B1349" t="s">
        <v>73</v>
      </c>
      <c r="C1349" t="s">
        <v>74</v>
      </c>
      <c r="E1349" t="str">
        <f>"080067154393"</f>
        <v>080067154393</v>
      </c>
      <c r="F1349" s="3">
        <v>45880</v>
      </c>
      <c r="G1349">
        <v>202605</v>
      </c>
      <c r="H1349" t="s">
        <v>75</v>
      </c>
      <c r="I1349" t="s">
        <v>76</v>
      </c>
      <c r="J1349" t="s">
        <v>77</v>
      </c>
      <c r="K1349" t="s">
        <v>78</v>
      </c>
      <c r="L1349" t="s">
        <v>319</v>
      </c>
      <c r="M1349" t="s">
        <v>320</v>
      </c>
      <c r="N1349" t="s">
        <v>321</v>
      </c>
      <c r="O1349" t="s">
        <v>82</v>
      </c>
      <c r="P1349" t="str">
        <f>"4170054065                    "</f>
        <v xml:space="preserve">4170054065                    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Q1349">
        <v>44.73</v>
      </c>
      <c r="AR1349">
        <v>0</v>
      </c>
      <c r="AS1349">
        <v>0</v>
      </c>
      <c r="AT1349">
        <v>0</v>
      </c>
      <c r="AU1349">
        <v>0</v>
      </c>
      <c r="AV1349">
        <v>0</v>
      </c>
      <c r="AW1349">
        <v>0</v>
      </c>
      <c r="AX1349">
        <v>0</v>
      </c>
      <c r="AY1349">
        <v>0</v>
      </c>
      <c r="AZ1349">
        <v>0</v>
      </c>
      <c r="BA1349">
        <v>0</v>
      </c>
      <c r="BB1349">
        <v>0</v>
      </c>
      <c r="BC1349">
        <v>0</v>
      </c>
      <c r="BD1349">
        <v>0</v>
      </c>
      <c r="BE1349">
        <v>0</v>
      </c>
      <c r="BF1349">
        <v>0</v>
      </c>
      <c r="BG1349">
        <v>0</v>
      </c>
      <c r="BH1349">
        <v>1</v>
      </c>
      <c r="BI1349">
        <v>1</v>
      </c>
      <c r="BJ1349">
        <v>0.2</v>
      </c>
      <c r="BK1349">
        <v>1</v>
      </c>
      <c r="BL1349">
        <v>138.88999999999999</v>
      </c>
      <c r="BM1349">
        <v>20.83</v>
      </c>
      <c r="BN1349">
        <v>159.72</v>
      </c>
      <c r="BO1349">
        <v>159.72</v>
      </c>
      <c r="BQ1349" t="s">
        <v>322</v>
      </c>
      <c r="BR1349" t="s">
        <v>84</v>
      </c>
      <c r="BS1349" s="3">
        <v>45881</v>
      </c>
      <c r="BT1349" s="4">
        <v>0.40416666666666667</v>
      </c>
      <c r="BU1349" t="s">
        <v>2041</v>
      </c>
      <c r="BV1349" t="s">
        <v>86</v>
      </c>
      <c r="BY1349">
        <v>1200</v>
      </c>
      <c r="CA1349" t="s">
        <v>324</v>
      </c>
      <c r="CC1349" t="s">
        <v>320</v>
      </c>
      <c r="CD1349">
        <v>2531</v>
      </c>
      <c r="CE1349" t="s">
        <v>109</v>
      </c>
      <c r="CF1349" s="3">
        <v>45882</v>
      </c>
      <c r="CI1349">
        <v>1</v>
      </c>
      <c r="CJ1349">
        <v>1</v>
      </c>
      <c r="CK1349">
        <v>23</v>
      </c>
      <c r="CL1349" t="s">
        <v>90</v>
      </c>
    </row>
    <row r="1350" spans="1:90" x14ac:dyDescent="0.3">
      <c r="A1350" t="s">
        <v>72</v>
      </c>
      <c r="B1350" t="s">
        <v>73</v>
      </c>
      <c r="C1350" t="s">
        <v>74</v>
      </c>
      <c r="E1350" t="str">
        <f>"080067154410"</f>
        <v>080067154410</v>
      </c>
      <c r="F1350" s="3">
        <v>45880</v>
      </c>
      <c r="G1350">
        <v>202605</v>
      </c>
      <c r="H1350" t="s">
        <v>75</v>
      </c>
      <c r="I1350" t="s">
        <v>76</v>
      </c>
      <c r="J1350" t="s">
        <v>77</v>
      </c>
      <c r="K1350" t="s">
        <v>78</v>
      </c>
      <c r="L1350" t="s">
        <v>303</v>
      </c>
      <c r="M1350" t="s">
        <v>304</v>
      </c>
      <c r="N1350" t="s">
        <v>1923</v>
      </c>
      <c r="O1350" t="s">
        <v>82</v>
      </c>
      <c r="P1350" t="str">
        <f>"4170053960                    "</f>
        <v xml:space="preserve">4170053960                    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367.88</v>
      </c>
      <c r="AR1350">
        <v>0</v>
      </c>
      <c r="AS1350">
        <v>0</v>
      </c>
      <c r="AT1350">
        <v>0</v>
      </c>
      <c r="AU1350">
        <v>0</v>
      </c>
      <c r="AV1350">
        <v>0</v>
      </c>
      <c r="AW1350">
        <v>0</v>
      </c>
      <c r="AX1350">
        <v>0</v>
      </c>
      <c r="AY1350">
        <v>0</v>
      </c>
      <c r="AZ1350">
        <v>0</v>
      </c>
      <c r="BA1350">
        <v>0</v>
      </c>
      <c r="BB1350">
        <v>0</v>
      </c>
      <c r="BC1350">
        <v>0</v>
      </c>
      <c r="BD1350">
        <v>0</v>
      </c>
      <c r="BE1350">
        <v>0</v>
      </c>
      <c r="BF1350">
        <v>0</v>
      </c>
      <c r="BG1350">
        <v>0</v>
      </c>
      <c r="BH1350">
        <v>2</v>
      </c>
      <c r="BI1350">
        <v>18</v>
      </c>
      <c r="BJ1350">
        <v>6.8</v>
      </c>
      <c r="BK1350">
        <v>18</v>
      </c>
      <c r="BL1350">
        <v>1142.3599999999999</v>
      </c>
      <c r="BM1350">
        <v>171.35</v>
      </c>
      <c r="BN1350">
        <v>1313.71</v>
      </c>
      <c r="BO1350">
        <v>1313.71</v>
      </c>
      <c r="BQ1350" t="s">
        <v>1924</v>
      </c>
      <c r="BR1350" t="s">
        <v>84</v>
      </c>
      <c r="BS1350" s="3">
        <v>45881</v>
      </c>
      <c r="BT1350" s="4">
        <v>0.4597222222222222</v>
      </c>
      <c r="BU1350" t="s">
        <v>1925</v>
      </c>
      <c r="BV1350" t="s">
        <v>86</v>
      </c>
      <c r="BY1350">
        <v>16965</v>
      </c>
      <c r="CA1350" t="s">
        <v>308</v>
      </c>
      <c r="CC1350" t="s">
        <v>304</v>
      </c>
      <c r="CD1350">
        <v>7130</v>
      </c>
      <c r="CE1350" t="s">
        <v>1095</v>
      </c>
      <c r="CF1350" s="3">
        <v>45882</v>
      </c>
      <c r="CI1350">
        <v>1</v>
      </c>
      <c r="CJ1350">
        <v>1</v>
      </c>
      <c r="CK1350">
        <v>23</v>
      </c>
      <c r="CL1350" t="s">
        <v>90</v>
      </c>
    </row>
    <row r="1351" spans="1:90" x14ac:dyDescent="0.3">
      <c r="A1351" t="s">
        <v>72</v>
      </c>
      <c r="B1351" t="s">
        <v>73</v>
      </c>
      <c r="C1351" t="s">
        <v>74</v>
      </c>
      <c r="E1351" t="str">
        <f>"RR080067004295"</f>
        <v>RR080067004295</v>
      </c>
      <c r="F1351" s="3">
        <v>45880</v>
      </c>
      <c r="G1351">
        <v>202605</v>
      </c>
      <c r="H1351" t="s">
        <v>75</v>
      </c>
      <c r="I1351" t="s">
        <v>76</v>
      </c>
      <c r="J1351" t="s">
        <v>1735</v>
      </c>
      <c r="K1351" t="s">
        <v>78</v>
      </c>
      <c r="L1351" t="s">
        <v>75</v>
      </c>
      <c r="M1351" t="s">
        <v>76</v>
      </c>
      <c r="N1351" t="s">
        <v>774</v>
      </c>
      <c r="O1351" t="s">
        <v>95</v>
      </c>
      <c r="P1351" t="str">
        <f>"4170051384                    "</f>
        <v xml:space="preserve">4170051384                    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Q1351">
        <v>34.450000000000003</v>
      </c>
      <c r="AR1351">
        <v>0</v>
      </c>
      <c r="AS1351">
        <v>0</v>
      </c>
      <c r="AT1351">
        <v>0</v>
      </c>
      <c r="AU1351">
        <v>0</v>
      </c>
      <c r="AV1351">
        <v>0</v>
      </c>
      <c r="AW1351">
        <v>0</v>
      </c>
      <c r="AX1351">
        <v>0</v>
      </c>
      <c r="AY1351">
        <v>0</v>
      </c>
      <c r="AZ1351">
        <v>0</v>
      </c>
      <c r="BA1351">
        <v>0</v>
      </c>
      <c r="BB1351">
        <v>0</v>
      </c>
      <c r="BC1351">
        <v>0</v>
      </c>
      <c r="BD1351">
        <v>0</v>
      </c>
      <c r="BE1351">
        <v>0</v>
      </c>
      <c r="BF1351">
        <v>0</v>
      </c>
      <c r="BG1351">
        <v>0</v>
      </c>
      <c r="BH1351">
        <v>1</v>
      </c>
      <c r="BI1351">
        <v>1</v>
      </c>
      <c r="BJ1351">
        <v>1.5</v>
      </c>
      <c r="BK1351">
        <v>2</v>
      </c>
      <c r="BL1351">
        <v>112.84</v>
      </c>
      <c r="BM1351">
        <v>16.93</v>
      </c>
      <c r="BN1351">
        <v>129.77000000000001</v>
      </c>
      <c r="BO1351">
        <v>129.77000000000001</v>
      </c>
      <c r="BQ1351" t="s">
        <v>775</v>
      </c>
      <c r="BR1351" s="5" t="s">
        <v>1736</v>
      </c>
      <c r="BS1351" s="3">
        <v>45881</v>
      </c>
      <c r="BT1351" s="4">
        <v>0.42569444444444443</v>
      </c>
      <c r="BU1351" t="s">
        <v>245</v>
      </c>
      <c r="BV1351" t="s">
        <v>86</v>
      </c>
      <c r="BY1351">
        <v>7448</v>
      </c>
      <c r="CA1351" t="s">
        <v>1743</v>
      </c>
      <c r="CC1351" t="s">
        <v>76</v>
      </c>
      <c r="CD1351">
        <v>1601</v>
      </c>
      <c r="CE1351" t="s">
        <v>117</v>
      </c>
      <c r="CF1351" s="3">
        <v>45881</v>
      </c>
      <c r="CI1351">
        <v>1</v>
      </c>
      <c r="CJ1351">
        <v>1</v>
      </c>
      <c r="CK1351">
        <v>42</v>
      </c>
      <c r="CL1351" t="s">
        <v>90</v>
      </c>
    </row>
    <row r="1352" spans="1:90" x14ac:dyDescent="0.3">
      <c r="A1352" t="s">
        <v>72</v>
      </c>
      <c r="B1352" t="s">
        <v>73</v>
      </c>
      <c r="C1352" t="s">
        <v>74</v>
      </c>
      <c r="E1352" t="str">
        <f>"080067154444"</f>
        <v>080067154444</v>
      </c>
      <c r="F1352" s="3">
        <v>45880</v>
      </c>
      <c r="G1352">
        <v>202605</v>
      </c>
      <c r="H1352" t="s">
        <v>75</v>
      </c>
      <c r="I1352" t="s">
        <v>76</v>
      </c>
      <c r="J1352" t="s">
        <v>77</v>
      </c>
      <c r="K1352" t="s">
        <v>78</v>
      </c>
      <c r="L1352" t="s">
        <v>234</v>
      </c>
      <c r="M1352" t="s">
        <v>235</v>
      </c>
      <c r="N1352" t="s">
        <v>821</v>
      </c>
      <c r="O1352" t="s">
        <v>82</v>
      </c>
      <c r="P1352" t="str">
        <f>"4170054073                    "</f>
        <v xml:space="preserve">4170054073                    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Q1352">
        <v>23.09</v>
      </c>
      <c r="AR1352">
        <v>0</v>
      </c>
      <c r="AS1352">
        <v>0</v>
      </c>
      <c r="AT1352">
        <v>0</v>
      </c>
      <c r="AU1352">
        <v>0</v>
      </c>
      <c r="AV1352">
        <v>0</v>
      </c>
      <c r="AW1352">
        <v>0</v>
      </c>
      <c r="AX1352">
        <v>0</v>
      </c>
      <c r="AY1352">
        <v>0</v>
      </c>
      <c r="AZ1352">
        <v>0</v>
      </c>
      <c r="BA1352">
        <v>0</v>
      </c>
      <c r="BB1352">
        <v>0</v>
      </c>
      <c r="BC1352">
        <v>0</v>
      </c>
      <c r="BD1352">
        <v>0</v>
      </c>
      <c r="BE1352">
        <v>0</v>
      </c>
      <c r="BF1352">
        <v>0</v>
      </c>
      <c r="BG1352">
        <v>0</v>
      </c>
      <c r="BH1352">
        <v>1</v>
      </c>
      <c r="BI1352">
        <v>1</v>
      </c>
      <c r="BJ1352">
        <v>0.2</v>
      </c>
      <c r="BK1352">
        <v>1</v>
      </c>
      <c r="BL1352">
        <v>71.69</v>
      </c>
      <c r="BM1352">
        <v>10.75</v>
      </c>
      <c r="BN1352">
        <v>82.44</v>
      </c>
      <c r="BO1352">
        <v>82.44</v>
      </c>
      <c r="BQ1352" t="s">
        <v>822</v>
      </c>
      <c r="BR1352" t="s">
        <v>84</v>
      </c>
      <c r="BS1352" s="3">
        <v>45881</v>
      </c>
      <c r="BT1352" s="4">
        <v>0.41597222222222224</v>
      </c>
      <c r="BU1352" t="s">
        <v>2087</v>
      </c>
      <c r="BV1352" t="s">
        <v>86</v>
      </c>
      <c r="BY1352">
        <v>1200</v>
      </c>
      <c r="CA1352" t="s">
        <v>457</v>
      </c>
      <c r="CC1352" t="s">
        <v>235</v>
      </c>
      <c r="CD1352" s="5" t="s">
        <v>240</v>
      </c>
      <c r="CE1352" t="s">
        <v>109</v>
      </c>
      <c r="CF1352" s="3">
        <v>45881</v>
      </c>
      <c r="CI1352">
        <v>1</v>
      </c>
      <c r="CJ1352">
        <v>1</v>
      </c>
      <c r="CK1352">
        <v>21</v>
      </c>
      <c r="CL1352" t="s">
        <v>90</v>
      </c>
    </row>
    <row r="1353" spans="1:90" x14ac:dyDescent="0.3">
      <c r="A1353" t="s">
        <v>72</v>
      </c>
      <c r="B1353" t="s">
        <v>73</v>
      </c>
      <c r="C1353" t="s">
        <v>74</v>
      </c>
      <c r="E1353" t="str">
        <f>"080067154477"</f>
        <v>080067154477</v>
      </c>
      <c r="F1353" s="3">
        <v>45880</v>
      </c>
      <c r="G1353">
        <v>202605</v>
      </c>
      <c r="H1353" t="s">
        <v>75</v>
      </c>
      <c r="I1353" t="s">
        <v>76</v>
      </c>
      <c r="J1353" t="s">
        <v>77</v>
      </c>
      <c r="K1353" t="s">
        <v>78</v>
      </c>
      <c r="L1353" t="s">
        <v>123</v>
      </c>
      <c r="M1353" t="s">
        <v>124</v>
      </c>
      <c r="N1353" t="s">
        <v>406</v>
      </c>
      <c r="O1353" t="s">
        <v>82</v>
      </c>
      <c r="P1353" t="str">
        <f>"4170054057                    "</f>
        <v xml:space="preserve">4170054057                    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Q1353">
        <v>23.09</v>
      </c>
      <c r="AR1353">
        <v>0</v>
      </c>
      <c r="AS1353">
        <v>0</v>
      </c>
      <c r="AT1353">
        <v>0</v>
      </c>
      <c r="AU1353">
        <v>0</v>
      </c>
      <c r="AV1353">
        <v>0</v>
      </c>
      <c r="AW1353">
        <v>0</v>
      </c>
      <c r="AX1353">
        <v>0</v>
      </c>
      <c r="AY1353">
        <v>0</v>
      </c>
      <c r="AZ1353">
        <v>0</v>
      </c>
      <c r="BA1353">
        <v>0</v>
      </c>
      <c r="BB1353">
        <v>0</v>
      </c>
      <c r="BC1353">
        <v>0</v>
      </c>
      <c r="BD1353">
        <v>0</v>
      </c>
      <c r="BE1353">
        <v>0</v>
      </c>
      <c r="BF1353">
        <v>0</v>
      </c>
      <c r="BG1353">
        <v>0</v>
      </c>
      <c r="BH1353">
        <v>1</v>
      </c>
      <c r="BI1353">
        <v>1</v>
      </c>
      <c r="BJ1353">
        <v>0.2</v>
      </c>
      <c r="BK1353">
        <v>1</v>
      </c>
      <c r="BL1353">
        <v>71.69</v>
      </c>
      <c r="BM1353">
        <v>10.75</v>
      </c>
      <c r="BN1353">
        <v>82.44</v>
      </c>
      <c r="BO1353">
        <v>82.44</v>
      </c>
      <c r="BQ1353" t="s">
        <v>407</v>
      </c>
      <c r="BR1353" t="s">
        <v>84</v>
      </c>
      <c r="BS1353" s="3">
        <v>45881</v>
      </c>
      <c r="BT1353" s="4">
        <v>0.40972222222222221</v>
      </c>
      <c r="BU1353" t="s">
        <v>408</v>
      </c>
      <c r="BV1353" t="s">
        <v>86</v>
      </c>
      <c r="BY1353">
        <v>1200</v>
      </c>
      <c r="CA1353" t="s">
        <v>192</v>
      </c>
      <c r="CC1353" t="s">
        <v>124</v>
      </c>
      <c r="CD1353">
        <v>7441</v>
      </c>
      <c r="CE1353" t="s">
        <v>109</v>
      </c>
      <c r="CF1353" s="3">
        <v>45882</v>
      </c>
      <c r="CI1353">
        <v>1</v>
      </c>
      <c r="CJ1353">
        <v>1</v>
      </c>
      <c r="CK1353">
        <v>21</v>
      </c>
      <c r="CL1353" t="s">
        <v>90</v>
      </c>
    </row>
    <row r="1354" spans="1:90" x14ac:dyDescent="0.3">
      <c r="A1354" t="s">
        <v>72</v>
      </c>
      <c r="B1354" t="s">
        <v>73</v>
      </c>
      <c r="C1354" t="s">
        <v>74</v>
      </c>
      <c r="E1354" t="str">
        <f>"080067154478"</f>
        <v>080067154478</v>
      </c>
      <c r="F1354" s="3">
        <v>45880</v>
      </c>
      <c r="G1354">
        <v>202605</v>
      </c>
      <c r="H1354" t="s">
        <v>75</v>
      </c>
      <c r="I1354" t="s">
        <v>76</v>
      </c>
      <c r="J1354" t="s">
        <v>77</v>
      </c>
      <c r="K1354" t="s">
        <v>78</v>
      </c>
      <c r="L1354" t="s">
        <v>278</v>
      </c>
      <c r="M1354" t="s">
        <v>279</v>
      </c>
      <c r="N1354" t="s">
        <v>508</v>
      </c>
      <c r="O1354" t="s">
        <v>95</v>
      </c>
      <c r="P1354" t="str">
        <f>"4170053818                    "</f>
        <v xml:space="preserve">4170053818                    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Q1354">
        <v>44.64</v>
      </c>
      <c r="AR1354">
        <v>0</v>
      </c>
      <c r="AS1354">
        <v>0</v>
      </c>
      <c r="AT1354">
        <v>0</v>
      </c>
      <c r="AU1354">
        <v>0</v>
      </c>
      <c r="AV1354">
        <v>0</v>
      </c>
      <c r="AW1354">
        <v>0</v>
      </c>
      <c r="AX1354">
        <v>0</v>
      </c>
      <c r="AY1354">
        <v>0</v>
      </c>
      <c r="AZ1354">
        <v>0</v>
      </c>
      <c r="BA1354">
        <v>0</v>
      </c>
      <c r="BB1354">
        <v>0</v>
      </c>
      <c r="BC1354">
        <v>0</v>
      </c>
      <c r="BD1354">
        <v>0</v>
      </c>
      <c r="BE1354">
        <v>0</v>
      </c>
      <c r="BF1354">
        <v>0</v>
      </c>
      <c r="BG1354">
        <v>0</v>
      </c>
      <c r="BH1354">
        <v>1</v>
      </c>
      <c r="BI1354">
        <v>5</v>
      </c>
      <c r="BJ1354">
        <v>1.7</v>
      </c>
      <c r="BK1354">
        <v>5</v>
      </c>
      <c r="BL1354">
        <v>144.49</v>
      </c>
      <c r="BM1354">
        <v>21.67</v>
      </c>
      <c r="BN1354">
        <v>166.16</v>
      </c>
      <c r="BO1354">
        <v>166.16</v>
      </c>
      <c r="BQ1354" t="s">
        <v>509</v>
      </c>
      <c r="BR1354" t="s">
        <v>84</v>
      </c>
      <c r="BS1354" s="3">
        <v>45881</v>
      </c>
      <c r="BT1354" s="4">
        <v>0.43611111111111112</v>
      </c>
      <c r="BU1354" t="s">
        <v>2088</v>
      </c>
      <c r="BV1354" t="s">
        <v>86</v>
      </c>
      <c r="BY1354">
        <v>8550</v>
      </c>
      <c r="CA1354" t="s">
        <v>511</v>
      </c>
      <c r="CC1354" t="s">
        <v>279</v>
      </c>
      <c r="CD1354" s="5" t="s">
        <v>512</v>
      </c>
      <c r="CE1354" t="s">
        <v>147</v>
      </c>
      <c r="CF1354" s="3">
        <v>45881</v>
      </c>
      <c r="CI1354">
        <v>1</v>
      </c>
      <c r="CJ1354">
        <v>1</v>
      </c>
      <c r="CK1354">
        <v>41</v>
      </c>
      <c r="CL1354" t="s">
        <v>90</v>
      </c>
    </row>
    <row r="1355" spans="1:90" x14ac:dyDescent="0.3">
      <c r="A1355" t="s">
        <v>72</v>
      </c>
      <c r="B1355" t="s">
        <v>73</v>
      </c>
      <c r="C1355" t="s">
        <v>74</v>
      </c>
      <c r="E1355" t="str">
        <f>"080067154512"</f>
        <v>080067154512</v>
      </c>
      <c r="F1355" s="3">
        <v>45880</v>
      </c>
      <c r="G1355">
        <v>202605</v>
      </c>
      <c r="H1355" t="s">
        <v>75</v>
      </c>
      <c r="I1355" t="s">
        <v>76</v>
      </c>
      <c r="J1355" t="s">
        <v>77</v>
      </c>
      <c r="K1355" t="s">
        <v>78</v>
      </c>
      <c r="L1355" t="s">
        <v>137</v>
      </c>
      <c r="M1355" t="s">
        <v>138</v>
      </c>
      <c r="N1355" t="s">
        <v>1148</v>
      </c>
      <c r="O1355" t="s">
        <v>82</v>
      </c>
      <c r="P1355" t="str">
        <f>"4170054037                    "</f>
        <v xml:space="preserve">4170054037                    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23.09</v>
      </c>
      <c r="AR1355">
        <v>0</v>
      </c>
      <c r="AS1355">
        <v>0</v>
      </c>
      <c r="AT1355">
        <v>0</v>
      </c>
      <c r="AU1355">
        <v>0</v>
      </c>
      <c r="AV1355">
        <v>0</v>
      </c>
      <c r="AW1355">
        <v>0</v>
      </c>
      <c r="AX1355">
        <v>0</v>
      </c>
      <c r="AY1355">
        <v>0</v>
      </c>
      <c r="AZ1355">
        <v>0</v>
      </c>
      <c r="BA1355">
        <v>0</v>
      </c>
      <c r="BB1355">
        <v>0</v>
      </c>
      <c r="BC1355">
        <v>0</v>
      </c>
      <c r="BD1355">
        <v>0</v>
      </c>
      <c r="BE1355">
        <v>0</v>
      </c>
      <c r="BF1355">
        <v>0</v>
      </c>
      <c r="BG1355">
        <v>0</v>
      </c>
      <c r="BH1355">
        <v>1</v>
      </c>
      <c r="BI1355">
        <v>1</v>
      </c>
      <c r="BJ1355">
        <v>0.6</v>
      </c>
      <c r="BK1355">
        <v>1</v>
      </c>
      <c r="BL1355">
        <v>71.69</v>
      </c>
      <c r="BM1355">
        <v>10.75</v>
      </c>
      <c r="BN1355">
        <v>82.44</v>
      </c>
      <c r="BO1355">
        <v>82.44</v>
      </c>
      <c r="BQ1355" t="s">
        <v>1149</v>
      </c>
      <c r="BR1355" t="s">
        <v>84</v>
      </c>
      <c r="BS1355" s="3">
        <v>45881</v>
      </c>
      <c r="BT1355" s="4">
        <v>0.49583333333333335</v>
      </c>
      <c r="BU1355" t="s">
        <v>2089</v>
      </c>
      <c r="BV1355" t="s">
        <v>86</v>
      </c>
      <c r="BY1355">
        <v>3192</v>
      </c>
      <c r="BZ1355" t="s">
        <v>330</v>
      </c>
      <c r="CA1355" t="s">
        <v>953</v>
      </c>
      <c r="CC1355" t="s">
        <v>138</v>
      </c>
      <c r="CD1355">
        <v>3610</v>
      </c>
      <c r="CE1355" t="s">
        <v>147</v>
      </c>
      <c r="CF1355" s="3">
        <v>45882</v>
      </c>
      <c r="CI1355">
        <v>1</v>
      </c>
      <c r="CJ1355">
        <v>1</v>
      </c>
      <c r="CK1355">
        <v>21</v>
      </c>
      <c r="CL1355" t="s">
        <v>90</v>
      </c>
    </row>
    <row r="1356" spans="1:90" x14ac:dyDescent="0.3">
      <c r="A1356" t="s">
        <v>72</v>
      </c>
      <c r="B1356" t="s">
        <v>73</v>
      </c>
      <c r="C1356" t="s">
        <v>74</v>
      </c>
      <c r="E1356" t="str">
        <f>"080067155009"</f>
        <v>080067155009</v>
      </c>
      <c r="F1356" s="3">
        <v>45880</v>
      </c>
      <c r="G1356">
        <v>202605</v>
      </c>
      <c r="H1356" t="s">
        <v>75</v>
      </c>
      <c r="I1356" t="s">
        <v>76</v>
      </c>
      <c r="J1356" t="s">
        <v>77</v>
      </c>
      <c r="K1356" t="s">
        <v>78</v>
      </c>
      <c r="L1356" t="s">
        <v>241</v>
      </c>
      <c r="M1356" t="s">
        <v>242</v>
      </c>
      <c r="N1356" t="s">
        <v>978</v>
      </c>
      <c r="O1356" t="s">
        <v>82</v>
      </c>
      <c r="P1356" t="str">
        <f>"4170054038                    "</f>
        <v xml:space="preserve">4170054038                    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Q1356">
        <v>18.03</v>
      </c>
      <c r="AR1356">
        <v>0</v>
      </c>
      <c r="AS1356">
        <v>0</v>
      </c>
      <c r="AT1356">
        <v>0</v>
      </c>
      <c r="AU1356">
        <v>0</v>
      </c>
      <c r="AV1356">
        <v>0</v>
      </c>
      <c r="AW1356">
        <v>0</v>
      </c>
      <c r="AX1356">
        <v>0</v>
      </c>
      <c r="AY1356">
        <v>0</v>
      </c>
      <c r="AZ1356">
        <v>0</v>
      </c>
      <c r="BA1356">
        <v>0</v>
      </c>
      <c r="BB1356">
        <v>0</v>
      </c>
      <c r="BC1356">
        <v>0</v>
      </c>
      <c r="BD1356">
        <v>0</v>
      </c>
      <c r="BE1356">
        <v>0</v>
      </c>
      <c r="BF1356">
        <v>0</v>
      </c>
      <c r="BG1356">
        <v>0</v>
      </c>
      <c r="BH1356">
        <v>1</v>
      </c>
      <c r="BI1356">
        <v>1</v>
      </c>
      <c r="BJ1356">
        <v>0.2</v>
      </c>
      <c r="BK1356">
        <v>1</v>
      </c>
      <c r="BL1356">
        <v>55.99</v>
      </c>
      <c r="BM1356">
        <v>8.4</v>
      </c>
      <c r="BN1356">
        <v>64.39</v>
      </c>
      <c r="BO1356">
        <v>64.39</v>
      </c>
      <c r="BQ1356" t="s">
        <v>1774</v>
      </c>
      <c r="BR1356" t="s">
        <v>84</v>
      </c>
      <c r="BS1356" s="3">
        <v>45881</v>
      </c>
      <c r="BT1356" s="4">
        <v>0.34652777777777777</v>
      </c>
      <c r="BU1356" t="s">
        <v>900</v>
      </c>
      <c r="BV1356" t="s">
        <v>86</v>
      </c>
      <c r="BY1356">
        <v>1200</v>
      </c>
      <c r="CA1356" t="s">
        <v>720</v>
      </c>
      <c r="CC1356" t="s">
        <v>242</v>
      </c>
      <c r="CD1356">
        <v>1459</v>
      </c>
      <c r="CE1356" t="s">
        <v>109</v>
      </c>
      <c r="CF1356" s="3">
        <v>45881</v>
      </c>
      <c r="CI1356">
        <v>1</v>
      </c>
      <c r="CJ1356">
        <v>1</v>
      </c>
      <c r="CK1356">
        <v>22</v>
      </c>
      <c r="CL1356" t="s">
        <v>90</v>
      </c>
    </row>
    <row r="1357" spans="1:90" x14ac:dyDescent="0.3">
      <c r="A1357" t="s">
        <v>72</v>
      </c>
      <c r="B1357" t="s">
        <v>73</v>
      </c>
      <c r="C1357" t="s">
        <v>74</v>
      </c>
      <c r="E1357" t="str">
        <f>"080067155049"</f>
        <v>080067155049</v>
      </c>
      <c r="F1357" s="3">
        <v>45880</v>
      </c>
      <c r="G1357">
        <v>202605</v>
      </c>
      <c r="H1357" t="s">
        <v>75</v>
      </c>
      <c r="I1357" t="s">
        <v>76</v>
      </c>
      <c r="J1357" t="s">
        <v>77</v>
      </c>
      <c r="K1357" t="s">
        <v>78</v>
      </c>
      <c r="L1357" t="s">
        <v>255</v>
      </c>
      <c r="M1357" t="s">
        <v>256</v>
      </c>
      <c r="N1357" t="s">
        <v>1449</v>
      </c>
      <c r="O1357" t="s">
        <v>82</v>
      </c>
      <c r="P1357" t="str">
        <f>"4170054006                    "</f>
        <v xml:space="preserve">4170054006                    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>
        <v>18.03</v>
      </c>
      <c r="AR1357">
        <v>0</v>
      </c>
      <c r="AS1357">
        <v>0</v>
      </c>
      <c r="AT1357">
        <v>0</v>
      </c>
      <c r="AU1357">
        <v>0</v>
      </c>
      <c r="AV1357">
        <v>0</v>
      </c>
      <c r="AW1357">
        <v>0</v>
      </c>
      <c r="AX1357">
        <v>0</v>
      </c>
      <c r="AY1357">
        <v>0</v>
      </c>
      <c r="AZ1357">
        <v>0</v>
      </c>
      <c r="BA1357">
        <v>0</v>
      </c>
      <c r="BB1357">
        <v>0</v>
      </c>
      <c r="BC1357">
        <v>0</v>
      </c>
      <c r="BD1357">
        <v>0</v>
      </c>
      <c r="BE1357">
        <v>0</v>
      </c>
      <c r="BF1357">
        <v>0</v>
      </c>
      <c r="BG1357">
        <v>0</v>
      </c>
      <c r="BH1357">
        <v>1</v>
      </c>
      <c r="BI1357">
        <v>1</v>
      </c>
      <c r="BJ1357">
        <v>0.2</v>
      </c>
      <c r="BK1357">
        <v>1</v>
      </c>
      <c r="BL1357">
        <v>55.99</v>
      </c>
      <c r="BM1357">
        <v>8.4</v>
      </c>
      <c r="BN1357">
        <v>64.39</v>
      </c>
      <c r="BO1357">
        <v>64.39</v>
      </c>
      <c r="BQ1357" t="s">
        <v>1450</v>
      </c>
      <c r="BR1357" t="s">
        <v>84</v>
      </c>
      <c r="BS1357" s="3">
        <v>45881</v>
      </c>
      <c r="BT1357" s="4">
        <v>0.38680555555555557</v>
      </c>
      <c r="BU1357" t="s">
        <v>2090</v>
      </c>
      <c r="BV1357" t="s">
        <v>86</v>
      </c>
      <c r="BY1357">
        <v>1200</v>
      </c>
      <c r="CA1357" t="s">
        <v>1452</v>
      </c>
      <c r="CC1357" t="s">
        <v>256</v>
      </c>
      <c r="CD1357">
        <v>1501</v>
      </c>
      <c r="CE1357" t="s">
        <v>109</v>
      </c>
      <c r="CF1357" s="3">
        <v>45881</v>
      </c>
      <c r="CI1357">
        <v>1</v>
      </c>
      <c r="CJ1357">
        <v>1</v>
      </c>
      <c r="CK1357">
        <v>22</v>
      </c>
      <c r="CL1357" t="s">
        <v>90</v>
      </c>
    </row>
    <row r="1358" spans="1:90" x14ac:dyDescent="0.3">
      <c r="A1358" t="s">
        <v>72</v>
      </c>
      <c r="B1358" t="s">
        <v>73</v>
      </c>
      <c r="C1358" t="s">
        <v>74</v>
      </c>
      <c r="E1358" t="str">
        <f>"080067155055"</f>
        <v>080067155055</v>
      </c>
      <c r="F1358" s="3">
        <v>45880</v>
      </c>
      <c r="G1358">
        <v>202605</v>
      </c>
      <c r="H1358" t="s">
        <v>75</v>
      </c>
      <c r="I1358" t="s">
        <v>76</v>
      </c>
      <c r="J1358" t="s">
        <v>77</v>
      </c>
      <c r="K1358" t="s">
        <v>78</v>
      </c>
      <c r="L1358" t="s">
        <v>217</v>
      </c>
      <c r="M1358" t="s">
        <v>218</v>
      </c>
      <c r="N1358" t="s">
        <v>1956</v>
      </c>
      <c r="O1358" t="s">
        <v>95</v>
      </c>
      <c r="P1358" t="str">
        <f>"4170053795                    "</f>
        <v xml:space="preserve">4170053795                    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Q1358">
        <v>57.54</v>
      </c>
      <c r="AR1358">
        <v>0</v>
      </c>
      <c r="AS1358">
        <v>0</v>
      </c>
      <c r="AT1358">
        <v>0</v>
      </c>
      <c r="AU1358">
        <v>0</v>
      </c>
      <c r="AV1358">
        <v>0</v>
      </c>
      <c r="AW1358">
        <v>0</v>
      </c>
      <c r="AX1358">
        <v>0</v>
      </c>
      <c r="AY1358">
        <v>0</v>
      </c>
      <c r="AZ1358">
        <v>0</v>
      </c>
      <c r="BA1358">
        <v>0</v>
      </c>
      <c r="BB1358">
        <v>0</v>
      </c>
      <c r="BC1358">
        <v>0</v>
      </c>
      <c r="BD1358">
        <v>0</v>
      </c>
      <c r="BE1358">
        <v>0</v>
      </c>
      <c r="BF1358">
        <v>0</v>
      </c>
      <c r="BG1358">
        <v>0</v>
      </c>
      <c r="BH1358">
        <v>2</v>
      </c>
      <c r="BI1358">
        <v>22</v>
      </c>
      <c r="BJ1358">
        <v>14.7</v>
      </c>
      <c r="BK1358">
        <v>22</v>
      </c>
      <c r="BL1358">
        <v>184.55</v>
      </c>
      <c r="BM1358">
        <v>27.68</v>
      </c>
      <c r="BN1358">
        <v>212.23</v>
      </c>
      <c r="BO1358">
        <v>212.23</v>
      </c>
      <c r="BQ1358" t="s">
        <v>1957</v>
      </c>
      <c r="BR1358" t="s">
        <v>84</v>
      </c>
      <c r="BS1358" s="3">
        <v>45882</v>
      </c>
      <c r="BT1358" s="4">
        <v>0.43055555555555558</v>
      </c>
      <c r="BU1358" t="s">
        <v>2091</v>
      </c>
      <c r="BV1358" t="s">
        <v>90</v>
      </c>
      <c r="BW1358" t="s">
        <v>134</v>
      </c>
      <c r="BX1358" t="s">
        <v>641</v>
      </c>
      <c r="BY1358">
        <v>73269</v>
      </c>
      <c r="CA1358" t="s">
        <v>136</v>
      </c>
      <c r="CC1358" t="s">
        <v>218</v>
      </c>
      <c r="CD1358">
        <v>4052</v>
      </c>
      <c r="CE1358" t="s">
        <v>147</v>
      </c>
      <c r="CF1358" s="3">
        <v>45883</v>
      </c>
      <c r="CI1358">
        <v>1</v>
      </c>
      <c r="CJ1358">
        <v>2</v>
      </c>
      <c r="CK1358">
        <v>41</v>
      </c>
      <c r="CL1358" t="s">
        <v>90</v>
      </c>
    </row>
    <row r="1359" spans="1:90" x14ac:dyDescent="0.3">
      <c r="A1359" t="s">
        <v>72</v>
      </c>
      <c r="B1359" t="s">
        <v>73</v>
      </c>
      <c r="C1359" t="s">
        <v>74</v>
      </c>
      <c r="E1359" t="str">
        <f>"080067155073"</f>
        <v>080067155073</v>
      </c>
      <c r="F1359" s="3">
        <v>45880</v>
      </c>
      <c r="G1359">
        <v>202605</v>
      </c>
      <c r="H1359" t="s">
        <v>75</v>
      </c>
      <c r="I1359" t="s">
        <v>76</v>
      </c>
      <c r="J1359" t="s">
        <v>77</v>
      </c>
      <c r="K1359" t="s">
        <v>78</v>
      </c>
      <c r="L1359" t="s">
        <v>229</v>
      </c>
      <c r="M1359" t="s">
        <v>230</v>
      </c>
      <c r="N1359" t="s">
        <v>231</v>
      </c>
      <c r="O1359" t="s">
        <v>82</v>
      </c>
      <c r="P1359" t="str">
        <f>"4170054090                    "</f>
        <v xml:space="preserve">4170054090                    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Q1359">
        <v>44.73</v>
      </c>
      <c r="AR1359">
        <v>0</v>
      </c>
      <c r="AS1359">
        <v>0</v>
      </c>
      <c r="AT1359">
        <v>0</v>
      </c>
      <c r="AU1359">
        <v>0</v>
      </c>
      <c r="AV1359">
        <v>0</v>
      </c>
      <c r="AW1359">
        <v>0</v>
      </c>
      <c r="AX1359">
        <v>0</v>
      </c>
      <c r="AY1359">
        <v>0</v>
      </c>
      <c r="AZ1359">
        <v>0</v>
      </c>
      <c r="BA1359">
        <v>0</v>
      </c>
      <c r="BB1359">
        <v>0</v>
      </c>
      <c r="BC1359">
        <v>0</v>
      </c>
      <c r="BD1359">
        <v>0</v>
      </c>
      <c r="BE1359">
        <v>0</v>
      </c>
      <c r="BF1359">
        <v>0</v>
      </c>
      <c r="BG1359">
        <v>0</v>
      </c>
      <c r="BH1359">
        <v>1</v>
      </c>
      <c r="BI1359">
        <v>1</v>
      </c>
      <c r="BJ1359">
        <v>0.2</v>
      </c>
      <c r="BK1359">
        <v>1</v>
      </c>
      <c r="BL1359">
        <v>138.88999999999999</v>
      </c>
      <c r="BM1359">
        <v>20.83</v>
      </c>
      <c r="BN1359">
        <v>159.72</v>
      </c>
      <c r="BO1359">
        <v>159.72</v>
      </c>
      <c r="BQ1359" t="s">
        <v>232</v>
      </c>
      <c r="BR1359" t="s">
        <v>84</v>
      </c>
      <c r="BS1359" s="3">
        <v>45881</v>
      </c>
      <c r="BT1359" s="4">
        <v>0.32291666666666669</v>
      </c>
      <c r="BU1359" t="s">
        <v>233</v>
      </c>
      <c r="BV1359" t="s">
        <v>86</v>
      </c>
      <c r="BY1359">
        <v>1200</v>
      </c>
      <c r="CC1359" t="s">
        <v>230</v>
      </c>
      <c r="CD1359">
        <v>2740</v>
      </c>
      <c r="CE1359" t="s">
        <v>109</v>
      </c>
      <c r="CF1359" s="3">
        <v>45882</v>
      </c>
      <c r="CI1359">
        <v>1</v>
      </c>
      <c r="CJ1359">
        <v>1</v>
      </c>
      <c r="CK1359">
        <v>23</v>
      </c>
      <c r="CL1359" t="s">
        <v>90</v>
      </c>
    </row>
    <row r="1360" spans="1:90" x14ac:dyDescent="0.3">
      <c r="A1360" t="s">
        <v>72</v>
      </c>
      <c r="B1360" t="s">
        <v>73</v>
      </c>
      <c r="C1360" t="s">
        <v>74</v>
      </c>
      <c r="E1360" t="str">
        <f>"080067155105"</f>
        <v>080067155105</v>
      </c>
      <c r="F1360" s="3">
        <v>45880</v>
      </c>
      <c r="G1360">
        <v>202605</v>
      </c>
      <c r="H1360" t="s">
        <v>75</v>
      </c>
      <c r="I1360" t="s">
        <v>76</v>
      </c>
      <c r="J1360" t="s">
        <v>77</v>
      </c>
      <c r="K1360" t="s">
        <v>78</v>
      </c>
      <c r="L1360" t="s">
        <v>229</v>
      </c>
      <c r="M1360" t="s">
        <v>230</v>
      </c>
      <c r="N1360" t="s">
        <v>231</v>
      </c>
      <c r="O1360" t="s">
        <v>82</v>
      </c>
      <c r="P1360" t="str">
        <f>"4170054021                    "</f>
        <v xml:space="preserve">4170054021                    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>
        <v>64.92</v>
      </c>
      <c r="AR1360">
        <v>0</v>
      </c>
      <c r="AS1360">
        <v>0</v>
      </c>
      <c r="AT1360">
        <v>0</v>
      </c>
      <c r="AU1360">
        <v>0</v>
      </c>
      <c r="AV1360">
        <v>0</v>
      </c>
      <c r="AW1360">
        <v>0</v>
      </c>
      <c r="AX1360">
        <v>0</v>
      </c>
      <c r="AY1360">
        <v>0</v>
      </c>
      <c r="AZ1360">
        <v>0</v>
      </c>
      <c r="BA1360">
        <v>0</v>
      </c>
      <c r="BB1360">
        <v>0</v>
      </c>
      <c r="BC1360">
        <v>0</v>
      </c>
      <c r="BD1360">
        <v>0</v>
      </c>
      <c r="BE1360">
        <v>0</v>
      </c>
      <c r="BF1360">
        <v>0</v>
      </c>
      <c r="BG1360">
        <v>0</v>
      </c>
      <c r="BH1360">
        <v>1</v>
      </c>
      <c r="BI1360">
        <v>3</v>
      </c>
      <c r="BJ1360">
        <v>2.4</v>
      </c>
      <c r="BK1360">
        <v>3</v>
      </c>
      <c r="BL1360">
        <v>201.6</v>
      </c>
      <c r="BM1360">
        <v>30.24</v>
      </c>
      <c r="BN1360">
        <v>231.84</v>
      </c>
      <c r="BO1360">
        <v>231.84</v>
      </c>
      <c r="BQ1360" t="s">
        <v>232</v>
      </c>
      <c r="BR1360" t="s">
        <v>84</v>
      </c>
      <c r="BS1360" s="3">
        <v>45881</v>
      </c>
      <c r="BT1360" s="4">
        <v>0.32291666666666669</v>
      </c>
      <c r="BU1360" t="s">
        <v>233</v>
      </c>
      <c r="BV1360" t="s">
        <v>86</v>
      </c>
      <c r="BY1360">
        <v>11925</v>
      </c>
      <c r="CC1360" t="s">
        <v>230</v>
      </c>
      <c r="CD1360">
        <v>2740</v>
      </c>
      <c r="CE1360" t="s">
        <v>117</v>
      </c>
      <c r="CF1360" s="3">
        <v>45882</v>
      </c>
      <c r="CI1360">
        <v>1</v>
      </c>
      <c r="CJ1360">
        <v>1</v>
      </c>
      <c r="CK1360">
        <v>23</v>
      </c>
      <c r="CL1360" t="s">
        <v>90</v>
      </c>
    </row>
    <row r="1361" spans="1:90" x14ac:dyDescent="0.3">
      <c r="A1361" t="s">
        <v>72</v>
      </c>
      <c r="B1361" t="s">
        <v>73</v>
      </c>
      <c r="C1361" t="s">
        <v>74</v>
      </c>
      <c r="E1361" t="str">
        <f>"080067155130"</f>
        <v>080067155130</v>
      </c>
      <c r="F1361" s="3">
        <v>45880</v>
      </c>
      <c r="G1361">
        <v>202605</v>
      </c>
      <c r="H1361" t="s">
        <v>75</v>
      </c>
      <c r="I1361" t="s">
        <v>76</v>
      </c>
      <c r="J1361" t="s">
        <v>77</v>
      </c>
      <c r="K1361" t="s">
        <v>78</v>
      </c>
      <c r="L1361" t="s">
        <v>303</v>
      </c>
      <c r="M1361" t="s">
        <v>304</v>
      </c>
      <c r="N1361" t="s">
        <v>1923</v>
      </c>
      <c r="O1361" t="s">
        <v>82</v>
      </c>
      <c r="P1361" t="str">
        <f>"4170053957                    "</f>
        <v xml:space="preserve">4170053957                    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>
        <v>145.71</v>
      </c>
      <c r="AR1361">
        <v>0</v>
      </c>
      <c r="AS1361">
        <v>0</v>
      </c>
      <c r="AT1361">
        <v>0</v>
      </c>
      <c r="AU1361">
        <v>0</v>
      </c>
      <c r="AV1361">
        <v>0</v>
      </c>
      <c r="AW1361">
        <v>0</v>
      </c>
      <c r="AX1361">
        <v>0</v>
      </c>
      <c r="AY1361">
        <v>0</v>
      </c>
      <c r="AZ1361">
        <v>0</v>
      </c>
      <c r="BA1361">
        <v>0</v>
      </c>
      <c r="BB1361">
        <v>0</v>
      </c>
      <c r="BC1361">
        <v>0</v>
      </c>
      <c r="BD1361">
        <v>0</v>
      </c>
      <c r="BE1361">
        <v>0</v>
      </c>
      <c r="BF1361">
        <v>0</v>
      </c>
      <c r="BG1361">
        <v>0</v>
      </c>
      <c r="BH1361">
        <v>1</v>
      </c>
      <c r="BI1361">
        <v>7</v>
      </c>
      <c r="BJ1361">
        <v>3.4</v>
      </c>
      <c r="BK1361">
        <v>7</v>
      </c>
      <c r="BL1361">
        <v>452.47</v>
      </c>
      <c r="BM1361">
        <v>67.87</v>
      </c>
      <c r="BN1361">
        <v>520.34</v>
      </c>
      <c r="BO1361">
        <v>520.34</v>
      </c>
      <c r="BQ1361" t="s">
        <v>1924</v>
      </c>
      <c r="BR1361" t="s">
        <v>84</v>
      </c>
      <c r="BS1361" s="3">
        <v>45881</v>
      </c>
      <c r="BT1361" s="4">
        <v>0.4597222222222222</v>
      </c>
      <c r="BU1361" t="s">
        <v>1925</v>
      </c>
      <c r="BV1361" t="s">
        <v>86</v>
      </c>
      <c r="BY1361">
        <v>16965</v>
      </c>
      <c r="CA1361" t="s">
        <v>308</v>
      </c>
      <c r="CC1361" t="s">
        <v>304</v>
      </c>
      <c r="CD1361">
        <v>7130</v>
      </c>
      <c r="CE1361" t="s">
        <v>147</v>
      </c>
      <c r="CF1361" s="3">
        <v>45882</v>
      </c>
      <c r="CI1361">
        <v>1</v>
      </c>
      <c r="CJ1361">
        <v>1</v>
      </c>
      <c r="CK1361">
        <v>23</v>
      </c>
      <c r="CL1361" t="s">
        <v>90</v>
      </c>
    </row>
    <row r="1362" spans="1:90" x14ac:dyDescent="0.3">
      <c r="A1362" t="s">
        <v>72</v>
      </c>
      <c r="B1362" t="s">
        <v>73</v>
      </c>
      <c r="C1362" t="s">
        <v>74</v>
      </c>
      <c r="E1362" t="str">
        <f>"080067155180"</f>
        <v>080067155180</v>
      </c>
      <c r="F1362" s="3">
        <v>45880</v>
      </c>
      <c r="G1362">
        <v>202605</v>
      </c>
      <c r="H1362" t="s">
        <v>75</v>
      </c>
      <c r="I1362" t="s">
        <v>76</v>
      </c>
      <c r="J1362" t="s">
        <v>77</v>
      </c>
      <c r="K1362" t="s">
        <v>78</v>
      </c>
      <c r="L1362" t="s">
        <v>325</v>
      </c>
      <c r="M1362" t="s">
        <v>326</v>
      </c>
      <c r="N1362" t="s">
        <v>1055</v>
      </c>
      <c r="O1362" t="s">
        <v>82</v>
      </c>
      <c r="P1362" t="str">
        <f>"4170054078                    "</f>
        <v xml:space="preserve">4170054078                    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Q1362">
        <v>18.03</v>
      </c>
      <c r="AR1362">
        <v>0</v>
      </c>
      <c r="AS1362">
        <v>0</v>
      </c>
      <c r="AT1362">
        <v>0</v>
      </c>
      <c r="AU1362">
        <v>0</v>
      </c>
      <c r="AV1362">
        <v>0</v>
      </c>
      <c r="AW1362">
        <v>0</v>
      </c>
      <c r="AX1362">
        <v>0</v>
      </c>
      <c r="AY1362">
        <v>0</v>
      </c>
      <c r="AZ1362">
        <v>0</v>
      </c>
      <c r="BA1362">
        <v>0</v>
      </c>
      <c r="BB1362">
        <v>0</v>
      </c>
      <c r="BC1362">
        <v>0</v>
      </c>
      <c r="BD1362">
        <v>0</v>
      </c>
      <c r="BE1362">
        <v>0</v>
      </c>
      <c r="BF1362">
        <v>0</v>
      </c>
      <c r="BG1362">
        <v>0</v>
      </c>
      <c r="BH1362">
        <v>1</v>
      </c>
      <c r="BI1362">
        <v>2</v>
      </c>
      <c r="BJ1362">
        <v>1.4</v>
      </c>
      <c r="BK1362">
        <v>2</v>
      </c>
      <c r="BL1362">
        <v>55.99</v>
      </c>
      <c r="BM1362">
        <v>8.4</v>
      </c>
      <c r="BN1362">
        <v>64.39</v>
      </c>
      <c r="BO1362">
        <v>64.39</v>
      </c>
      <c r="BQ1362" t="s">
        <v>1056</v>
      </c>
      <c r="BR1362" t="s">
        <v>84</v>
      </c>
      <c r="BS1362" s="3">
        <v>45881</v>
      </c>
      <c r="BT1362" s="4">
        <v>0.37291666666666667</v>
      </c>
      <c r="BU1362" t="s">
        <v>1747</v>
      </c>
      <c r="BV1362" t="s">
        <v>86</v>
      </c>
      <c r="BY1362">
        <v>7000</v>
      </c>
      <c r="CA1362" t="s">
        <v>461</v>
      </c>
      <c r="CC1362" t="s">
        <v>326</v>
      </c>
      <c r="CD1362">
        <v>2094</v>
      </c>
      <c r="CE1362" t="s">
        <v>147</v>
      </c>
      <c r="CF1362" s="3">
        <v>45881</v>
      </c>
      <c r="CI1362">
        <v>1</v>
      </c>
      <c r="CJ1362">
        <v>1</v>
      </c>
      <c r="CK1362">
        <v>22</v>
      </c>
      <c r="CL1362" t="s">
        <v>90</v>
      </c>
    </row>
    <row r="1363" spans="1:90" x14ac:dyDescent="0.3">
      <c r="A1363" t="s">
        <v>72</v>
      </c>
      <c r="B1363" t="s">
        <v>73</v>
      </c>
      <c r="C1363" t="s">
        <v>74</v>
      </c>
      <c r="E1363" t="str">
        <f>"080067155188"</f>
        <v>080067155188</v>
      </c>
      <c r="F1363" s="3">
        <v>45880</v>
      </c>
      <c r="G1363">
        <v>202605</v>
      </c>
      <c r="H1363" t="s">
        <v>75</v>
      </c>
      <c r="I1363" t="s">
        <v>76</v>
      </c>
      <c r="J1363" t="s">
        <v>77</v>
      </c>
      <c r="K1363" t="s">
        <v>78</v>
      </c>
      <c r="L1363" t="s">
        <v>129</v>
      </c>
      <c r="M1363" t="s">
        <v>130</v>
      </c>
      <c r="N1363" t="s">
        <v>131</v>
      </c>
      <c r="O1363" t="s">
        <v>82</v>
      </c>
      <c r="P1363" t="str">
        <f>"4170054040                    "</f>
        <v xml:space="preserve">4170054040                    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>
        <v>69.22</v>
      </c>
      <c r="AR1363">
        <v>0</v>
      </c>
      <c r="AS1363">
        <v>0</v>
      </c>
      <c r="AT1363">
        <v>0</v>
      </c>
      <c r="AU1363">
        <v>0</v>
      </c>
      <c r="AV1363">
        <v>0</v>
      </c>
      <c r="AW1363">
        <v>0</v>
      </c>
      <c r="AX1363">
        <v>0</v>
      </c>
      <c r="AY1363">
        <v>0</v>
      </c>
      <c r="AZ1363">
        <v>0</v>
      </c>
      <c r="BA1363">
        <v>0</v>
      </c>
      <c r="BB1363">
        <v>0</v>
      </c>
      <c r="BC1363">
        <v>0</v>
      </c>
      <c r="BD1363">
        <v>0</v>
      </c>
      <c r="BE1363">
        <v>0</v>
      </c>
      <c r="BF1363">
        <v>0</v>
      </c>
      <c r="BG1363">
        <v>0</v>
      </c>
      <c r="BH1363">
        <v>1</v>
      </c>
      <c r="BI1363">
        <v>5</v>
      </c>
      <c r="BJ1363">
        <v>5.7</v>
      </c>
      <c r="BK1363">
        <v>6</v>
      </c>
      <c r="BL1363">
        <v>214.94</v>
      </c>
      <c r="BM1363">
        <v>32.24</v>
      </c>
      <c r="BN1363">
        <v>247.18</v>
      </c>
      <c r="BO1363">
        <v>247.18</v>
      </c>
      <c r="BQ1363" t="s">
        <v>132</v>
      </c>
      <c r="BR1363" t="s">
        <v>84</v>
      </c>
      <c r="BS1363" s="3">
        <v>45881</v>
      </c>
      <c r="BT1363" s="4">
        <v>0.7270833333333333</v>
      </c>
      <c r="BU1363" t="s">
        <v>133</v>
      </c>
      <c r="BV1363" t="s">
        <v>90</v>
      </c>
      <c r="BW1363" t="s">
        <v>134</v>
      </c>
      <c r="BX1363" t="s">
        <v>135</v>
      </c>
      <c r="BY1363">
        <v>28717</v>
      </c>
      <c r="CA1363" t="s">
        <v>136</v>
      </c>
      <c r="CC1363" t="s">
        <v>130</v>
      </c>
      <c r="CD1363">
        <v>4133</v>
      </c>
      <c r="CE1363" t="s">
        <v>970</v>
      </c>
      <c r="CF1363" s="3">
        <v>45882</v>
      </c>
      <c r="CI1363">
        <v>1</v>
      </c>
      <c r="CJ1363">
        <v>1</v>
      </c>
      <c r="CK1363">
        <v>21</v>
      </c>
      <c r="CL1363" t="s">
        <v>90</v>
      </c>
    </row>
    <row r="1364" spans="1:90" x14ac:dyDescent="0.3">
      <c r="A1364" t="s">
        <v>72</v>
      </c>
      <c r="B1364" t="s">
        <v>73</v>
      </c>
      <c r="C1364" t="s">
        <v>74</v>
      </c>
      <c r="E1364" t="str">
        <f>"080067155197"</f>
        <v>080067155197</v>
      </c>
      <c r="F1364" s="3">
        <v>45880</v>
      </c>
      <c r="G1364">
        <v>202605</v>
      </c>
      <c r="H1364" t="s">
        <v>75</v>
      </c>
      <c r="I1364" t="s">
        <v>76</v>
      </c>
      <c r="J1364" t="s">
        <v>77</v>
      </c>
      <c r="K1364" t="s">
        <v>78</v>
      </c>
      <c r="L1364" t="s">
        <v>241</v>
      </c>
      <c r="M1364" t="s">
        <v>242</v>
      </c>
      <c r="N1364" t="s">
        <v>2092</v>
      </c>
      <c r="O1364" t="s">
        <v>82</v>
      </c>
      <c r="P1364" t="str">
        <f>"4170054098                    "</f>
        <v xml:space="preserve">4170054098                    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Q1364">
        <v>18.03</v>
      </c>
      <c r="AR1364">
        <v>0</v>
      </c>
      <c r="AS1364">
        <v>0</v>
      </c>
      <c r="AT1364">
        <v>0</v>
      </c>
      <c r="AU1364">
        <v>0</v>
      </c>
      <c r="AV1364">
        <v>0</v>
      </c>
      <c r="AW1364">
        <v>0</v>
      </c>
      <c r="AX1364">
        <v>0</v>
      </c>
      <c r="AY1364">
        <v>0</v>
      </c>
      <c r="AZ1364">
        <v>0</v>
      </c>
      <c r="BA1364">
        <v>0</v>
      </c>
      <c r="BB1364">
        <v>0</v>
      </c>
      <c r="BC1364">
        <v>0</v>
      </c>
      <c r="BD1364">
        <v>0</v>
      </c>
      <c r="BE1364">
        <v>0</v>
      </c>
      <c r="BF1364">
        <v>0</v>
      </c>
      <c r="BG1364">
        <v>0</v>
      </c>
      <c r="BH1364">
        <v>1</v>
      </c>
      <c r="BI1364">
        <v>3</v>
      </c>
      <c r="BJ1364">
        <v>1.4</v>
      </c>
      <c r="BK1364">
        <v>3</v>
      </c>
      <c r="BL1364">
        <v>55.99</v>
      </c>
      <c r="BM1364">
        <v>8.4</v>
      </c>
      <c r="BN1364">
        <v>64.39</v>
      </c>
      <c r="BO1364">
        <v>64.39</v>
      </c>
      <c r="BQ1364" t="s">
        <v>2093</v>
      </c>
      <c r="BR1364" t="s">
        <v>84</v>
      </c>
      <c r="BS1364" s="3">
        <v>45881</v>
      </c>
      <c r="BT1364" s="4">
        <v>0.37708333333333333</v>
      </c>
      <c r="BU1364" t="s">
        <v>2094</v>
      </c>
      <c r="BV1364" t="s">
        <v>86</v>
      </c>
      <c r="BY1364">
        <v>7000</v>
      </c>
      <c r="CA1364" t="s">
        <v>720</v>
      </c>
      <c r="CC1364" t="s">
        <v>242</v>
      </c>
      <c r="CD1364">
        <v>1459</v>
      </c>
      <c r="CE1364" t="s">
        <v>147</v>
      </c>
      <c r="CF1364" s="3">
        <v>45881</v>
      </c>
      <c r="CI1364">
        <v>1</v>
      </c>
      <c r="CJ1364">
        <v>1</v>
      </c>
      <c r="CK1364">
        <v>22</v>
      </c>
      <c r="CL1364" t="s">
        <v>90</v>
      </c>
    </row>
    <row r="1365" spans="1:90" x14ac:dyDescent="0.3">
      <c r="A1365" t="s">
        <v>72</v>
      </c>
      <c r="B1365" t="s">
        <v>73</v>
      </c>
      <c r="C1365" t="s">
        <v>74</v>
      </c>
      <c r="E1365" t="str">
        <f>"080067155224"</f>
        <v>080067155224</v>
      </c>
      <c r="F1365" s="3">
        <v>45880</v>
      </c>
      <c r="G1365">
        <v>202605</v>
      </c>
      <c r="H1365" t="s">
        <v>75</v>
      </c>
      <c r="I1365" t="s">
        <v>76</v>
      </c>
      <c r="J1365" t="s">
        <v>77</v>
      </c>
      <c r="K1365" t="s">
        <v>78</v>
      </c>
      <c r="L1365" t="s">
        <v>137</v>
      </c>
      <c r="M1365" t="s">
        <v>138</v>
      </c>
      <c r="N1365" t="s">
        <v>1760</v>
      </c>
      <c r="O1365" t="s">
        <v>82</v>
      </c>
      <c r="P1365" t="str">
        <f>"4170054015                    "</f>
        <v xml:space="preserve">4170054015                    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>
        <v>34.619999999999997</v>
      </c>
      <c r="AR1365">
        <v>0</v>
      </c>
      <c r="AS1365">
        <v>0</v>
      </c>
      <c r="AT1365">
        <v>0</v>
      </c>
      <c r="AU1365">
        <v>0</v>
      </c>
      <c r="AV1365">
        <v>0</v>
      </c>
      <c r="AW1365">
        <v>0</v>
      </c>
      <c r="AX1365">
        <v>0</v>
      </c>
      <c r="AY1365">
        <v>0</v>
      </c>
      <c r="AZ1365">
        <v>0</v>
      </c>
      <c r="BA1365">
        <v>0</v>
      </c>
      <c r="BB1365">
        <v>0</v>
      </c>
      <c r="BC1365">
        <v>0</v>
      </c>
      <c r="BD1365">
        <v>0</v>
      </c>
      <c r="BE1365">
        <v>0</v>
      </c>
      <c r="BF1365">
        <v>0</v>
      </c>
      <c r="BG1365">
        <v>0</v>
      </c>
      <c r="BH1365">
        <v>1</v>
      </c>
      <c r="BI1365">
        <v>3</v>
      </c>
      <c r="BJ1365">
        <v>1.1000000000000001</v>
      </c>
      <c r="BK1365">
        <v>3</v>
      </c>
      <c r="BL1365">
        <v>107.5</v>
      </c>
      <c r="BM1365">
        <v>16.13</v>
      </c>
      <c r="BN1365">
        <v>123.63</v>
      </c>
      <c r="BO1365">
        <v>123.63</v>
      </c>
      <c r="BQ1365" t="s">
        <v>1761</v>
      </c>
      <c r="BR1365" t="s">
        <v>84</v>
      </c>
      <c r="BS1365" s="3">
        <v>45881</v>
      </c>
      <c r="BT1365" s="4">
        <v>0.51875000000000004</v>
      </c>
      <c r="BU1365" t="s">
        <v>1819</v>
      </c>
      <c r="BV1365" t="s">
        <v>86</v>
      </c>
      <c r="BY1365">
        <v>5320</v>
      </c>
      <c r="CA1365" t="s">
        <v>953</v>
      </c>
      <c r="CC1365" t="s">
        <v>138</v>
      </c>
      <c r="CD1365">
        <v>3610</v>
      </c>
      <c r="CE1365" t="s">
        <v>147</v>
      </c>
      <c r="CF1365" s="3">
        <v>45882</v>
      </c>
      <c r="CI1365">
        <v>1</v>
      </c>
      <c r="CJ1365">
        <v>1</v>
      </c>
      <c r="CK1365">
        <v>21</v>
      </c>
      <c r="CL1365" t="s">
        <v>90</v>
      </c>
    </row>
    <row r="1366" spans="1:90" x14ac:dyDescent="0.3">
      <c r="A1366" t="s">
        <v>72</v>
      </c>
      <c r="B1366" t="s">
        <v>73</v>
      </c>
      <c r="C1366" t="s">
        <v>74</v>
      </c>
      <c r="E1366" t="str">
        <f>"080067155435"</f>
        <v>080067155435</v>
      </c>
      <c r="F1366" s="3">
        <v>45880</v>
      </c>
      <c r="G1366">
        <v>202605</v>
      </c>
      <c r="H1366" t="s">
        <v>75</v>
      </c>
      <c r="I1366" t="s">
        <v>76</v>
      </c>
      <c r="J1366" t="s">
        <v>77</v>
      </c>
      <c r="K1366" t="s">
        <v>78</v>
      </c>
      <c r="L1366" t="s">
        <v>75</v>
      </c>
      <c r="M1366" t="s">
        <v>76</v>
      </c>
      <c r="N1366" t="s">
        <v>1100</v>
      </c>
      <c r="O1366" t="s">
        <v>113</v>
      </c>
      <c r="P1366" t="str">
        <f>"4170054079                    "</f>
        <v xml:space="preserve">4170054079                    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>
        <v>18.04</v>
      </c>
      <c r="AR1366">
        <v>0</v>
      </c>
      <c r="AS1366">
        <v>0</v>
      </c>
      <c r="AT1366">
        <v>0</v>
      </c>
      <c r="AU1366">
        <v>0</v>
      </c>
      <c r="AV1366">
        <v>0</v>
      </c>
      <c r="AW1366">
        <v>0</v>
      </c>
      <c r="AX1366">
        <v>0</v>
      </c>
      <c r="AY1366">
        <v>0</v>
      </c>
      <c r="AZ1366">
        <v>0</v>
      </c>
      <c r="BA1366">
        <v>0</v>
      </c>
      <c r="BB1366">
        <v>0</v>
      </c>
      <c r="BC1366">
        <v>0</v>
      </c>
      <c r="BD1366">
        <v>0</v>
      </c>
      <c r="BE1366">
        <v>0</v>
      </c>
      <c r="BF1366">
        <v>0</v>
      </c>
      <c r="BG1366">
        <v>0</v>
      </c>
      <c r="BH1366">
        <v>1</v>
      </c>
      <c r="BI1366">
        <v>2</v>
      </c>
      <c r="BJ1366">
        <v>3.9</v>
      </c>
      <c r="BK1366">
        <v>4</v>
      </c>
      <c r="BL1366">
        <v>56.01</v>
      </c>
      <c r="BM1366">
        <v>8.4</v>
      </c>
      <c r="BN1366">
        <v>64.41</v>
      </c>
      <c r="BO1366">
        <v>64.41</v>
      </c>
      <c r="BQ1366" t="s">
        <v>1101</v>
      </c>
      <c r="BR1366" t="s">
        <v>84</v>
      </c>
      <c r="BS1366" s="3">
        <v>45881</v>
      </c>
      <c r="BT1366" s="4">
        <v>0.36319444444444443</v>
      </c>
      <c r="BU1366" t="s">
        <v>2095</v>
      </c>
      <c r="BV1366" t="s">
        <v>86</v>
      </c>
      <c r="BY1366">
        <v>19404</v>
      </c>
      <c r="CA1366" t="s">
        <v>1743</v>
      </c>
      <c r="CC1366" t="s">
        <v>76</v>
      </c>
      <c r="CD1366">
        <v>1600</v>
      </c>
      <c r="CE1366" t="s">
        <v>117</v>
      </c>
      <c r="CF1366" s="3">
        <v>45881</v>
      </c>
      <c r="CI1366">
        <v>1</v>
      </c>
      <c r="CJ1366">
        <v>1</v>
      </c>
      <c r="CK1366">
        <v>32</v>
      </c>
      <c r="CL1366" t="s">
        <v>90</v>
      </c>
    </row>
    <row r="1367" spans="1:90" x14ac:dyDescent="0.3">
      <c r="A1367" t="s">
        <v>72</v>
      </c>
      <c r="B1367" t="s">
        <v>73</v>
      </c>
      <c r="C1367" t="s">
        <v>74</v>
      </c>
      <c r="E1367" t="str">
        <f>"080067155486"</f>
        <v>080067155486</v>
      </c>
      <c r="F1367" s="3">
        <v>45880</v>
      </c>
      <c r="G1367">
        <v>202605</v>
      </c>
      <c r="H1367" t="s">
        <v>75</v>
      </c>
      <c r="I1367" t="s">
        <v>76</v>
      </c>
      <c r="J1367" t="s">
        <v>77</v>
      </c>
      <c r="K1367" t="s">
        <v>78</v>
      </c>
      <c r="L1367" t="s">
        <v>217</v>
      </c>
      <c r="M1367" t="s">
        <v>218</v>
      </c>
      <c r="N1367" t="s">
        <v>249</v>
      </c>
      <c r="O1367" t="s">
        <v>95</v>
      </c>
      <c r="P1367" t="str">
        <f>"4170054005                    "</f>
        <v xml:space="preserve">4170054005                    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Q1367">
        <v>48.33</v>
      </c>
      <c r="AR1367">
        <v>0</v>
      </c>
      <c r="AS1367">
        <v>0</v>
      </c>
      <c r="AT1367">
        <v>0</v>
      </c>
      <c r="AU1367">
        <v>0</v>
      </c>
      <c r="AV1367">
        <v>0</v>
      </c>
      <c r="AW1367">
        <v>0</v>
      </c>
      <c r="AX1367">
        <v>0</v>
      </c>
      <c r="AY1367">
        <v>0</v>
      </c>
      <c r="AZ1367">
        <v>0</v>
      </c>
      <c r="BA1367">
        <v>0</v>
      </c>
      <c r="BB1367">
        <v>0</v>
      </c>
      <c r="BC1367">
        <v>0</v>
      </c>
      <c r="BD1367">
        <v>0</v>
      </c>
      <c r="BE1367">
        <v>0</v>
      </c>
      <c r="BF1367">
        <v>0</v>
      </c>
      <c r="BG1367">
        <v>0</v>
      </c>
      <c r="BH1367">
        <v>1</v>
      </c>
      <c r="BI1367">
        <v>17</v>
      </c>
      <c r="BJ1367">
        <v>16.3</v>
      </c>
      <c r="BK1367">
        <v>17</v>
      </c>
      <c r="BL1367">
        <v>155.94</v>
      </c>
      <c r="BM1367">
        <v>23.39</v>
      </c>
      <c r="BN1367">
        <v>179.33</v>
      </c>
      <c r="BO1367">
        <v>179.33</v>
      </c>
      <c r="BQ1367" t="s">
        <v>250</v>
      </c>
      <c r="BR1367" t="s">
        <v>84</v>
      </c>
      <c r="BS1367" s="3">
        <v>45881</v>
      </c>
      <c r="BT1367" s="4">
        <v>0.72430555555555554</v>
      </c>
      <c r="BU1367" t="s">
        <v>251</v>
      </c>
      <c r="BV1367" t="s">
        <v>86</v>
      </c>
      <c r="BY1367">
        <v>81675</v>
      </c>
      <c r="CA1367" t="s">
        <v>136</v>
      </c>
      <c r="CC1367" t="s">
        <v>218</v>
      </c>
      <c r="CD1367">
        <v>4052</v>
      </c>
      <c r="CE1367" t="s">
        <v>1204</v>
      </c>
      <c r="CF1367" s="3">
        <v>45882</v>
      </c>
      <c r="CI1367">
        <v>1</v>
      </c>
      <c r="CJ1367">
        <v>1</v>
      </c>
      <c r="CK1367">
        <v>41</v>
      </c>
      <c r="CL1367" t="s">
        <v>90</v>
      </c>
    </row>
    <row r="1368" spans="1:90" x14ac:dyDescent="0.3">
      <c r="A1368" t="s">
        <v>72</v>
      </c>
      <c r="B1368" t="s">
        <v>73</v>
      </c>
      <c r="C1368" t="s">
        <v>74</v>
      </c>
      <c r="E1368" t="str">
        <f>"080067155531"</f>
        <v>080067155531</v>
      </c>
      <c r="F1368" s="3">
        <v>45880</v>
      </c>
      <c r="G1368">
        <v>202605</v>
      </c>
      <c r="H1368" t="s">
        <v>75</v>
      </c>
      <c r="I1368" t="s">
        <v>76</v>
      </c>
      <c r="J1368" t="s">
        <v>77</v>
      </c>
      <c r="K1368" t="s">
        <v>78</v>
      </c>
      <c r="L1368" t="s">
        <v>391</v>
      </c>
      <c r="M1368" t="s">
        <v>392</v>
      </c>
      <c r="N1368" t="s">
        <v>393</v>
      </c>
      <c r="O1368" t="s">
        <v>82</v>
      </c>
      <c r="P1368" t="str">
        <f>"4170054026                    "</f>
        <v xml:space="preserve">4170054026                    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Q1368">
        <v>44.73</v>
      </c>
      <c r="AR1368">
        <v>0</v>
      </c>
      <c r="AS1368">
        <v>0</v>
      </c>
      <c r="AT1368">
        <v>0</v>
      </c>
      <c r="AU1368">
        <v>0</v>
      </c>
      <c r="AV1368">
        <v>0</v>
      </c>
      <c r="AW1368">
        <v>0</v>
      </c>
      <c r="AX1368">
        <v>0</v>
      </c>
      <c r="AY1368">
        <v>0</v>
      </c>
      <c r="AZ1368">
        <v>0</v>
      </c>
      <c r="BA1368">
        <v>0</v>
      </c>
      <c r="BB1368">
        <v>0</v>
      </c>
      <c r="BC1368">
        <v>0</v>
      </c>
      <c r="BD1368">
        <v>0</v>
      </c>
      <c r="BE1368">
        <v>0</v>
      </c>
      <c r="BF1368">
        <v>0</v>
      </c>
      <c r="BG1368">
        <v>0</v>
      </c>
      <c r="BH1368">
        <v>1</v>
      </c>
      <c r="BI1368">
        <v>1</v>
      </c>
      <c r="BJ1368">
        <v>0.2</v>
      </c>
      <c r="BK1368">
        <v>1</v>
      </c>
      <c r="BL1368">
        <v>138.88999999999999</v>
      </c>
      <c r="BM1368">
        <v>20.83</v>
      </c>
      <c r="BN1368">
        <v>159.72</v>
      </c>
      <c r="BO1368">
        <v>159.72</v>
      </c>
      <c r="BQ1368" t="s">
        <v>394</v>
      </c>
      <c r="BR1368" t="s">
        <v>84</v>
      </c>
      <c r="BS1368" s="3">
        <v>45881</v>
      </c>
      <c r="BT1368" s="4">
        <v>0.48819444444444443</v>
      </c>
      <c r="BU1368" t="s">
        <v>395</v>
      </c>
      <c r="BV1368" t="s">
        <v>86</v>
      </c>
      <c r="BY1368">
        <v>1200</v>
      </c>
      <c r="CA1368" t="s">
        <v>1347</v>
      </c>
      <c r="CC1368" t="s">
        <v>392</v>
      </c>
      <c r="CD1368">
        <v>6715</v>
      </c>
      <c r="CE1368" t="s">
        <v>109</v>
      </c>
      <c r="CF1368" s="3">
        <v>45882</v>
      </c>
      <c r="CI1368">
        <v>2</v>
      </c>
      <c r="CJ1368">
        <v>1</v>
      </c>
      <c r="CK1368">
        <v>23</v>
      </c>
      <c r="CL1368" t="s">
        <v>90</v>
      </c>
    </row>
    <row r="1369" spans="1:90" x14ac:dyDescent="0.3">
      <c r="A1369" t="s">
        <v>72</v>
      </c>
      <c r="B1369" t="s">
        <v>73</v>
      </c>
      <c r="C1369" t="s">
        <v>74</v>
      </c>
      <c r="E1369" t="str">
        <f>"080067155683"</f>
        <v>080067155683</v>
      </c>
      <c r="F1369" s="3">
        <v>45880</v>
      </c>
      <c r="G1369">
        <v>202605</v>
      </c>
      <c r="H1369" t="s">
        <v>75</v>
      </c>
      <c r="I1369" t="s">
        <v>76</v>
      </c>
      <c r="J1369" t="s">
        <v>77</v>
      </c>
      <c r="K1369" t="s">
        <v>78</v>
      </c>
      <c r="L1369" t="s">
        <v>198</v>
      </c>
      <c r="M1369" t="s">
        <v>199</v>
      </c>
      <c r="N1369" t="s">
        <v>598</v>
      </c>
      <c r="O1369" t="s">
        <v>82</v>
      </c>
      <c r="P1369" t="str">
        <f>"4170054011                    "</f>
        <v xml:space="preserve">4170054011                    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Q1369">
        <v>57.68</v>
      </c>
      <c r="AR1369">
        <v>0</v>
      </c>
      <c r="AS1369">
        <v>0</v>
      </c>
      <c r="AT1369">
        <v>0</v>
      </c>
      <c r="AU1369">
        <v>0</v>
      </c>
      <c r="AV1369">
        <v>0</v>
      </c>
      <c r="AW1369">
        <v>0</v>
      </c>
      <c r="AX1369">
        <v>0</v>
      </c>
      <c r="AY1369">
        <v>0</v>
      </c>
      <c r="AZ1369">
        <v>0</v>
      </c>
      <c r="BA1369">
        <v>0</v>
      </c>
      <c r="BB1369">
        <v>0</v>
      </c>
      <c r="BC1369">
        <v>0</v>
      </c>
      <c r="BD1369">
        <v>0</v>
      </c>
      <c r="BE1369">
        <v>0</v>
      </c>
      <c r="BF1369">
        <v>0</v>
      </c>
      <c r="BG1369">
        <v>0</v>
      </c>
      <c r="BH1369">
        <v>1</v>
      </c>
      <c r="BI1369">
        <v>5</v>
      </c>
      <c r="BJ1369">
        <v>2.2000000000000002</v>
      </c>
      <c r="BK1369">
        <v>5</v>
      </c>
      <c r="BL1369">
        <v>179.12</v>
      </c>
      <c r="BM1369">
        <v>26.87</v>
      </c>
      <c r="BN1369">
        <v>205.99</v>
      </c>
      <c r="BO1369">
        <v>205.99</v>
      </c>
      <c r="BQ1369" t="s">
        <v>599</v>
      </c>
      <c r="BR1369" t="s">
        <v>84</v>
      </c>
      <c r="BS1369" s="3">
        <v>45881</v>
      </c>
      <c r="BT1369" s="4">
        <v>0.3611111111111111</v>
      </c>
      <c r="BU1369" t="s">
        <v>600</v>
      </c>
      <c r="BV1369" t="s">
        <v>86</v>
      </c>
      <c r="BY1369">
        <v>10830</v>
      </c>
      <c r="CA1369" t="s">
        <v>601</v>
      </c>
      <c r="CC1369" t="s">
        <v>199</v>
      </c>
      <c r="CD1369">
        <v>6001</v>
      </c>
      <c r="CE1369" t="s">
        <v>147</v>
      </c>
      <c r="CF1369" s="3">
        <v>45881</v>
      </c>
      <c r="CI1369">
        <v>1</v>
      </c>
      <c r="CJ1369">
        <v>1</v>
      </c>
      <c r="CK1369">
        <v>21</v>
      </c>
      <c r="CL1369" t="s">
        <v>90</v>
      </c>
    </row>
    <row r="1370" spans="1:90" x14ac:dyDescent="0.3">
      <c r="A1370" t="s">
        <v>72</v>
      </c>
      <c r="B1370" t="s">
        <v>73</v>
      </c>
      <c r="C1370" t="s">
        <v>74</v>
      </c>
      <c r="E1370" t="str">
        <f>"080067155689"</f>
        <v>080067155689</v>
      </c>
      <c r="F1370" s="3">
        <v>45880</v>
      </c>
      <c r="G1370">
        <v>202605</v>
      </c>
      <c r="H1370" t="s">
        <v>75</v>
      </c>
      <c r="I1370" t="s">
        <v>76</v>
      </c>
      <c r="J1370" t="s">
        <v>77</v>
      </c>
      <c r="K1370" t="s">
        <v>78</v>
      </c>
      <c r="L1370" t="s">
        <v>137</v>
      </c>
      <c r="M1370" t="s">
        <v>138</v>
      </c>
      <c r="N1370" t="s">
        <v>139</v>
      </c>
      <c r="O1370" t="s">
        <v>82</v>
      </c>
      <c r="P1370" t="str">
        <f>"4170054095                    "</f>
        <v xml:space="preserve">4170054095                    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>
        <v>23.09</v>
      </c>
      <c r="AR1370">
        <v>0</v>
      </c>
      <c r="AS1370">
        <v>0</v>
      </c>
      <c r="AT1370">
        <v>0</v>
      </c>
      <c r="AU1370">
        <v>0</v>
      </c>
      <c r="AV1370">
        <v>0</v>
      </c>
      <c r="AW1370">
        <v>0</v>
      </c>
      <c r="AX1370">
        <v>0</v>
      </c>
      <c r="AY1370">
        <v>0</v>
      </c>
      <c r="AZ1370">
        <v>0</v>
      </c>
      <c r="BA1370">
        <v>0</v>
      </c>
      <c r="BB1370">
        <v>0</v>
      </c>
      <c r="BC1370">
        <v>0</v>
      </c>
      <c r="BD1370">
        <v>0</v>
      </c>
      <c r="BE1370">
        <v>0</v>
      </c>
      <c r="BF1370">
        <v>0</v>
      </c>
      <c r="BG1370">
        <v>0</v>
      </c>
      <c r="BH1370">
        <v>1</v>
      </c>
      <c r="BI1370">
        <v>1</v>
      </c>
      <c r="BJ1370">
        <v>0.2</v>
      </c>
      <c r="BK1370">
        <v>1</v>
      </c>
      <c r="BL1370">
        <v>71.69</v>
      </c>
      <c r="BM1370">
        <v>10.75</v>
      </c>
      <c r="BN1370">
        <v>82.44</v>
      </c>
      <c r="BO1370">
        <v>82.44</v>
      </c>
      <c r="BQ1370" t="s">
        <v>2096</v>
      </c>
      <c r="BR1370" t="s">
        <v>84</v>
      </c>
      <c r="BS1370" s="3">
        <v>45881</v>
      </c>
      <c r="BT1370" s="4">
        <v>0.56458333333333333</v>
      </c>
      <c r="BU1370" t="s">
        <v>2097</v>
      </c>
      <c r="BV1370" t="s">
        <v>90</v>
      </c>
      <c r="BW1370" t="s">
        <v>134</v>
      </c>
      <c r="BX1370" t="s">
        <v>641</v>
      </c>
      <c r="BY1370">
        <v>1200</v>
      </c>
      <c r="CA1370" t="s">
        <v>953</v>
      </c>
      <c r="CC1370" t="s">
        <v>138</v>
      </c>
      <c r="CD1370">
        <v>3620</v>
      </c>
      <c r="CE1370" t="s">
        <v>109</v>
      </c>
      <c r="CF1370" s="3">
        <v>45882</v>
      </c>
      <c r="CI1370">
        <v>1</v>
      </c>
      <c r="CJ1370">
        <v>1</v>
      </c>
      <c r="CK1370">
        <v>21</v>
      </c>
      <c r="CL1370" t="s">
        <v>90</v>
      </c>
    </row>
    <row r="1371" spans="1:90" x14ac:dyDescent="0.3">
      <c r="A1371" t="s">
        <v>72</v>
      </c>
      <c r="B1371" t="s">
        <v>73</v>
      </c>
      <c r="C1371" t="s">
        <v>74</v>
      </c>
      <c r="E1371" t="str">
        <f>"080067155714"</f>
        <v>080067155714</v>
      </c>
      <c r="F1371" s="3">
        <v>45880</v>
      </c>
      <c r="G1371">
        <v>202605</v>
      </c>
      <c r="H1371" t="s">
        <v>75</v>
      </c>
      <c r="I1371" t="s">
        <v>76</v>
      </c>
      <c r="J1371" t="s">
        <v>77</v>
      </c>
      <c r="K1371" t="s">
        <v>78</v>
      </c>
      <c r="L1371" t="s">
        <v>452</v>
      </c>
      <c r="M1371" t="s">
        <v>453</v>
      </c>
      <c r="N1371" t="s">
        <v>454</v>
      </c>
      <c r="O1371" t="s">
        <v>82</v>
      </c>
      <c r="P1371" t="str">
        <f>"4170054055                    "</f>
        <v xml:space="preserve">4170054055                    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Q1371">
        <v>44.73</v>
      </c>
      <c r="AR1371">
        <v>0</v>
      </c>
      <c r="AS1371">
        <v>0</v>
      </c>
      <c r="AT1371">
        <v>0</v>
      </c>
      <c r="AU1371">
        <v>0</v>
      </c>
      <c r="AV1371">
        <v>0</v>
      </c>
      <c r="AW1371">
        <v>0</v>
      </c>
      <c r="AX1371">
        <v>0</v>
      </c>
      <c r="AY1371">
        <v>0</v>
      </c>
      <c r="AZ1371">
        <v>0</v>
      </c>
      <c r="BA1371">
        <v>0</v>
      </c>
      <c r="BB1371">
        <v>0</v>
      </c>
      <c r="BC1371">
        <v>0</v>
      </c>
      <c r="BD1371">
        <v>0</v>
      </c>
      <c r="BE1371">
        <v>0</v>
      </c>
      <c r="BF1371">
        <v>0</v>
      </c>
      <c r="BG1371">
        <v>0</v>
      </c>
      <c r="BH1371">
        <v>1</v>
      </c>
      <c r="BI1371">
        <v>1</v>
      </c>
      <c r="BJ1371">
        <v>0.2</v>
      </c>
      <c r="BK1371">
        <v>1</v>
      </c>
      <c r="BL1371">
        <v>138.88999999999999</v>
      </c>
      <c r="BM1371">
        <v>20.83</v>
      </c>
      <c r="BN1371">
        <v>159.72</v>
      </c>
      <c r="BO1371">
        <v>159.72</v>
      </c>
      <c r="BQ1371" t="s">
        <v>455</v>
      </c>
      <c r="BR1371" t="s">
        <v>84</v>
      </c>
      <c r="BS1371" s="3">
        <v>45881</v>
      </c>
      <c r="BT1371" s="4">
        <v>0.3527777777777778</v>
      </c>
      <c r="BU1371" t="s">
        <v>483</v>
      </c>
      <c r="BV1371" t="s">
        <v>86</v>
      </c>
      <c r="BY1371">
        <v>1200</v>
      </c>
      <c r="CA1371" t="s">
        <v>1093</v>
      </c>
      <c r="CC1371" t="s">
        <v>453</v>
      </c>
      <c r="CD1371">
        <v>1947</v>
      </c>
      <c r="CE1371" t="s">
        <v>109</v>
      </c>
      <c r="CF1371" s="3">
        <v>45882</v>
      </c>
      <c r="CI1371">
        <v>1</v>
      </c>
      <c r="CJ1371">
        <v>1</v>
      </c>
      <c r="CK1371">
        <v>23</v>
      </c>
      <c r="CL1371" t="s">
        <v>90</v>
      </c>
    </row>
    <row r="1372" spans="1:90" x14ac:dyDescent="0.3">
      <c r="A1372" t="s">
        <v>72</v>
      </c>
      <c r="B1372" t="s">
        <v>73</v>
      </c>
      <c r="C1372" t="s">
        <v>74</v>
      </c>
      <c r="E1372" t="str">
        <f>"080067155736"</f>
        <v>080067155736</v>
      </c>
      <c r="F1372" s="3">
        <v>45880</v>
      </c>
      <c r="G1372">
        <v>202605</v>
      </c>
      <c r="H1372" t="s">
        <v>75</v>
      </c>
      <c r="I1372" t="s">
        <v>76</v>
      </c>
      <c r="J1372" t="s">
        <v>77</v>
      </c>
      <c r="K1372" t="s">
        <v>78</v>
      </c>
      <c r="L1372" t="s">
        <v>1316</v>
      </c>
      <c r="M1372" t="s">
        <v>1317</v>
      </c>
      <c r="N1372" t="s">
        <v>1318</v>
      </c>
      <c r="O1372" t="s">
        <v>82</v>
      </c>
      <c r="P1372" t="str">
        <f>"4170054093                    "</f>
        <v xml:space="preserve">4170054093                    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Q1372">
        <v>23.09</v>
      </c>
      <c r="AR1372">
        <v>0</v>
      </c>
      <c r="AS1372">
        <v>0</v>
      </c>
      <c r="AT1372">
        <v>0</v>
      </c>
      <c r="AU1372">
        <v>0</v>
      </c>
      <c r="AV1372">
        <v>0</v>
      </c>
      <c r="AW1372">
        <v>0</v>
      </c>
      <c r="AX1372">
        <v>0</v>
      </c>
      <c r="AY1372">
        <v>0</v>
      </c>
      <c r="AZ1372">
        <v>0</v>
      </c>
      <c r="BA1372">
        <v>0</v>
      </c>
      <c r="BB1372">
        <v>0</v>
      </c>
      <c r="BC1372">
        <v>0</v>
      </c>
      <c r="BD1372">
        <v>0</v>
      </c>
      <c r="BE1372">
        <v>0</v>
      </c>
      <c r="BF1372">
        <v>0</v>
      </c>
      <c r="BG1372">
        <v>0</v>
      </c>
      <c r="BH1372">
        <v>1</v>
      </c>
      <c r="BI1372">
        <v>1</v>
      </c>
      <c r="BJ1372">
        <v>0.2</v>
      </c>
      <c r="BK1372">
        <v>1</v>
      </c>
      <c r="BL1372">
        <v>71.69</v>
      </c>
      <c r="BM1372">
        <v>10.75</v>
      </c>
      <c r="BN1372">
        <v>82.44</v>
      </c>
      <c r="BO1372">
        <v>82.44</v>
      </c>
      <c r="BQ1372" t="s">
        <v>1319</v>
      </c>
      <c r="BR1372" t="s">
        <v>84</v>
      </c>
      <c r="BS1372" s="3">
        <v>45881</v>
      </c>
      <c r="BT1372" s="4">
        <v>0.72499999999999998</v>
      </c>
      <c r="BU1372" t="s">
        <v>1646</v>
      </c>
      <c r="BV1372" t="s">
        <v>90</v>
      </c>
      <c r="BW1372" t="s">
        <v>134</v>
      </c>
      <c r="BX1372" t="s">
        <v>135</v>
      </c>
      <c r="BY1372">
        <v>1200</v>
      </c>
      <c r="BZ1372" t="s">
        <v>330</v>
      </c>
      <c r="CA1372" t="s">
        <v>136</v>
      </c>
      <c r="CC1372" t="s">
        <v>1317</v>
      </c>
      <c r="CD1372">
        <v>4026</v>
      </c>
      <c r="CE1372" t="s">
        <v>597</v>
      </c>
      <c r="CF1372" s="3">
        <v>45882</v>
      </c>
      <c r="CI1372">
        <v>1</v>
      </c>
      <c r="CJ1372">
        <v>1</v>
      </c>
      <c r="CK1372">
        <v>21</v>
      </c>
      <c r="CL1372" t="s">
        <v>90</v>
      </c>
    </row>
    <row r="1373" spans="1:90" x14ac:dyDescent="0.3">
      <c r="A1373" t="s">
        <v>72</v>
      </c>
      <c r="B1373" t="s">
        <v>73</v>
      </c>
      <c r="C1373" t="s">
        <v>74</v>
      </c>
      <c r="E1373" t="str">
        <f>"080067155758"</f>
        <v>080067155758</v>
      </c>
      <c r="F1373" s="3">
        <v>45880</v>
      </c>
      <c r="G1373">
        <v>202605</v>
      </c>
      <c r="H1373" t="s">
        <v>75</v>
      </c>
      <c r="I1373" t="s">
        <v>76</v>
      </c>
      <c r="J1373" t="s">
        <v>77</v>
      </c>
      <c r="K1373" t="s">
        <v>78</v>
      </c>
      <c r="L1373" t="s">
        <v>606</v>
      </c>
      <c r="M1373" t="s">
        <v>607</v>
      </c>
      <c r="N1373" t="s">
        <v>608</v>
      </c>
      <c r="O1373" t="s">
        <v>82</v>
      </c>
      <c r="P1373" t="str">
        <f>"4170053999                    "</f>
        <v xml:space="preserve">4170053999                    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44.73</v>
      </c>
      <c r="AR1373">
        <v>0</v>
      </c>
      <c r="AS1373">
        <v>0</v>
      </c>
      <c r="AT1373">
        <v>0</v>
      </c>
      <c r="AU1373">
        <v>0</v>
      </c>
      <c r="AV1373">
        <v>0</v>
      </c>
      <c r="AW1373">
        <v>0</v>
      </c>
      <c r="AX1373">
        <v>0</v>
      </c>
      <c r="AY1373">
        <v>0</v>
      </c>
      <c r="AZ1373">
        <v>0</v>
      </c>
      <c r="BA1373">
        <v>0</v>
      </c>
      <c r="BB1373">
        <v>0</v>
      </c>
      <c r="BC1373">
        <v>0</v>
      </c>
      <c r="BD1373">
        <v>0</v>
      </c>
      <c r="BE1373">
        <v>0</v>
      </c>
      <c r="BF1373">
        <v>0</v>
      </c>
      <c r="BG1373">
        <v>0</v>
      </c>
      <c r="BH1373">
        <v>1</v>
      </c>
      <c r="BI1373">
        <v>1</v>
      </c>
      <c r="BJ1373">
        <v>1.1000000000000001</v>
      </c>
      <c r="BK1373">
        <v>1.5</v>
      </c>
      <c r="BL1373">
        <v>138.88999999999999</v>
      </c>
      <c r="BM1373">
        <v>20.83</v>
      </c>
      <c r="BN1373">
        <v>159.72</v>
      </c>
      <c r="BO1373">
        <v>159.72</v>
      </c>
      <c r="BQ1373" t="s">
        <v>609</v>
      </c>
      <c r="BR1373" t="s">
        <v>84</v>
      </c>
      <c r="BS1373" s="3">
        <v>45881</v>
      </c>
      <c r="BT1373" s="4">
        <v>0.68472222222222223</v>
      </c>
      <c r="BU1373" t="s">
        <v>610</v>
      </c>
      <c r="BV1373" t="s">
        <v>86</v>
      </c>
      <c r="BY1373">
        <v>5320</v>
      </c>
      <c r="CA1373" t="s">
        <v>611</v>
      </c>
      <c r="CC1373" t="s">
        <v>607</v>
      </c>
      <c r="CD1373">
        <v>1390</v>
      </c>
      <c r="CE1373" t="s">
        <v>147</v>
      </c>
      <c r="CF1373" s="3">
        <v>45881</v>
      </c>
      <c r="CI1373">
        <v>1</v>
      </c>
      <c r="CJ1373">
        <v>1</v>
      </c>
      <c r="CK1373">
        <v>23</v>
      </c>
      <c r="CL1373" t="s">
        <v>90</v>
      </c>
    </row>
    <row r="1374" spans="1:90" x14ac:dyDescent="0.3">
      <c r="A1374" t="s">
        <v>72</v>
      </c>
      <c r="B1374" t="s">
        <v>73</v>
      </c>
      <c r="C1374" t="s">
        <v>74</v>
      </c>
      <c r="E1374" t="str">
        <f>"080067155766"</f>
        <v>080067155766</v>
      </c>
      <c r="F1374" s="3">
        <v>45880</v>
      </c>
      <c r="G1374">
        <v>202605</v>
      </c>
      <c r="H1374" t="s">
        <v>75</v>
      </c>
      <c r="I1374" t="s">
        <v>76</v>
      </c>
      <c r="J1374" t="s">
        <v>77</v>
      </c>
      <c r="K1374" t="s">
        <v>78</v>
      </c>
      <c r="L1374" t="s">
        <v>123</v>
      </c>
      <c r="M1374" t="s">
        <v>124</v>
      </c>
      <c r="N1374" t="s">
        <v>168</v>
      </c>
      <c r="O1374" t="s">
        <v>82</v>
      </c>
      <c r="P1374" t="str">
        <f>"4170053933                    "</f>
        <v xml:space="preserve">4170053933                    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Q1374">
        <v>23.09</v>
      </c>
      <c r="AR1374">
        <v>0</v>
      </c>
      <c r="AS1374">
        <v>0</v>
      </c>
      <c r="AT1374">
        <v>0</v>
      </c>
      <c r="AU1374">
        <v>0</v>
      </c>
      <c r="AV1374">
        <v>0</v>
      </c>
      <c r="AW1374">
        <v>0</v>
      </c>
      <c r="AX1374">
        <v>0</v>
      </c>
      <c r="AY1374">
        <v>0</v>
      </c>
      <c r="AZ1374">
        <v>0</v>
      </c>
      <c r="BA1374">
        <v>0</v>
      </c>
      <c r="BB1374">
        <v>0</v>
      </c>
      <c r="BC1374">
        <v>0</v>
      </c>
      <c r="BD1374">
        <v>0</v>
      </c>
      <c r="BE1374">
        <v>0</v>
      </c>
      <c r="BF1374">
        <v>0</v>
      </c>
      <c r="BG1374">
        <v>0</v>
      </c>
      <c r="BH1374">
        <v>1</v>
      </c>
      <c r="BI1374">
        <v>1</v>
      </c>
      <c r="BJ1374">
        <v>0.2</v>
      </c>
      <c r="BK1374">
        <v>1</v>
      </c>
      <c r="BL1374">
        <v>71.69</v>
      </c>
      <c r="BM1374">
        <v>10.75</v>
      </c>
      <c r="BN1374">
        <v>82.44</v>
      </c>
      <c r="BO1374">
        <v>82.44</v>
      </c>
      <c r="BQ1374" t="s">
        <v>169</v>
      </c>
      <c r="BR1374" t="s">
        <v>84</v>
      </c>
      <c r="BS1374" s="3">
        <v>45881</v>
      </c>
      <c r="BT1374" s="4">
        <v>0.4284722222222222</v>
      </c>
      <c r="BU1374" t="s">
        <v>679</v>
      </c>
      <c r="BV1374" t="s">
        <v>86</v>
      </c>
      <c r="BY1374">
        <v>1200</v>
      </c>
      <c r="CA1374" t="s">
        <v>171</v>
      </c>
      <c r="CC1374" t="s">
        <v>124</v>
      </c>
      <c r="CD1374">
        <v>7535</v>
      </c>
      <c r="CE1374" t="s">
        <v>109</v>
      </c>
      <c r="CF1374" s="3">
        <v>45882</v>
      </c>
      <c r="CI1374">
        <v>1</v>
      </c>
      <c r="CJ1374">
        <v>1</v>
      </c>
      <c r="CK1374">
        <v>21</v>
      </c>
      <c r="CL1374" t="s">
        <v>90</v>
      </c>
    </row>
    <row r="1375" spans="1:90" x14ac:dyDescent="0.3">
      <c r="A1375" t="s">
        <v>72</v>
      </c>
      <c r="B1375" t="s">
        <v>73</v>
      </c>
      <c r="C1375" t="s">
        <v>74</v>
      </c>
      <c r="E1375" t="str">
        <f>"080067155787"</f>
        <v>080067155787</v>
      </c>
      <c r="F1375" s="3">
        <v>45880</v>
      </c>
      <c r="G1375">
        <v>202605</v>
      </c>
      <c r="H1375" t="s">
        <v>75</v>
      </c>
      <c r="I1375" t="s">
        <v>76</v>
      </c>
      <c r="J1375" t="s">
        <v>77</v>
      </c>
      <c r="K1375" t="s">
        <v>78</v>
      </c>
      <c r="L1375" t="s">
        <v>123</v>
      </c>
      <c r="M1375" t="s">
        <v>124</v>
      </c>
      <c r="N1375" t="s">
        <v>406</v>
      </c>
      <c r="O1375" t="s">
        <v>82</v>
      </c>
      <c r="P1375" t="str">
        <f>"4170054084                    "</f>
        <v xml:space="preserve">4170054084                    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Q1375">
        <v>23.09</v>
      </c>
      <c r="AR1375">
        <v>0</v>
      </c>
      <c r="AS1375">
        <v>0</v>
      </c>
      <c r="AT1375">
        <v>0</v>
      </c>
      <c r="AU1375">
        <v>0</v>
      </c>
      <c r="AV1375">
        <v>0</v>
      </c>
      <c r="AW1375">
        <v>0</v>
      </c>
      <c r="AX1375">
        <v>0</v>
      </c>
      <c r="AY1375">
        <v>0</v>
      </c>
      <c r="AZ1375">
        <v>0</v>
      </c>
      <c r="BA1375">
        <v>0</v>
      </c>
      <c r="BB1375">
        <v>0</v>
      </c>
      <c r="BC1375">
        <v>0</v>
      </c>
      <c r="BD1375">
        <v>0</v>
      </c>
      <c r="BE1375">
        <v>0</v>
      </c>
      <c r="BF1375">
        <v>0</v>
      </c>
      <c r="BG1375">
        <v>0</v>
      </c>
      <c r="BH1375">
        <v>1</v>
      </c>
      <c r="BI1375">
        <v>1</v>
      </c>
      <c r="BJ1375">
        <v>0.2</v>
      </c>
      <c r="BK1375">
        <v>1</v>
      </c>
      <c r="BL1375">
        <v>71.69</v>
      </c>
      <c r="BM1375">
        <v>10.75</v>
      </c>
      <c r="BN1375">
        <v>82.44</v>
      </c>
      <c r="BO1375">
        <v>82.44</v>
      </c>
      <c r="BQ1375" t="s">
        <v>407</v>
      </c>
      <c r="BR1375" t="s">
        <v>84</v>
      </c>
      <c r="BS1375" s="3">
        <v>45881</v>
      </c>
      <c r="BT1375" s="4">
        <v>0.40972222222222221</v>
      </c>
      <c r="BU1375" t="s">
        <v>408</v>
      </c>
      <c r="BV1375" t="s">
        <v>86</v>
      </c>
      <c r="BY1375">
        <v>1200</v>
      </c>
      <c r="CA1375" t="s">
        <v>192</v>
      </c>
      <c r="CC1375" t="s">
        <v>124</v>
      </c>
      <c r="CD1375">
        <v>7441</v>
      </c>
      <c r="CE1375" t="s">
        <v>109</v>
      </c>
      <c r="CF1375" s="3">
        <v>45882</v>
      </c>
      <c r="CI1375">
        <v>1</v>
      </c>
      <c r="CJ1375">
        <v>1</v>
      </c>
      <c r="CK1375">
        <v>21</v>
      </c>
      <c r="CL1375" t="s">
        <v>90</v>
      </c>
    </row>
    <row r="1376" spans="1:90" x14ac:dyDescent="0.3">
      <c r="A1376" t="s">
        <v>72</v>
      </c>
      <c r="B1376" t="s">
        <v>73</v>
      </c>
      <c r="C1376" t="s">
        <v>74</v>
      </c>
      <c r="E1376" t="str">
        <f>"080067155803"</f>
        <v>080067155803</v>
      </c>
      <c r="F1376" s="3">
        <v>45880</v>
      </c>
      <c r="G1376">
        <v>202605</v>
      </c>
      <c r="H1376" t="s">
        <v>75</v>
      </c>
      <c r="I1376" t="s">
        <v>76</v>
      </c>
      <c r="J1376" t="s">
        <v>77</v>
      </c>
      <c r="K1376" t="s">
        <v>78</v>
      </c>
      <c r="L1376" t="s">
        <v>513</v>
      </c>
      <c r="M1376" t="s">
        <v>514</v>
      </c>
      <c r="N1376" t="s">
        <v>1017</v>
      </c>
      <c r="O1376" t="s">
        <v>82</v>
      </c>
      <c r="P1376" t="str">
        <f>"4170054050                    "</f>
        <v xml:space="preserve">4170054050                    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Q1376">
        <v>64.92</v>
      </c>
      <c r="AR1376">
        <v>0</v>
      </c>
      <c r="AS1376">
        <v>0</v>
      </c>
      <c r="AT1376">
        <v>0</v>
      </c>
      <c r="AU1376">
        <v>0</v>
      </c>
      <c r="AV1376">
        <v>0</v>
      </c>
      <c r="AW1376">
        <v>0</v>
      </c>
      <c r="AX1376">
        <v>0</v>
      </c>
      <c r="AY1376">
        <v>0</v>
      </c>
      <c r="AZ1376">
        <v>0</v>
      </c>
      <c r="BA1376">
        <v>0</v>
      </c>
      <c r="BB1376">
        <v>0</v>
      </c>
      <c r="BC1376">
        <v>0</v>
      </c>
      <c r="BD1376">
        <v>0</v>
      </c>
      <c r="BE1376">
        <v>0</v>
      </c>
      <c r="BF1376">
        <v>0</v>
      </c>
      <c r="BG1376">
        <v>0</v>
      </c>
      <c r="BH1376">
        <v>1</v>
      </c>
      <c r="BI1376">
        <v>3</v>
      </c>
      <c r="BJ1376">
        <v>1.7</v>
      </c>
      <c r="BK1376">
        <v>3</v>
      </c>
      <c r="BL1376">
        <v>201.6</v>
      </c>
      <c r="BM1376">
        <v>30.24</v>
      </c>
      <c r="BN1376">
        <v>231.84</v>
      </c>
      <c r="BO1376">
        <v>231.84</v>
      </c>
      <c r="BQ1376" t="s">
        <v>1018</v>
      </c>
      <c r="BR1376" t="s">
        <v>84</v>
      </c>
      <c r="BS1376" s="3">
        <v>45881</v>
      </c>
      <c r="BT1376" s="4">
        <v>0.43611111111111112</v>
      </c>
      <c r="BU1376" t="s">
        <v>2098</v>
      </c>
      <c r="BV1376" t="s">
        <v>86</v>
      </c>
      <c r="BY1376">
        <v>8512</v>
      </c>
      <c r="CA1376" t="s">
        <v>518</v>
      </c>
      <c r="CC1376" t="s">
        <v>514</v>
      </c>
      <c r="CD1376" s="5" t="s">
        <v>519</v>
      </c>
      <c r="CE1376" t="s">
        <v>147</v>
      </c>
      <c r="CF1376" s="3">
        <v>45882</v>
      </c>
      <c r="CI1376">
        <v>1</v>
      </c>
      <c r="CJ1376">
        <v>1</v>
      </c>
      <c r="CK1376">
        <v>23</v>
      </c>
      <c r="CL1376" t="s">
        <v>90</v>
      </c>
    </row>
    <row r="1377" spans="1:90" x14ac:dyDescent="0.3">
      <c r="A1377" t="s">
        <v>72</v>
      </c>
      <c r="B1377" t="s">
        <v>73</v>
      </c>
      <c r="C1377" t="s">
        <v>74</v>
      </c>
      <c r="E1377" t="str">
        <f>"080067155828"</f>
        <v>080067155828</v>
      </c>
      <c r="F1377" s="3">
        <v>45880</v>
      </c>
      <c r="G1377">
        <v>202605</v>
      </c>
      <c r="H1377" t="s">
        <v>75</v>
      </c>
      <c r="I1377" t="s">
        <v>76</v>
      </c>
      <c r="J1377" t="s">
        <v>77</v>
      </c>
      <c r="K1377" t="s">
        <v>78</v>
      </c>
      <c r="L1377" t="s">
        <v>137</v>
      </c>
      <c r="M1377" t="s">
        <v>138</v>
      </c>
      <c r="N1377" t="s">
        <v>1239</v>
      </c>
      <c r="O1377" t="s">
        <v>82</v>
      </c>
      <c r="P1377" t="str">
        <f>"4170054115                    "</f>
        <v xml:space="preserve">4170054115                    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Q1377">
        <v>23.09</v>
      </c>
      <c r="AR1377">
        <v>0</v>
      </c>
      <c r="AS1377">
        <v>0</v>
      </c>
      <c r="AT1377">
        <v>0</v>
      </c>
      <c r="AU1377">
        <v>0</v>
      </c>
      <c r="AV1377">
        <v>0</v>
      </c>
      <c r="AW1377">
        <v>0</v>
      </c>
      <c r="AX1377">
        <v>0</v>
      </c>
      <c r="AY1377">
        <v>0</v>
      </c>
      <c r="AZ1377">
        <v>0</v>
      </c>
      <c r="BA1377">
        <v>0</v>
      </c>
      <c r="BB1377">
        <v>0</v>
      </c>
      <c r="BC1377">
        <v>0</v>
      </c>
      <c r="BD1377">
        <v>0</v>
      </c>
      <c r="BE1377">
        <v>0</v>
      </c>
      <c r="BF1377">
        <v>0</v>
      </c>
      <c r="BG1377">
        <v>0</v>
      </c>
      <c r="BH1377">
        <v>1</v>
      </c>
      <c r="BI1377">
        <v>1</v>
      </c>
      <c r="BJ1377">
        <v>0.2</v>
      </c>
      <c r="BK1377">
        <v>1</v>
      </c>
      <c r="BL1377">
        <v>71.69</v>
      </c>
      <c r="BM1377">
        <v>10.75</v>
      </c>
      <c r="BN1377">
        <v>82.44</v>
      </c>
      <c r="BO1377">
        <v>82.44</v>
      </c>
      <c r="BQ1377" t="s">
        <v>1240</v>
      </c>
      <c r="BR1377" t="s">
        <v>84</v>
      </c>
      <c r="BS1377" s="3">
        <v>45881</v>
      </c>
      <c r="BT1377" s="4">
        <v>0.51388888888888884</v>
      </c>
      <c r="BU1377" t="s">
        <v>1241</v>
      </c>
      <c r="BV1377" t="s">
        <v>86</v>
      </c>
      <c r="BY1377">
        <v>1200</v>
      </c>
      <c r="CA1377" t="s">
        <v>953</v>
      </c>
      <c r="CC1377" t="s">
        <v>138</v>
      </c>
      <c r="CD1377">
        <v>3610</v>
      </c>
      <c r="CE1377" t="s">
        <v>109</v>
      </c>
      <c r="CF1377" s="3">
        <v>45882</v>
      </c>
      <c r="CI1377">
        <v>1</v>
      </c>
      <c r="CJ1377">
        <v>1</v>
      </c>
      <c r="CK1377">
        <v>21</v>
      </c>
      <c r="CL1377" t="s">
        <v>90</v>
      </c>
    </row>
    <row r="1378" spans="1:90" x14ac:dyDescent="0.3">
      <c r="A1378" t="s">
        <v>72</v>
      </c>
      <c r="B1378" t="s">
        <v>73</v>
      </c>
      <c r="C1378" t="s">
        <v>74</v>
      </c>
      <c r="E1378" t="str">
        <f>"080067155837"</f>
        <v>080067155837</v>
      </c>
      <c r="F1378" s="3">
        <v>45880</v>
      </c>
      <c r="G1378">
        <v>202605</v>
      </c>
      <c r="H1378" t="s">
        <v>75</v>
      </c>
      <c r="I1378" t="s">
        <v>76</v>
      </c>
      <c r="J1378" t="s">
        <v>77</v>
      </c>
      <c r="K1378" t="s">
        <v>78</v>
      </c>
      <c r="L1378" t="s">
        <v>1581</v>
      </c>
      <c r="M1378" t="s">
        <v>1582</v>
      </c>
      <c r="N1378" t="s">
        <v>2099</v>
      </c>
      <c r="O1378" t="s">
        <v>95</v>
      </c>
      <c r="P1378" t="str">
        <f>"4170054092                    "</f>
        <v xml:space="preserve">4170054092                    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Q1378">
        <v>62.96</v>
      </c>
      <c r="AR1378">
        <v>0</v>
      </c>
      <c r="AS1378">
        <v>0</v>
      </c>
      <c r="AT1378">
        <v>0</v>
      </c>
      <c r="AU1378">
        <v>0</v>
      </c>
      <c r="AV1378">
        <v>0</v>
      </c>
      <c r="AW1378">
        <v>0</v>
      </c>
      <c r="AX1378">
        <v>0</v>
      </c>
      <c r="AY1378">
        <v>0</v>
      </c>
      <c r="AZ1378">
        <v>0</v>
      </c>
      <c r="BA1378">
        <v>0</v>
      </c>
      <c r="BB1378">
        <v>0</v>
      </c>
      <c r="BC1378">
        <v>0</v>
      </c>
      <c r="BD1378">
        <v>0</v>
      </c>
      <c r="BE1378">
        <v>0</v>
      </c>
      <c r="BF1378">
        <v>0</v>
      </c>
      <c r="BG1378">
        <v>0</v>
      </c>
      <c r="BH1378">
        <v>1</v>
      </c>
      <c r="BI1378">
        <v>4</v>
      </c>
      <c r="BJ1378">
        <v>3.4</v>
      </c>
      <c r="BK1378">
        <v>4</v>
      </c>
      <c r="BL1378">
        <v>201.38</v>
      </c>
      <c r="BM1378">
        <v>30.21</v>
      </c>
      <c r="BN1378">
        <v>231.59</v>
      </c>
      <c r="BO1378">
        <v>231.59</v>
      </c>
      <c r="BQ1378" t="s">
        <v>2100</v>
      </c>
      <c r="BR1378" t="s">
        <v>84</v>
      </c>
      <c r="BS1378" s="3">
        <v>45881</v>
      </c>
      <c r="BT1378" s="4">
        <v>0.56041666666666667</v>
      </c>
      <c r="BU1378" t="s">
        <v>2101</v>
      </c>
      <c r="BV1378" t="s">
        <v>86</v>
      </c>
      <c r="BY1378">
        <v>16965</v>
      </c>
      <c r="CA1378" t="s">
        <v>2102</v>
      </c>
      <c r="CC1378" t="s">
        <v>1582</v>
      </c>
      <c r="CD1378">
        <v>1020</v>
      </c>
      <c r="CE1378" t="s">
        <v>147</v>
      </c>
      <c r="CF1378" s="3">
        <v>45881</v>
      </c>
      <c r="CI1378">
        <v>1</v>
      </c>
      <c r="CJ1378">
        <v>1</v>
      </c>
      <c r="CK1378">
        <v>43</v>
      </c>
      <c r="CL1378" t="s">
        <v>90</v>
      </c>
    </row>
    <row r="1379" spans="1:90" x14ac:dyDescent="0.3">
      <c r="A1379" t="s">
        <v>72</v>
      </c>
      <c r="B1379" t="s">
        <v>73</v>
      </c>
      <c r="C1379" t="s">
        <v>74</v>
      </c>
      <c r="E1379" t="str">
        <f>"080067155993"</f>
        <v>080067155993</v>
      </c>
      <c r="F1379" s="3">
        <v>45880</v>
      </c>
      <c r="G1379">
        <v>202605</v>
      </c>
      <c r="H1379" t="s">
        <v>75</v>
      </c>
      <c r="I1379" t="s">
        <v>76</v>
      </c>
      <c r="J1379" t="s">
        <v>77</v>
      </c>
      <c r="K1379" t="s">
        <v>78</v>
      </c>
      <c r="L1379" t="s">
        <v>217</v>
      </c>
      <c r="M1379" t="s">
        <v>218</v>
      </c>
      <c r="N1379" t="s">
        <v>219</v>
      </c>
      <c r="O1379" t="s">
        <v>82</v>
      </c>
      <c r="P1379" t="str">
        <f>"4170054114                    "</f>
        <v xml:space="preserve">4170054114                    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23.09</v>
      </c>
      <c r="AR1379">
        <v>0</v>
      </c>
      <c r="AS1379">
        <v>0</v>
      </c>
      <c r="AT1379">
        <v>0</v>
      </c>
      <c r="AU1379">
        <v>0</v>
      </c>
      <c r="AV1379">
        <v>0</v>
      </c>
      <c r="AW1379">
        <v>0</v>
      </c>
      <c r="AX1379">
        <v>0</v>
      </c>
      <c r="AY1379">
        <v>0</v>
      </c>
      <c r="AZ1379">
        <v>0</v>
      </c>
      <c r="BA1379">
        <v>0</v>
      </c>
      <c r="BB1379">
        <v>0</v>
      </c>
      <c r="BC1379">
        <v>0</v>
      </c>
      <c r="BD1379">
        <v>0</v>
      </c>
      <c r="BE1379">
        <v>0</v>
      </c>
      <c r="BF1379">
        <v>0</v>
      </c>
      <c r="BG1379">
        <v>0</v>
      </c>
      <c r="BH1379">
        <v>1</v>
      </c>
      <c r="BI1379">
        <v>2</v>
      </c>
      <c r="BJ1379">
        <v>1.5</v>
      </c>
      <c r="BK1379">
        <v>2</v>
      </c>
      <c r="BL1379">
        <v>71.69</v>
      </c>
      <c r="BM1379">
        <v>10.75</v>
      </c>
      <c r="BN1379">
        <v>82.44</v>
      </c>
      <c r="BO1379">
        <v>82.44</v>
      </c>
      <c r="BQ1379" t="s">
        <v>220</v>
      </c>
      <c r="BR1379" t="s">
        <v>84</v>
      </c>
      <c r="BS1379" s="3">
        <v>45881</v>
      </c>
      <c r="BT1379" s="4">
        <v>0.34375</v>
      </c>
      <c r="BU1379" t="s">
        <v>221</v>
      </c>
      <c r="BV1379" t="s">
        <v>86</v>
      </c>
      <c r="BY1379">
        <v>7644</v>
      </c>
      <c r="CA1379" t="s">
        <v>566</v>
      </c>
      <c r="CC1379" t="s">
        <v>218</v>
      </c>
      <c r="CD1379">
        <v>4051</v>
      </c>
      <c r="CE1379" t="s">
        <v>178</v>
      </c>
      <c r="CF1379" s="3">
        <v>45881</v>
      </c>
      <c r="CI1379">
        <v>1</v>
      </c>
      <c r="CJ1379">
        <v>1</v>
      </c>
      <c r="CK1379">
        <v>21</v>
      </c>
      <c r="CL1379" t="s">
        <v>90</v>
      </c>
    </row>
    <row r="1380" spans="1:90" x14ac:dyDescent="0.3">
      <c r="A1380" t="s">
        <v>72</v>
      </c>
      <c r="B1380" t="s">
        <v>73</v>
      </c>
      <c r="C1380" t="s">
        <v>74</v>
      </c>
      <c r="E1380" t="str">
        <f>"080067156047"</f>
        <v>080067156047</v>
      </c>
      <c r="F1380" s="3">
        <v>45880</v>
      </c>
      <c r="G1380">
        <v>202605</v>
      </c>
      <c r="H1380" t="s">
        <v>75</v>
      </c>
      <c r="I1380" t="s">
        <v>76</v>
      </c>
      <c r="J1380" t="s">
        <v>77</v>
      </c>
      <c r="K1380" t="s">
        <v>78</v>
      </c>
      <c r="L1380" t="s">
        <v>278</v>
      </c>
      <c r="M1380" t="s">
        <v>279</v>
      </c>
      <c r="N1380" t="s">
        <v>880</v>
      </c>
      <c r="O1380" t="s">
        <v>95</v>
      </c>
      <c r="P1380" t="str">
        <f>"4170054042                    "</f>
        <v xml:space="preserve">4170054042                    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0</v>
      </c>
      <c r="AO1380">
        <v>0</v>
      </c>
      <c r="AP1380">
        <v>0</v>
      </c>
      <c r="AQ1380">
        <v>44.64</v>
      </c>
      <c r="AR1380">
        <v>0</v>
      </c>
      <c r="AS1380">
        <v>0</v>
      </c>
      <c r="AT1380">
        <v>0</v>
      </c>
      <c r="AU1380">
        <v>0</v>
      </c>
      <c r="AV1380">
        <v>0</v>
      </c>
      <c r="AW1380">
        <v>0</v>
      </c>
      <c r="AX1380">
        <v>0</v>
      </c>
      <c r="AY1380">
        <v>0</v>
      </c>
      <c r="AZ1380">
        <v>0</v>
      </c>
      <c r="BA1380">
        <v>0</v>
      </c>
      <c r="BB1380">
        <v>0</v>
      </c>
      <c r="BC1380">
        <v>0</v>
      </c>
      <c r="BD1380">
        <v>0</v>
      </c>
      <c r="BE1380">
        <v>0</v>
      </c>
      <c r="BF1380">
        <v>0</v>
      </c>
      <c r="BG1380">
        <v>0</v>
      </c>
      <c r="BH1380">
        <v>1</v>
      </c>
      <c r="BI1380">
        <v>7</v>
      </c>
      <c r="BJ1380">
        <v>1.9</v>
      </c>
      <c r="BK1380">
        <v>7</v>
      </c>
      <c r="BL1380">
        <v>144.49</v>
      </c>
      <c r="BM1380">
        <v>21.67</v>
      </c>
      <c r="BN1380">
        <v>166.16</v>
      </c>
      <c r="BO1380">
        <v>166.16</v>
      </c>
      <c r="BQ1380" t="s">
        <v>881</v>
      </c>
      <c r="BR1380" t="s">
        <v>84</v>
      </c>
      <c r="BS1380" s="3">
        <v>45881</v>
      </c>
      <c r="BT1380" s="4">
        <v>0.34236111111111112</v>
      </c>
      <c r="BU1380" t="s">
        <v>2103</v>
      </c>
      <c r="BV1380" t="s">
        <v>86</v>
      </c>
      <c r="BY1380">
        <v>9576</v>
      </c>
      <c r="BZ1380" t="s">
        <v>100</v>
      </c>
      <c r="CA1380" t="s">
        <v>2104</v>
      </c>
      <c r="CC1380" t="s">
        <v>279</v>
      </c>
      <c r="CD1380" s="5" t="s">
        <v>883</v>
      </c>
      <c r="CE1380" t="s">
        <v>178</v>
      </c>
      <c r="CI1380">
        <v>1</v>
      </c>
      <c r="CJ1380">
        <v>1</v>
      </c>
      <c r="CK1380">
        <v>41</v>
      </c>
      <c r="CL1380" t="s">
        <v>90</v>
      </c>
    </row>
    <row r="1381" spans="1:90" x14ac:dyDescent="0.3">
      <c r="A1381" t="s">
        <v>72</v>
      </c>
      <c r="B1381" t="s">
        <v>73</v>
      </c>
      <c r="C1381" t="s">
        <v>74</v>
      </c>
      <c r="E1381" t="str">
        <f>"080067156863"</f>
        <v>080067156863</v>
      </c>
      <c r="F1381" s="3">
        <v>45880</v>
      </c>
      <c r="G1381">
        <v>202605</v>
      </c>
      <c r="H1381" t="s">
        <v>75</v>
      </c>
      <c r="I1381" t="s">
        <v>76</v>
      </c>
      <c r="J1381" t="s">
        <v>77</v>
      </c>
      <c r="K1381" t="s">
        <v>78</v>
      </c>
      <c r="L1381" t="s">
        <v>391</v>
      </c>
      <c r="M1381" t="s">
        <v>392</v>
      </c>
      <c r="N1381" t="s">
        <v>393</v>
      </c>
      <c r="O1381" t="s">
        <v>82</v>
      </c>
      <c r="P1381" t="str">
        <f>"4170054046                    "</f>
        <v xml:space="preserve">4170054046                    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Q1381">
        <v>85.12</v>
      </c>
      <c r="AR1381">
        <v>0</v>
      </c>
      <c r="AS1381">
        <v>0</v>
      </c>
      <c r="AT1381">
        <v>0</v>
      </c>
      <c r="AU1381">
        <v>0</v>
      </c>
      <c r="AV1381">
        <v>0</v>
      </c>
      <c r="AW1381">
        <v>0</v>
      </c>
      <c r="AX1381">
        <v>0</v>
      </c>
      <c r="AY1381">
        <v>0</v>
      </c>
      <c r="AZ1381">
        <v>0</v>
      </c>
      <c r="BA1381">
        <v>0</v>
      </c>
      <c r="BB1381">
        <v>0</v>
      </c>
      <c r="BC1381">
        <v>0</v>
      </c>
      <c r="BD1381">
        <v>0</v>
      </c>
      <c r="BE1381">
        <v>0</v>
      </c>
      <c r="BF1381">
        <v>0</v>
      </c>
      <c r="BG1381">
        <v>0</v>
      </c>
      <c r="BH1381">
        <v>1</v>
      </c>
      <c r="BI1381">
        <v>4</v>
      </c>
      <c r="BJ1381">
        <v>1.7</v>
      </c>
      <c r="BK1381">
        <v>4</v>
      </c>
      <c r="BL1381">
        <v>264.32</v>
      </c>
      <c r="BM1381">
        <v>39.65</v>
      </c>
      <c r="BN1381">
        <v>303.97000000000003</v>
      </c>
      <c r="BO1381">
        <v>303.97000000000003</v>
      </c>
      <c r="BQ1381" t="s">
        <v>394</v>
      </c>
      <c r="BR1381" t="s">
        <v>84</v>
      </c>
      <c r="BS1381" s="3">
        <v>45881</v>
      </c>
      <c r="BT1381" s="4">
        <v>0.48819444444444443</v>
      </c>
      <c r="BU1381" t="s">
        <v>395</v>
      </c>
      <c r="BV1381" t="s">
        <v>86</v>
      </c>
      <c r="BY1381">
        <v>8550</v>
      </c>
      <c r="CA1381" t="s">
        <v>1347</v>
      </c>
      <c r="CC1381" t="s">
        <v>392</v>
      </c>
      <c r="CD1381">
        <v>6715</v>
      </c>
      <c r="CE1381" t="s">
        <v>147</v>
      </c>
      <c r="CF1381" s="3">
        <v>45882</v>
      </c>
      <c r="CI1381">
        <v>2</v>
      </c>
      <c r="CJ1381">
        <v>1</v>
      </c>
      <c r="CK1381">
        <v>23</v>
      </c>
      <c r="CL1381" t="s">
        <v>90</v>
      </c>
    </row>
    <row r="1382" spans="1:90" x14ac:dyDescent="0.3">
      <c r="A1382" t="s">
        <v>72</v>
      </c>
      <c r="B1382" t="s">
        <v>73</v>
      </c>
      <c r="C1382" t="s">
        <v>74</v>
      </c>
      <c r="E1382" t="str">
        <f>"080067157461"</f>
        <v>080067157461</v>
      </c>
      <c r="F1382" s="3">
        <v>45880</v>
      </c>
      <c r="G1382">
        <v>202605</v>
      </c>
      <c r="H1382" t="s">
        <v>75</v>
      </c>
      <c r="I1382" t="s">
        <v>76</v>
      </c>
      <c r="J1382" t="s">
        <v>77</v>
      </c>
      <c r="K1382" t="s">
        <v>78</v>
      </c>
      <c r="L1382" t="s">
        <v>198</v>
      </c>
      <c r="M1382" t="s">
        <v>199</v>
      </c>
      <c r="N1382" t="s">
        <v>410</v>
      </c>
      <c r="O1382" t="s">
        <v>95</v>
      </c>
      <c r="P1382" t="str">
        <f>"4170053979                    "</f>
        <v xml:space="preserve">4170053979                    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Q1382">
        <v>158.91</v>
      </c>
      <c r="AR1382">
        <v>0</v>
      </c>
      <c r="AS1382">
        <v>0</v>
      </c>
      <c r="AT1382">
        <v>0</v>
      </c>
      <c r="AU1382">
        <v>0</v>
      </c>
      <c r="AV1382">
        <v>0</v>
      </c>
      <c r="AW1382">
        <v>0</v>
      </c>
      <c r="AX1382">
        <v>0</v>
      </c>
      <c r="AY1382">
        <v>0</v>
      </c>
      <c r="AZ1382">
        <v>0</v>
      </c>
      <c r="BA1382">
        <v>0</v>
      </c>
      <c r="BB1382">
        <v>0</v>
      </c>
      <c r="BC1382">
        <v>0</v>
      </c>
      <c r="BD1382">
        <v>0</v>
      </c>
      <c r="BE1382">
        <v>0</v>
      </c>
      <c r="BF1382">
        <v>0</v>
      </c>
      <c r="BG1382">
        <v>0</v>
      </c>
      <c r="BH1382">
        <v>4</v>
      </c>
      <c r="BI1382">
        <v>77</v>
      </c>
      <c r="BJ1382">
        <v>49.8</v>
      </c>
      <c r="BK1382">
        <v>77</v>
      </c>
      <c r="BL1382">
        <v>499.32</v>
      </c>
      <c r="BM1382">
        <v>74.900000000000006</v>
      </c>
      <c r="BN1382">
        <v>574.22</v>
      </c>
      <c r="BO1382">
        <v>574.22</v>
      </c>
      <c r="BQ1382" t="s">
        <v>411</v>
      </c>
      <c r="BR1382" t="s">
        <v>84</v>
      </c>
      <c r="BS1382" s="3">
        <v>45882</v>
      </c>
      <c r="BT1382" s="4">
        <v>0.38541666666666669</v>
      </c>
      <c r="BU1382" t="s">
        <v>1411</v>
      </c>
      <c r="BV1382" t="s">
        <v>86</v>
      </c>
      <c r="BY1382">
        <v>248992</v>
      </c>
      <c r="CA1382" t="s">
        <v>413</v>
      </c>
      <c r="CC1382" t="s">
        <v>199</v>
      </c>
      <c r="CD1382">
        <v>6001</v>
      </c>
      <c r="CE1382" t="s">
        <v>147</v>
      </c>
      <c r="CF1382" s="3">
        <v>45882</v>
      </c>
      <c r="CI1382">
        <v>3</v>
      </c>
      <c r="CJ1382">
        <v>2</v>
      </c>
      <c r="CK1382">
        <v>41</v>
      </c>
      <c r="CL1382" t="s">
        <v>90</v>
      </c>
    </row>
    <row r="1383" spans="1:90" x14ac:dyDescent="0.3">
      <c r="A1383" t="s">
        <v>72</v>
      </c>
      <c r="B1383" t="s">
        <v>73</v>
      </c>
      <c r="C1383" t="s">
        <v>74</v>
      </c>
      <c r="E1383" t="str">
        <f>"080067157914"</f>
        <v>080067157914</v>
      </c>
      <c r="F1383" s="3">
        <v>45880</v>
      </c>
      <c r="G1383">
        <v>202605</v>
      </c>
      <c r="H1383" t="s">
        <v>75</v>
      </c>
      <c r="I1383" t="s">
        <v>76</v>
      </c>
      <c r="J1383" t="s">
        <v>77</v>
      </c>
      <c r="K1383" t="s">
        <v>78</v>
      </c>
      <c r="L1383" t="s">
        <v>278</v>
      </c>
      <c r="M1383" t="s">
        <v>279</v>
      </c>
      <c r="N1383" t="s">
        <v>880</v>
      </c>
      <c r="O1383" t="s">
        <v>82</v>
      </c>
      <c r="P1383" t="str">
        <f>"4170054025                    "</f>
        <v xml:space="preserve">4170054025                    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0</v>
      </c>
      <c r="AP1383">
        <v>0</v>
      </c>
      <c r="AQ1383">
        <v>23.09</v>
      </c>
      <c r="AR1383">
        <v>0</v>
      </c>
      <c r="AS1383">
        <v>0</v>
      </c>
      <c r="AT1383">
        <v>0</v>
      </c>
      <c r="AU1383">
        <v>0</v>
      </c>
      <c r="AV1383">
        <v>0</v>
      </c>
      <c r="AW1383">
        <v>0</v>
      </c>
      <c r="AX1383">
        <v>0</v>
      </c>
      <c r="AY1383">
        <v>0</v>
      </c>
      <c r="AZ1383">
        <v>0</v>
      </c>
      <c r="BA1383">
        <v>0</v>
      </c>
      <c r="BB1383">
        <v>0</v>
      </c>
      <c r="BC1383">
        <v>0</v>
      </c>
      <c r="BD1383">
        <v>0</v>
      </c>
      <c r="BE1383">
        <v>0</v>
      </c>
      <c r="BF1383">
        <v>0</v>
      </c>
      <c r="BG1383">
        <v>0</v>
      </c>
      <c r="BH1383">
        <v>1</v>
      </c>
      <c r="BI1383">
        <v>1</v>
      </c>
      <c r="BJ1383">
        <v>0.2</v>
      </c>
      <c r="BK1383">
        <v>1</v>
      </c>
      <c r="BL1383">
        <v>71.69</v>
      </c>
      <c r="BM1383">
        <v>10.75</v>
      </c>
      <c r="BN1383">
        <v>82.44</v>
      </c>
      <c r="BO1383">
        <v>82.44</v>
      </c>
      <c r="BQ1383" t="s">
        <v>881</v>
      </c>
      <c r="BR1383" t="s">
        <v>84</v>
      </c>
      <c r="BS1383" s="3">
        <v>45881</v>
      </c>
      <c r="BT1383" s="4">
        <v>0.40486111111111112</v>
      </c>
      <c r="BU1383" t="s">
        <v>2066</v>
      </c>
      <c r="BV1383" t="s">
        <v>86</v>
      </c>
      <c r="BY1383">
        <v>1200</v>
      </c>
      <c r="CA1383" t="s">
        <v>2067</v>
      </c>
      <c r="CC1383" t="s">
        <v>279</v>
      </c>
      <c r="CD1383" s="5" t="s">
        <v>883</v>
      </c>
      <c r="CE1383" t="s">
        <v>109</v>
      </c>
      <c r="CF1383" s="3">
        <v>45881</v>
      </c>
      <c r="CI1383">
        <v>1</v>
      </c>
      <c r="CJ1383">
        <v>1</v>
      </c>
      <c r="CK1383">
        <v>21</v>
      </c>
      <c r="CL1383" t="s">
        <v>90</v>
      </c>
    </row>
    <row r="1384" spans="1:90" x14ac:dyDescent="0.3">
      <c r="A1384" t="s">
        <v>72</v>
      </c>
      <c r="B1384" t="s">
        <v>73</v>
      </c>
      <c r="C1384" t="s">
        <v>74</v>
      </c>
      <c r="E1384" t="str">
        <f>"080067158037"</f>
        <v>080067158037</v>
      </c>
      <c r="F1384" s="3">
        <v>45880</v>
      </c>
      <c r="G1384">
        <v>202605</v>
      </c>
      <c r="H1384" t="s">
        <v>75</v>
      </c>
      <c r="I1384" t="s">
        <v>76</v>
      </c>
      <c r="J1384" t="s">
        <v>77</v>
      </c>
      <c r="K1384" t="s">
        <v>78</v>
      </c>
      <c r="L1384" t="s">
        <v>75</v>
      </c>
      <c r="M1384" t="s">
        <v>76</v>
      </c>
      <c r="N1384" t="s">
        <v>152</v>
      </c>
      <c r="O1384" t="s">
        <v>82</v>
      </c>
      <c r="P1384" t="str">
        <f>"4170054012                    "</f>
        <v xml:space="preserve">4170054012                    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Q1384">
        <v>18.03</v>
      </c>
      <c r="AR1384">
        <v>0</v>
      </c>
      <c r="AS1384">
        <v>0</v>
      </c>
      <c r="AT1384">
        <v>0</v>
      </c>
      <c r="AU1384">
        <v>0</v>
      </c>
      <c r="AV1384">
        <v>0</v>
      </c>
      <c r="AW1384">
        <v>0</v>
      </c>
      <c r="AX1384">
        <v>0</v>
      </c>
      <c r="AY1384">
        <v>0</v>
      </c>
      <c r="AZ1384">
        <v>0</v>
      </c>
      <c r="BA1384">
        <v>0</v>
      </c>
      <c r="BB1384">
        <v>0</v>
      </c>
      <c r="BC1384">
        <v>0</v>
      </c>
      <c r="BD1384">
        <v>0</v>
      </c>
      <c r="BE1384">
        <v>0</v>
      </c>
      <c r="BF1384">
        <v>0</v>
      </c>
      <c r="BG1384">
        <v>0</v>
      </c>
      <c r="BH1384">
        <v>1</v>
      </c>
      <c r="BI1384">
        <v>1</v>
      </c>
      <c r="BJ1384">
        <v>0.2</v>
      </c>
      <c r="BK1384">
        <v>1</v>
      </c>
      <c r="BL1384">
        <v>55.99</v>
      </c>
      <c r="BM1384">
        <v>8.4</v>
      </c>
      <c r="BN1384">
        <v>64.39</v>
      </c>
      <c r="BO1384">
        <v>64.39</v>
      </c>
      <c r="BQ1384" t="s">
        <v>153</v>
      </c>
      <c r="BR1384" t="s">
        <v>84</v>
      </c>
      <c r="BS1384" s="3">
        <v>45881</v>
      </c>
      <c r="BT1384" s="4">
        <v>0.36875000000000002</v>
      </c>
      <c r="BU1384" t="s">
        <v>995</v>
      </c>
      <c r="BV1384" t="s">
        <v>86</v>
      </c>
      <c r="BY1384">
        <v>1200</v>
      </c>
      <c r="CA1384" t="s">
        <v>155</v>
      </c>
      <c r="CC1384" t="s">
        <v>76</v>
      </c>
      <c r="CD1384">
        <v>1600</v>
      </c>
      <c r="CE1384" t="s">
        <v>109</v>
      </c>
      <c r="CF1384" s="3">
        <v>45881</v>
      </c>
      <c r="CI1384">
        <v>1</v>
      </c>
      <c r="CJ1384">
        <v>1</v>
      </c>
      <c r="CK1384">
        <v>22</v>
      </c>
      <c r="CL1384" t="s">
        <v>90</v>
      </c>
    </row>
    <row r="1385" spans="1:90" x14ac:dyDescent="0.3">
      <c r="A1385" t="s">
        <v>72</v>
      </c>
      <c r="B1385" t="s">
        <v>73</v>
      </c>
      <c r="C1385" t="s">
        <v>74</v>
      </c>
      <c r="E1385" t="str">
        <f>"080067158104"</f>
        <v>080067158104</v>
      </c>
      <c r="F1385" s="3">
        <v>45880</v>
      </c>
      <c r="G1385">
        <v>202605</v>
      </c>
      <c r="H1385" t="s">
        <v>75</v>
      </c>
      <c r="I1385" t="s">
        <v>76</v>
      </c>
      <c r="J1385" t="s">
        <v>77</v>
      </c>
      <c r="K1385" t="s">
        <v>78</v>
      </c>
      <c r="L1385" t="s">
        <v>314</v>
      </c>
      <c r="M1385" t="s">
        <v>314</v>
      </c>
      <c r="N1385" t="s">
        <v>1944</v>
      </c>
      <c r="O1385" t="s">
        <v>82</v>
      </c>
      <c r="P1385" t="str">
        <f>"4170054062                    "</f>
        <v xml:space="preserve">4170054062                    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Q1385">
        <v>32.47</v>
      </c>
      <c r="AR1385">
        <v>0</v>
      </c>
      <c r="AS1385">
        <v>0</v>
      </c>
      <c r="AT1385">
        <v>0</v>
      </c>
      <c r="AU1385">
        <v>0</v>
      </c>
      <c r="AV1385">
        <v>0</v>
      </c>
      <c r="AW1385">
        <v>0</v>
      </c>
      <c r="AX1385">
        <v>0</v>
      </c>
      <c r="AY1385">
        <v>0</v>
      </c>
      <c r="AZ1385">
        <v>0</v>
      </c>
      <c r="BA1385">
        <v>0</v>
      </c>
      <c r="BB1385">
        <v>0</v>
      </c>
      <c r="BC1385">
        <v>0</v>
      </c>
      <c r="BD1385">
        <v>0</v>
      </c>
      <c r="BE1385">
        <v>0</v>
      </c>
      <c r="BF1385">
        <v>0</v>
      </c>
      <c r="BG1385">
        <v>0</v>
      </c>
      <c r="BH1385">
        <v>1</v>
      </c>
      <c r="BI1385">
        <v>2</v>
      </c>
      <c r="BJ1385">
        <v>1.7</v>
      </c>
      <c r="BK1385">
        <v>2</v>
      </c>
      <c r="BL1385">
        <v>100.82</v>
      </c>
      <c r="BM1385">
        <v>15.12</v>
      </c>
      <c r="BN1385">
        <v>115.94</v>
      </c>
      <c r="BO1385">
        <v>115.94</v>
      </c>
      <c r="BQ1385" t="s">
        <v>1945</v>
      </c>
      <c r="BR1385" t="s">
        <v>84</v>
      </c>
      <c r="BS1385" s="3">
        <v>45881</v>
      </c>
      <c r="BT1385" s="4">
        <v>0.55902777777777779</v>
      </c>
      <c r="BU1385" t="s">
        <v>1946</v>
      </c>
      <c r="BV1385" t="s">
        <v>90</v>
      </c>
      <c r="BW1385" t="s">
        <v>364</v>
      </c>
      <c r="BX1385" t="s">
        <v>897</v>
      </c>
      <c r="BY1385">
        <v>8512</v>
      </c>
      <c r="CA1385" t="s">
        <v>1125</v>
      </c>
      <c r="CC1385" t="s">
        <v>314</v>
      </c>
      <c r="CD1385">
        <v>1491</v>
      </c>
      <c r="CE1385" t="s">
        <v>147</v>
      </c>
      <c r="CF1385" s="3">
        <v>45882</v>
      </c>
      <c r="CI1385">
        <v>1</v>
      </c>
      <c r="CJ1385">
        <v>1</v>
      </c>
      <c r="CK1385">
        <v>24</v>
      </c>
      <c r="CL1385" t="s">
        <v>90</v>
      </c>
    </row>
    <row r="1386" spans="1:90" x14ac:dyDescent="0.3">
      <c r="A1386" t="s">
        <v>72</v>
      </c>
      <c r="B1386" t="s">
        <v>73</v>
      </c>
      <c r="C1386" t="s">
        <v>74</v>
      </c>
      <c r="E1386" t="str">
        <f>"080067158107"</f>
        <v>080067158107</v>
      </c>
      <c r="F1386" s="3">
        <v>45880</v>
      </c>
      <c r="G1386">
        <v>202605</v>
      </c>
      <c r="H1386" t="s">
        <v>75</v>
      </c>
      <c r="I1386" t="s">
        <v>76</v>
      </c>
      <c r="J1386" t="s">
        <v>77</v>
      </c>
      <c r="K1386" t="s">
        <v>78</v>
      </c>
      <c r="L1386" t="s">
        <v>278</v>
      </c>
      <c r="M1386" t="s">
        <v>279</v>
      </c>
      <c r="N1386" t="s">
        <v>866</v>
      </c>
      <c r="O1386" t="s">
        <v>82</v>
      </c>
      <c r="P1386" t="str">
        <f>"4170054051                    "</f>
        <v xml:space="preserve">4170054051                    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Q1386">
        <v>23.09</v>
      </c>
      <c r="AR1386">
        <v>0</v>
      </c>
      <c r="AS1386">
        <v>0</v>
      </c>
      <c r="AT1386">
        <v>0</v>
      </c>
      <c r="AU1386">
        <v>0</v>
      </c>
      <c r="AV1386">
        <v>0</v>
      </c>
      <c r="AW1386">
        <v>0</v>
      </c>
      <c r="AX1386">
        <v>0</v>
      </c>
      <c r="AY1386">
        <v>0</v>
      </c>
      <c r="AZ1386">
        <v>0</v>
      </c>
      <c r="BA1386">
        <v>0</v>
      </c>
      <c r="BB1386">
        <v>0</v>
      </c>
      <c r="BC1386">
        <v>0</v>
      </c>
      <c r="BD1386">
        <v>0</v>
      </c>
      <c r="BE1386">
        <v>0</v>
      </c>
      <c r="BF1386">
        <v>0</v>
      </c>
      <c r="BG1386">
        <v>0</v>
      </c>
      <c r="BH1386">
        <v>1</v>
      </c>
      <c r="BI1386">
        <v>1</v>
      </c>
      <c r="BJ1386">
        <v>0.2</v>
      </c>
      <c r="BK1386">
        <v>1</v>
      </c>
      <c r="BL1386">
        <v>71.69</v>
      </c>
      <c r="BM1386">
        <v>10.75</v>
      </c>
      <c r="BN1386">
        <v>82.44</v>
      </c>
      <c r="BO1386">
        <v>82.44</v>
      </c>
      <c r="BQ1386" t="s">
        <v>867</v>
      </c>
      <c r="BR1386" t="s">
        <v>84</v>
      </c>
      <c r="BS1386" s="3">
        <v>45881</v>
      </c>
      <c r="BT1386" s="4">
        <v>0.43819444444444444</v>
      </c>
      <c r="BU1386" t="s">
        <v>2105</v>
      </c>
      <c r="BV1386" t="s">
        <v>90</v>
      </c>
      <c r="BW1386" t="s">
        <v>380</v>
      </c>
      <c r="BX1386" t="s">
        <v>2106</v>
      </c>
      <c r="BY1386">
        <v>1200</v>
      </c>
      <c r="CA1386" t="s">
        <v>532</v>
      </c>
      <c r="CC1386" t="s">
        <v>279</v>
      </c>
      <c r="CD1386" s="5" t="s">
        <v>533</v>
      </c>
      <c r="CE1386" t="s">
        <v>109</v>
      </c>
      <c r="CF1386" s="3">
        <v>45881</v>
      </c>
      <c r="CI1386">
        <v>1</v>
      </c>
      <c r="CJ1386">
        <v>1</v>
      </c>
      <c r="CK1386">
        <v>21</v>
      </c>
      <c r="CL1386" t="s">
        <v>90</v>
      </c>
    </row>
    <row r="1387" spans="1:90" x14ac:dyDescent="0.3">
      <c r="A1387" t="s">
        <v>72</v>
      </c>
      <c r="B1387" t="s">
        <v>73</v>
      </c>
      <c r="C1387" t="s">
        <v>74</v>
      </c>
      <c r="E1387" t="str">
        <f>"080067158167"</f>
        <v>080067158167</v>
      </c>
      <c r="F1387" s="3">
        <v>45880</v>
      </c>
      <c r="G1387">
        <v>202605</v>
      </c>
      <c r="H1387" t="s">
        <v>75</v>
      </c>
      <c r="I1387" t="s">
        <v>76</v>
      </c>
      <c r="J1387" t="s">
        <v>77</v>
      </c>
      <c r="K1387" t="s">
        <v>78</v>
      </c>
      <c r="L1387" t="s">
        <v>75</v>
      </c>
      <c r="M1387" t="s">
        <v>76</v>
      </c>
      <c r="N1387" t="s">
        <v>1020</v>
      </c>
      <c r="O1387" t="s">
        <v>82</v>
      </c>
      <c r="P1387" t="str">
        <f>"4170054034                    "</f>
        <v xml:space="preserve">4170054034                    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Q1387">
        <v>18.03</v>
      </c>
      <c r="AR1387">
        <v>0</v>
      </c>
      <c r="AS1387">
        <v>0</v>
      </c>
      <c r="AT1387">
        <v>0</v>
      </c>
      <c r="AU1387">
        <v>0</v>
      </c>
      <c r="AV1387">
        <v>0</v>
      </c>
      <c r="AW1387">
        <v>0</v>
      </c>
      <c r="AX1387">
        <v>0</v>
      </c>
      <c r="AY1387">
        <v>0</v>
      </c>
      <c r="AZ1387">
        <v>0</v>
      </c>
      <c r="BA1387">
        <v>0</v>
      </c>
      <c r="BB1387">
        <v>0</v>
      </c>
      <c r="BC1387">
        <v>0</v>
      </c>
      <c r="BD1387">
        <v>0</v>
      </c>
      <c r="BE1387">
        <v>0</v>
      </c>
      <c r="BF1387">
        <v>0</v>
      </c>
      <c r="BG1387">
        <v>0</v>
      </c>
      <c r="BH1387">
        <v>1</v>
      </c>
      <c r="BI1387">
        <v>1</v>
      </c>
      <c r="BJ1387">
        <v>0.2</v>
      </c>
      <c r="BK1387">
        <v>1</v>
      </c>
      <c r="BL1387">
        <v>55.99</v>
      </c>
      <c r="BM1387">
        <v>8.4</v>
      </c>
      <c r="BN1387">
        <v>64.39</v>
      </c>
      <c r="BO1387">
        <v>64.39</v>
      </c>
      <c r="BQ1387" t="s">
        <v>1021</v>
      </c>
      <c r="BR1387" t="s">
        <v>84</v>
      </c>
      <c r="BS1387" s="3">
        <v>45882</v>
      </c>
      <c r="BT1387" s="4">
        <v>0.38263888888888886</v>
      </c>
      <c r="BU1387" t="s">
        <v>2044</v>
      </c>
      <c r="BV1387" t="s">
        <v>90</v>
      </c>
      <c r="BW1387" t="s">
        <v>1167</v>
      </c>
      <c r="BX1387" t="s">
        <v>2045</v>
      </c>
      <c r="BY1387">
        <v>1200</v>
      </c>
      <c r="CC1387" t="s">
        <v>76</v>
      </c>
      <c r="CD1387">
        <v>1645</v>
      </c>
      <c r="CE1387" t="s">
        <v>109</v>
      </c>
      <c r="CF1387" s="3">
        <v>45882</v>
      </c>
      <c r="CI1387">
        <v>1</v>
      </c>
      <c r="CJ1387">
        <v>2</v>
      </c>
      <c r="CK1387">
        <v>22</v>
      </c>
      <c r="CL1387" t="s">
        <v>90</v>
      </c>
    </row>
    <row r="1388" spans="1:90" x14ac:dyDescent="0.3">
      <c r="A1388" t="s">
        <v>72</v>
      </c>
      <c r="B1388" t="s">
        <v>73</v>
      </c>
      <c r="C1388" t="s">
        <v>74</v>
      </c>
      <c r="E1388" t="str">
        <f>"080067158241"</f>
        <v>080067158241</v>
      </c>
      <c r="F1388" s="3">
        <v>45880</v>
      </c>
      <c r="G1388">
        <v>202605</v>
      </c>
      <c r="H1388" t="s">
        <v>75</v>
      </c>
      <c r="I1388" t="s">
        <v>76</v>
      </c>
      <c r="J1388" t="s">
        <v>77</v>
      </c>
      <c r="K1388" t="s">
        <v>78</v>
      </c>
      <c r="L1388" t="s">
        <v>75</v>
      </c>
      <c r="M1388" t="s">
        <v>76</v>
      </c>
      <c r="N1388" t="s">
        <v>152</v>
      </c>
      <c r="O1388" t="s">
        <v>113</v>
      </c>
      <c r="P1388" t="str">
        <f>"4170054075                    "</f>
        <v xml:space="preserve">4170054075                    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>
        <v>24.11</v>
      </c>
      <c r="AR1388">
        <v>0</v>
      </c>
      <c r="AS1388">
        <v>0</v>
      </c>
      <c r="AT1388">
        <v>0</v>
      </c>
      <c r="AU1388">
        <v>0</v>
      </c>
      <c r="AV1388">
        <v>0</v>
      </c>
      <c r="AW1388">
        <v>0</v>
      </c>
      <c r="AX1388">
        <v>0</v>
      </c>
      <c r="AY1388">
        <v>0</v>
      </c>
      <c r="AZ1388">
        <v>0</v>
      </c>
      <c r="BA1388">
        <v>0</v>
      </c>
      <c r="BB1388">
        <v>0</v>
      </c>
      <c r="BC1388">
        <v>0</v>
      </c>
      <c r="BD1388">
        <v>0</v>
      </c>
      <c r="BE1388">
        <v>0</v>
      </c>
      <c r="BF1388">
        <v>0</v>
      </c>
      <c r="BG1388">
        <v>0</v>
      </c>
      <c r="BH1388">
        <v>2</v>
      </c>
      <c r="BI1388">
        <v>6</v>
      </c>
      <c r="BJ1388">
        <v>10.8</v>
      </c>
      <c r="BK1388">
        <v>11</v>
      </c>
      <c r="BL1388">
        <v>74.86</v>
      </c>
      <c r="BM1388">
        <v>11.23</v>
      </c>
      <c r="BN1388">
        <v>86.09</v>
      </c>
      <c r="BO1388">
        <v>86.09</v>
      </c>
      <c r="BQ1388" t="s">
        <v>153</v>
      </c>
      <c r="BR1388" t="s">
        <v>84</v>
      </c>
      <c r="BS1388" s="3">
        <v>45881</v>
      </c>
      <c r="BT1388" s="4">
        <v>0.33333333333333331</v>
      </c>
      <c r="BU1388" t="s">
        <v>995</v>
      </c>
      <c r="BV1388" t="s">
        <v>86</v>
      </c>
      <c r="BY1388">
        <v>26928</v>
      </c>
      <c r="CA1388" t="s">
        <v>155</v>
      </c>
      <c r="CC1388" t="s">
        <v>76</v>
      </c>
      <c r="CD1388">
        <v>1600</v>
      </c>
      <c r="CE1388" t="s">
        <v>2107</v>
      </c>
      <c r="CF1388" s="3">
        <v>45881</v>
      </c>
      <c r="CI1388">
        <v>1</v>
      </c>
      <c r="CJ1388">
        <v>1</v>
      </c>
      <c r="CK1388">
        <v>32</v>
      </c>
      <c r="CL1388" t="s">
        <v>90</v>
      </c>
    </row>
    <row r="1389" spans="1:90" x14ac:dyDescent="0.3">
      <c r="A1389" t="s">
        <v>72</v>
      </c>
      <c r="B1389" t="s">
        <v>73</v>
      </c>
      <c r="C1389" t="s">
        <v>74</v>
      </c>
      <c r="E1389" t="str">
        <f>"080067158257"</f>
        <v>080067158257</v>
      </c>
      <c r="F1389" s="3">
        <v>45880</v>
      </c>
      <c r="G1389">
        <v>202605</v>
      </c>
      <c r="H1389" t="s">
        <v>75</v>
      </c>
      <c r="I1389" t="s">
        <v>76</v>
      </c>
      <c r="J1389" t="s">
        <v>77</v>
      </c>
      <c r="K1389" t="s">
        <v>78</v>
      </c>
      <c r="L1389" t="s">
        <v>217</v>
      </c>
      <c r="M1389" t="s">
        <v>218</v>
      </c>
      <c r="N1389" t="s">
        <v>624</v>
      </c>
      <c r="O1389" t="s">
        <v>82</v>
      </c>
      <c r="P1389" t="str">
        <f>"4170054097                    "</f>
        <v xml:space="preserve">4170054097                    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>
        <v>23.09</v>
      </c>
      <c r="AR1389">
        <v>0</v>
      </c>
      <c r="AS1389">
        <v>0</v>
      </c>
      <c r="AT1389">
        <v>0</v>
      </c>
      <c r="AU1389">
        <v>0</v>
      </c>
      <c r="AV1389">
        <v>0</v>
      </c>
      <c r="AW1389">
        <v>0</v>
      </c>
      <c r="AX1389">
        <v>0</v>
      </c>
      <c r="AY1389">
        <v>0</v>
      </c>
      <c r="AZ1389">
        <v>0</v>
      </c>
      <c r="BA1389">
        <v>0</v>
      </c>
      <c r="BB1389">
        <v>0</v>
      </c>
      <c r="BC1389">
        <v>0</v>
      </c>
      <c r="BD1389">
        <v>0</v>
      </c>
      <c r="BE1389">
        <v>0</v>
      </c>
      <c r="BF1389">
        <v>0</v>
      </c>
      <c r="BG1389">
        <v>0</v>
      </c>
      <c r="BH1389">
        <v>1</v>
      </c>
      <c r="BI1389">
        <v>1</v>
      </c>
      <c r="BJ1389">
        <v>0.2</v>
      </c>
      <c r="BK1389">
        <v>1</v>
      </c>
      <c r="BL1389">
        <v>71.69</v>
      </c>
      <c r="BM1389">
        <v>10.75</v>
      </c>
      <c r="BN1389">
        <v>82.44</v>
      </c>
      <c r="BO1389">
        <v>82.44</v>
      </c>
      <c r="BQ1389" t="s">
        <v>625</v>
      </c>
      <c r="BR1389" t="s">
        <v>84</v>
      </c>
      <c r="BS1389" s="3">
        <v>45881</v>
      </c>
      <c r="BT1389" s="4">
        <v>0.38055555555555554</v>
      </c>
      <c r="BU1389" t="s">
        <v>2108</v>
      </c>
      <c r="BV1389" t="s">
        <v>86</v>
      </c>
      <c r="BY1389">
        <v>1200</v>
      </c>
      <c r="CA1389" t="s">
        <v>136</v>
      </c>
      <c r="CC1389" t="s">
        <v>218</v>
      </c>
      <c r="CD1389">
        <v>4052</v>
      </c>
      <c r="CE1389" t="s">
        <v>109</v>
      </c>
      <c r="CF1389" s="3">
        <v>45882</v>
      </c>
      <c r="CI1389">
        <v>1</v>
      </c>
      <c r="CJ1389">
        <v>1</v>
      </c>
      <c r="CK1389">
        <v>21</v>
      </c>
      <c r="CL1389" t="s">
        <v>90</v>
      </c>
    </row>
    <row r="1390" spans="1:90" x14ac:dyDescent="0.3">
      <c r="A1390" t="s">
        <v>72</v>
      </c>
      <c r="B1390" t="s">
        <v>73</v>
      </c>
      <c r="C1390" t="s">
        <v>74</v>
      </c>
      <c r="E1390" t="str">
        <f>"080067158283"</f>
        <v>080067158283</v>
      </c>
      <c r="F1390" s="3">
        <v>45880</v>
      </c>
      <c r="G1390">
        <v>202605</v>
      </c>
      <c r="H1390" t="s">
        <v>75</v>
      </c>
      <c r="I1390" t="s">
        <v>76</v>
      </c>
      <c r="J1390" t="s">
        <v>77</v>
      </c>
      <c r="K1390" t="s">
        <v>78</v>
      </c>
      <c r="L1390" t="s">
        <v>198</v>
      </c>
      <c r="M1390" t="s">
        <v>199</v>
      </c>
      <c r="N1390" t="s">
        <v>598</v>
      </c>
      <c r="O1390" t="s">
        <v>82</v>
      </c>
      <c r="P1390" t="str">
        <f>"4170054070                    "</f>
        <v xml:space="preserve">4170054070                    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Q1390">
        <v>57.68</v>
      </c>
      <c r="AR1390">
        <v>0</v>
      </c>
      <c r="AS1390">
        <v>0</v>
      </c>
      <c r="AT1390">
        <v>0</v>
      </c>
      <c r="AU1390">
        <v>0</v>
      </c>
      <c r="AV1390">
        <v>0</v>
      </c>
      <c r="AW1390">
        <v>0</v>
      </c>
      <c r="AX1390">
        <v>0</v>
      </c>
      <c r="AY1390">
        <v>0</v>
      </c>
      <c r="AZ1390">
        <v>0</v>
      </c>
      <c r="BA1390">
        <v>0</v>
      </c>
      <c r="BB1390">
        <v>0</v>
      </c>
      <c r="BC1390">
        <v>0</v>
      </c>
      <c r="BD1390">
        <v>0</v>
      </c>
      <c r="BE1390">
        <v>0</v>
      </c>
      <c r="BF1390">
        <v>0</v>
      </c>
      <c r="BG1390">
        <v>0</v>
      </c>
      <c r="BH1390">
        <v>1</v>
      </c>
      <c r="BI1390">
        <v>5</v>
      </c>
      <c r="BJ1390">
        <v>1.4</v>
      </c>
      <c r="BK1390">
        <v>5</v>
      </c>
      <c r="BL1390">
        <v>179.12</v>
      </c>
      <c r="BM1390">
        <v>26.87</v>
      </c>
      <c r="BN1390">
        <v>205.99</v>
      </c>
      <c r="BO1390">
        <v>205.99</v>
      </c>
      <c r="BQ1390" t="s">
        <v>599</v>
      </c>
      <c r="BR1390" t="s">
        <v>84</v>
      </c>
      <c r="BS1390" s="3">
        <v>45881</v>
      </c>
      <c r="BT1390" s="4">
        <v>0.36041666666666666</v>
      </c>
      <c r="BU1390" t="s">
        <v>600</v>
      </c>
      <c r="BV1390" t="s">
        <v>86</v>
      </c>
      <c r="BY1390">
        <v>7000</v>
      </c>
      <c r="CA1390" t="s">
        <v>601</v>
      </c>
      <c r="CC1390" t="s">
        <v>199</v>
      </c>
      <c r="CD1390">
        <v>6001</v>
      </c>
      <c r="CE1390" t="s">
        <v>147</v>
      </c>
      <c r="CF1390" s="3">
        <v>45881</v>
      </c>
      <c r="CI1390">
        <v>1</v>
      </c>
      <c r="CJ1390">
        <v>1</v>
      </c>
      <c r="CK1390">
        <v>21</v>
      </c>
      <c r="CL1390" t="s">
        <v>90</v>
      </c>
    </row>
    <row r="1391" spans="1:90" x14ac:dyDescent="0.3">
      <c r="A1391" t="s">
        <v>72</v>
      </c>
      <c r="B1391" t="s">
        <v>73</v>
      </c>
      <c r="C1391" t="s">
        <v>74</v>
      </c>
      <c r="E1391" t="str">
        <f>"080067158310"</f>
        <v>080067158310</v>
      </c>
      <c r="F1391" s="3">
        <v>45880</v>
      </c>
      <c r="G1391">
        <v>202605</v>
      </c>
      <c r="H1391" t="s">
        <v>75</v>
      </c>
      <c r="I1391" t="s">
        <v>76</v>
      </c>
      <c r="J1391" t="s">
        <v>77</v>
      </c>
      <c r="K1391" t="s">
        <v>78</v>
      </c>
      <c r="L1391" t="s">
        <v>75</v>
      </c>
      <c r="M1391" t="s">
        <v>76</v>
      </c>
      <c r="N1391" t="s">
        <v>152</v>
      </c>
      <c r="O1391" t="s">
        <v>95</v>
      </c>
      <c r="P1391" t="str">
        <f>"4170054103                    "</f>
        <v xml:space="preserve">4170054103                    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>
        <v>37.47</v>
      </c>
      <c r="AR1391">
        <v>0</v>
      </c>
      <c r="AS1391">
        <v>0</v>
      </c>
      <c r="AT1391">
        <v>0</v>
      </c>
      <c r="AU1391">
        <v>0</v>
      </c>
      <c r="AV1391">
        <v>0</v>
      </c>
      <c r="AW1391">
        <v>0</v>
      </c>
      <c r="AX1391">
        <v>0</v>
      </c>
      <c r="AY1391">
        <v>0</v>
      </c>
      <c r="AZ1391">
        <v>0</v>
      </c>
      <c r="BA1391">
        <v>0</v>
      </c>
      <c r="BB1391">
        <v>0</v>
      </c>
      <c r="BC1391">
        <v>0</v>
      </c>
      <c r="BD1391">
        <v>0</v>
      </c>
      <c r="BE1391">
        <v>0</v>
      </c>
      <c r="BF1391">
        <v>0</v>
      </c>
      <c r="BG1391">
        <v>0</v>
      </c>
      <c r="BH1391">
        <v>1</v>
      </c>
      <c r="BI1391">
        <v>7</v>
      </c>
      <c r="BJ1391">
        <v>17.7</v>
      </c>
      <c r="BK1391">
        <v>18</v>
      </c>
      <c r="BL1391">
        <v>122.22</v>
      </c>
      <c r="BM1391">
        <v>18.329999999999998</v>
      </c>
      <c r="BN1391">
        <v>140.55000000000001</v>
      </c>
      <c r="BO1391">
        <v>140.55000000000001</v>
      </c>
      <c r="BQ1391" t="s">
        <v>153</v>
      </c>
      <c r="BR1391" t="s">
        <v>84</v>
      </c>
      <c r="BS1391" s="3">
        <v>45881</v>
      </c>
      <c r="BT1391" s="4">
        <v>0.36666666666666664</v>
      </c>
      <c r="BU1391" t="s">
        <v>995</v>
      </c>
      <c r="BV1391" t="s">
        <v>86</v>
      </c>
      <c r="BY1391">
        <v>88320</v>
      </c>
      <c r="CA1391" t="s">
        <v>155</v>
      </c>
      <c r="CC1391" t="s">
        <v>76</v>
      </c>
      <c r="CD1391">
        <v>1600</v>
      </c>
      <c r="CE1391" t="s">
        <v>147</v>
      </c>
      <c r="CF1391" s="3">
        <v>45881</v>
      </c>
      <c r="CI1391">
        <v>1</v>
      </c>
      <c r="CJ1391">
        <v>1</v>
      </c>
      <c r="CK1391">
        <v>42</v>
      </c>
      <c r="CL1391" t="s">
        <v>90</v>
      </c>
    </row>
    <row r="1392" spans="1:90" x14ac:dyDescent="0.3">
      <c r="A1392" t="s">
        <v>72</v>
      </c>
      <c r="B1392" t="s">
        <v>73</v>
      </c>
      <c r="C1392" t="s">
        <v>74</v>
      </c>
      <c r="E1392" t="str">
        <f>"080067158349"</f>
        <v>080067158349</v>
      </c>
      <c r="F1392" s="3">
        <v>45880</v>
      </c>
      <c r="G1392">
        <v>202605</v>
      </c>
      <c r="H1392" t="s">
        <v>75</v>
      </c>
      <c r="I1392" t="s">
        <v>76</v>
      </c>
      <c r="J1392" t="s">
        <v>77</v>
      </c>
      <c r="K1392" t="s">
        <v>78</v>
      </c>
      <c r="L1392" t="s">
        <v>278</v>
      </c>
      <c r="M1392" t="s">
        <v>279</v>
      </c>
      <c r="N1392" t="s">
        <v>285</v>
      </c>
      <c r="O1392" t="s">
        <v>95</v>
      </c>
      <c r="P1392" t="str">
        <f>"4170054053                    "</f>
        <v xml:space="preserve">4170054053                    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Q1392">
        <v>44.64</v>
      </c>
      <c r="AR1392">
        <v>0</v>
      </c>
      <c r="AS1392">
        <v>0</v>
      </c>
      <c r="AT1392">
        <v>0</v>
      </c>
      <c r="AU1392">
        <v>0</v>
      </c>
      <c r="AV1392">
        <v>0</v>
      </c>
      <c r="AW1392">
        <v>0</v>
      </c>
      <c r="AX1392">
        <v>0</v>
      </c>
      <c r="AY1392">
        <v>0</v>
      </c>
      <c r="AZ1392">
        <v>0</v>
      </c>
      <c r="BA1392">
        <v>0</v>
      </c>
      <c r="BB1392">
        <v>0</v>
      </c>
      <c r="BC1392">
        <v>0</v>
      </c>
      <c r="BD1392">
        <v>0</v>
      </c>
      <c r="BE1392">
        <v>0</v>
      </c>
      <c r="BF1392">
        <v>0</v>
      </c>
      <c r="BG1392">
        <v>0</v>
      </c>
      <c r="BH1392">
        <v>1</v>
      </c>
      <c r="BI1392">
        <v>3</v>
      </c>
      <c r="BJ1392">
        <v>7.2</v>
      </c>
      <c r="BK1392">
        <v>8</v>
      </c>
      <c r="BL1392">
        <v>144.49</v>
      </c>
      <c r="BM1392">
        <v>21.67</v>
      </c>
      <c r="BN1392">
        <v>166.16</v>
      </c>
      <c r="BO1392">
        <v>166.16</v>
      </c>
      <c r="BQ1392" t="s">
        <v>286</v>
      </c>
      <c r="BR1392" t="s">
        <v>84</v>
      </c>
      <c r="BS1392" s="3">
        <v>45881</v>
      </c>
      <c r="BT1392" s="4">
        <v>0.39374999999999999</v>
      </c>
      <c r="BU1392" t="s">
        <v>2109</v>
      </c>
      <c r="BV1392" t="s">
        <v>86</v>
      </c>
      <c r="BY1392">
        <v>35840</v>
      </c>
      <c r="CA1392" t="s">
        <v>288</v>
      </c>
      <c r="CC1392" t="s">
        <v>279</v>
      </c>
      <c r="CD1392" s="5" t="s">
        <v>289</v>
      </c>
      <c r="CE1392" t="s">
        <v>117</v>
      </c>
      <c r="CF1392" s="3">
        <v>45881</v>
      </c>
      <c r="CI1392">
        <v>1</v>
      </c>
      <c r="CJ1392">
        <v>1</v>
      </c>
      <c r="CK1392">
        <v>41</v>
      </c>
      <c r="CL1392" t="s">
        <v>90</v>
      </c>
    </row>
    <row r="1393" spans="1:90" x14ac:dyDescent="0.3">
      <c r="A1393" t="s">
        <v>72</v>
      </c>
      <c r="B1393" t="s">
        <v>73</v>
      </c>
      <c r="C1393" t="s">
        <v>74</v>
      </c>
      <c r="E1393" t="str">
        <f>"080067158383"</f>
        <v>080067158383</v>
      </c>
      <c r="F1393" s="3">
        <v>45880</v>
      </c>
      <c r="G1393">
        <v>202605</v>
      </c>
      <c r="H1393" t="s">
        <v>75</v>
      </c>
      <c r="I1393" t="s">
        <v>76</v>
      </c>
      <c r="J1393" t="s">
        <v>77</v>
      </c>
      <c r="K1393" t="s">
        <v>78</v>
      </c>
      <c r="L1393" t="s">
        <v>123</v>
      </c>
      <c r="M1393" t="s">
        <v>124</v>
      </c>
      <c r="N1393" t="s">
        <v>406</v>
      </c>
      <c r="O1393" t="s">
        <v>82</v>
      </c>
      <c r="P1393" t="str">
        <f>"4170054085                    "</f>
        <v xml:space="preserve">4170054085                    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Q1393">
        <v>23.09</v>
      </c>
      <c r="AR1393">
        <v>0</v>
      </c>
      <c r="AS1393">
        <v>0</v>
      </c>
      <c r="AT1393">
        <v>0</v>
      </c>
      <c r="AU1393">
        <v>0</v>
      </c>
      <c r="AV1393">
        <v>0</v>
      </c>
      <c r="AW1393">
        <v>0</v>
      </c>
      <c r="AX1393">
        <v>0</v>
      </c>
      <c r="AY1393">
        <v>0</v>
      </c>
      <c r="AZ1393">
        <v>0</v>
      </c>
      <c r="BA1393">
        <v>0</v>
      </c>
      <c r="BB1393">
        <v>0</v>
      </c>
      <c r="BC1393">
        <v>0</v>
      </c>
      <c r="BD1393">
        <v>0</v>
      </c>
      <c r="BE1393">
        <v>0</v>
      </c>
      <c r="BF1393">
        <v>0</v>
      </c>
      <c r="BG1393">
        <v>0</v>
      </c>
      <c r="BH1393">
        <v>1</v>
      </c>
      <c r="BI1393">
        <v>2</v>
      </c>
      <c r="BJ1393">
        <v>1.7</v>
      </c>
      <c r="BK1393">
        <v>2</v>
      </c>
      <c r="BL1393">
        <v>71.69</v>
      </c>
      <c r="BM1393">
        <v>10.75</v>
      </c>
      <c r="BN1393">
        <v>82.44</v>
      </c>
      <c r="BO1393">
        <v>82.44</v>
      </c>
      <c r="BQ1393" t="s">
        <v>407</v>
      </c>
      <c r="BR1393" t="s">
        <v>84</v>
      </c>
      <c r="BS1393" s="3">
        <v>45881</v>
      </c>
      <c r="BT1393" s="4">
        <v>0.40972222222222221</v>
      </c>
      <c r="BU1393" t="s">
        <v>408</v>
      </c>
      <c r="BV1393" t="s">
        <v>86</v>
      </c>
      <c r="BY1393">
        <v>8428</v>
      </c>
      <c r="CA1393" t="s">
        <v>192</v>
      </c>
      <c r="CC1393" t="s">
        <v>124</v>
      </c>
      <c r="CD1393">
        <v>7441</v>
      </c>
      <c r="CE1393" t="s">
        <v>117</v>
      </c>
      <c r="CF1393" s="3">
        <v>45882</v>
      </c>
      <c r="CI1393">
        <v>1</v>
      </c>
      <c r="CJ1393">
        <v>1</v>
      </c>
      <c r="CK1393">
        <v>21</v>
      </c>
      <c r="CL1393" t="s">
        <v>90</v>
      </c>
    </row>
    <row r="1394" spans="1:90" x14ac:dyDescent="0.3">
      <c r="A1394" t="s">
        <v>72</v>
      </c>
      <c r="B1394" t="s">
        <v>73</v>
      </c>
      <c r="C1394" t="s">
        <v>74</v>
      </c>
      <c r="E1394" t="str">
        <f>"080067158412"</f>
        <v>080067158412</v>
      </c>
      <c r="F1394" s="3">
        <v>45880</v>
      </c>
      <c r="G1394">
        <v>202605</v>
      </c>
      <c r="H1394" t="s">
        <v>75</v>
      </c>
      <c r="I1394" t="s">
        <v>76</v>
      </c>
      <c r="J1394" t="s">
        <v>77</v>
      </c>
      <c r="K1394" t="s">
        <v>78</v>
      </c>
      <c r="L1394" t="s">
        <v>198</v>
      </c>
      <c r="M1394" t="s">
        <v>199</v>
      </c>
      <c r="N1394" t="s">
        <v>1628</v>
      </c>
      <c r="O1394" t="s">
        <v>82</v>
      </c>
      <c r="P1394" t="str">
        <f>"4170054094                    "</f>
        <v xml:space="preserve">4170054094                    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Q1394">
        <v>34.619999999999997</v>
      </c>
      <c r="AR1394">
        <v>0</v>
      </c>
      <c r="AS1394">
        <v>0</v>
      </c>
      <c r="AT1394">
        <v>0</v>
      </c>
      <c r="AU1394">
        <v>0</v>
      </c>
      <c r="AV1394">
        <v>0</v>
      </c>
      <c r="AW1394">
        <v>0</v>
      </c>
      <c r="AX1394">
        <v>0</v>
      </c>
      <c r="AY1394">
        <v>0</v>
      </c>
      <c r="AZ1394">
        <v>0</v>
      </c>
      <c r="BA1394">
        <v>0</v>
      </c>
      <c r="BB1394">
        <v>0</v>
      </c>
      <c r="BC1394">
        <v>0</v>
      </c>
      <c r="BD1394">
        <v>0</v>
      </c>
      <c r="BE1394">
        <v>0</v>
      </c>
      <c r="BF1394">
        <v>0</v>
      </c>
      <c r="BG1394">
        <v>0</v>
      </c>
      <c r="BH1394">
        <v>1</v>
      </c>
      <c r="BI1394">
        <v>3</v>
      </c>
      <c r="BJ1394">
        <v>1.7</v>
      </c>
      <c r="BK1394">
        <v>3</v>
      </c>
      <c r="BL1394">
        <v>107.5</v>
      </c>
      <c r="BM1394">
        <v>16.13</v>
      </c>
      <c r="BN1394">
        <v>123.63</v>
      </c>
      <c r="BO1394">
        <v>123.63</v>
      </c>
      <c r="BQ1394" t="s">
        <v>1629</v>
      </c>
      <c r="BR1394" t="s">
        <v>84</v>
      </c>
      <c r="BS1394" s="3">
        <v>45881</v>
      </c>
      <c r="BT1394" s="4">
        <v>0.41805555555555557</v>
      </c>
      <c r="BU1394" t="s">
        <v>1022</v>
      </c>
      <c r="BV1394" t="s">
        <v>86</v>
      </c>
      <c r="BY1394">
        <v>8428</v>
      </c>
      <c r="CA1394" t="s">
        <v>1570</v>
      </c>
      <c r="CC1394" t="s">
        <v>199</v>
      </c>
      <c r="CD1394">
        <v>6001</v>
      </c>
      <c r="CE1394" t="s">
        <v>117</v>
      </c>
      <c r="CF1394" s="3">
        <v>45881</v>
      </c>
      <c r="CI1394">
        <v>1</v>
      </c>
      <c r="CJ1394">
        <v>1</v>
      </c>
      <c r="CK1394">
        <v>21</v>
      </c>
      <c r="CL1394" t="s">
        <v>90</v>
      </c>
    </row>
    <row r="1395" spans="1:90" x14ac:dyDescent="0.3">
      <c r="A1395" t="s">
        <v>72</v>
      </c>
      <c r="B1395" t="s">
        <v>73</v>
      </c>
      <c r="C1395" t="s">
        <v>74</v>
      </c>
      <c r="E1395" t="str">
        <f>"080067158489"</f>
        <v>080067158489</v>
      </c>
      <c r="F1395" s="3">
        <v>45880</v>
      </c>
      <c r="G1395">
        <v>202605</v>
      </c>
      <c r="H1395" t="s">
        <v>75</v>
      </c>
      <c r="I1395" t="s">
        <v>76</v>
      </c>
      <c r="J1395" t="s">
        <v>77</v>
      </c>
      <c r="K1395" t="s">
        <v>78</v>
      </c>
      <c r="L1395" t="s">
        <v>118</v>
      </c>
      <c r="M1395" t="s">
        <v>118</v>
      </c>
      <c r="N1395" t="s">
        <v>466</v>
      </c>
      <c r="O1395" t="s">
        <v>82</v>
      </c>
      <c r="P1395" t="str">
        <f>"4170054087                    "</f>
        <v xml:space="preserve">4170054087                    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>
        <v>246.7</v>
      </c>
      <c r="AR1395">
        <v>0</v>
      </c>
      <c r="AS1395">
        <v>0</v>
      </c>
      <c r="AT1395">
        <v>0</v>
      </c>
      <c r="AU1395">
        <v>0</v>
      </c>
      <c r="AV1395">
        <v>0</v>
      </c>
      <c r="AW1395">
        <v>0</v>
      </c>
      <c r="AX1395">
        <v>0</v>
      </c>
      <c r="AY1395">
        <v>0</v>
      </c>
      <c r="AZ1395">
        <v>0</v>
      </c>
      <c r="BA1395">
        <v>0</v>
      </c>
      <c r="BB1395">
        <v>0</v>
      </c>
      <c r="BC1395">
        <v>0</v>
      </c>
      <c r="BD1395">
        <v>0</v>
      </c>
      <c r="BE1395">
        <v>0</v>
      </c>
      <c r="BF1395">
        <v>0</v>
      </c>
      <c r="BG1395">
        <v>0</v>
      </c>
      <c r="BH1395">
        <v>1</v>
      </c>
      <c r="BI1395">
        <v>12</v>
      </c>
      <c r="BJ1395">
        <v>3.8</v>
      </c>
      <c r="BK1395">
        <v>12</v>
      </c>
      <c r="BL1395">
        <v>766.06</v>
      </c>
      <c r="BM1395">
        <v>114.91</v>
      </c>
      <c r="BN1395">
        <v>880.97</v>
      </c>
      <c r="BO1395">
        <v>880.97</v>
      </c>
      <c r="BQ1395" t="s">
        <v>467</v>
      </c>
      <c r="BR1395" t="s">
        <v>84</v>
      </c>
      <c r="BS1395" s="3">
        <v>45881</v>
      </c>
      <c r="BT1395" s="4">
        <v>0.53263888888888888</v>
      </c>
      <c r="BU1395" t="s">
        <v>468</v>
      </c>
      <c r="BV1395" t="s">
        <v>86</v>
      </c>
      <c r="BY1395">
        <v>19040</v>
      </c>
      <c r="CA1395" t="s">
        <v>122</v>
      </c>
      <c r="CC1395" t="s">
        <v>118</v>
      </c>
      <c r="CD1395">
        <v>7646</v>
      </c>
      <c r="CE1395" t="s">
        <v>147</v>
      </c>
      <c r="CF1395" s="3">
        <v>45883</v>
      </c>
      <c r="CI1395">
        <v>1</v>
      </c>
      <c r="CJ1395">
        <v>1</v>
      </c>
      <c r="CK1395">
        <v>23</v>
      </c>
      <c r="CL1395" t="s">
        <v>90</v>
      </c>
    </row>
    <row r="1396" spans="1:90" x14ac:dyDescent="0.3">
      <c r="A1396" t="s">
        <v>72</v>
      </c>
      <c r="B1396" t="s">
        <v>73</v>
      </c>
      <c r="C1396" t="s">
        <v>74</v>
      </c>
      <c r="E1396" t="str">
        <f>"080067158521"</f>
        <v>080067158521</v>
      </c>
      <c r="F1396" s="3">
        <v>45880</v>
      </c>
      <c r="G1396">
        <v>202605</v>
      </c>
      <c r="H1396" t="s">
        <v>75</v>
      </c>
      <c r="I1396" t="s">
        <v>76</v>
      </c>
      <c r="J1396" t="s">
        <v>77</v>
      </c>
      <c r="K1396" t="s">
        <v>78</v>
      </c>
      <c r="L1396" t="s">
        <v>452</v>
      </c>
      <c r="M1396" t="s">
        <v>453</v>
      </c>
      <c r="N1396" t="s">
        <v>454</v>
      </c>
      <c r="O1396" t="s">
        <v>82</v>
      </c>
      <c r="P1396" t="str">
        <f>"4170054047                    "</f>
        <v xml:space="preserve">4170054047                    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Q1396">
        <v>44.73</v>
      </c>
      <c r="AR1396">
        <v>0</v>
      </c>
      <c r="AS1396">
        <v>0</v>
      </c>
      <c r="AT1396">
        <v>0</v>
      </c>
      <c r="AU1396">
        <v>0</v>
      </c>
      <c r="AV1396">
        <v>0</v>
      </c>
      <c r="AW1396">
        <v>0</v>
      </c>
      <c r="AX1396">
        <v>0</v>
      </c>
      <c r="AY1396">
        <v>0</v>
      </c>
      <c r="AZ1396">
        <v>0</v>
      </c>
      <c r="BA1396">
        <v>0</v>
      </c>
      <c r="BB1396">
        <v>0</v>
      </c>
      <c r="BC1396">
        <v>0</v>
      </c>
      <c r="BD1396">
        <v>0</v>
      </c>
      <c r="BE1396">
        <v>0</v>
      </c>
      <c r="BF1396">
        <v>0</v>
      </c>
      <c r="BG1396">
        <v>0</v>
      </c>
      <c r="BH1396">
        <v>1</v>
      </c>
      <c r="BI1396">
        <v>1</v>
      </c>
      <c r="BJ1396">
        <v>0.2</v>
      </c>
      <c r="BK1396">
        <v>1</v>
      </c>
      <c r="BL1396">
        <v>138.88999999999999</v>
      </c>
      <c r="BM1396">
        <v>20.83</v>
      </c>
      <c r="BN1396">
        <v>159.72</v>
      </c>
      <c r="BO1396">
        <v>159.72</v>
      </c>
      <c r="BQ1396" t="s">
        <v>455</v>
      </c>
      <c r="BR1396" t="s">
        <v>84</v>
      </c>
      <c r="BS1396" s="3">
        <v>45881</v>
      </c>
      <c r="BT1396" s="4">
        <v>0.3527777777777778</v>
      </c>
      <c r="BU1396" t="s">
        <v>483</v>
      </c>
      <c r="BV1396" t="s">
        <v>86</v>
      </c>
      <c r="BY1396">
        <v>1200</v>
      </c>
      <c r="CA1396" t="s">
        <v>1093</v>
      </c>
      <c r="CC1396" t="s">
        <v>453</v>
      </c>
      <c r="CD1396">
        <v>1947</v>
      </c>
      <c r="CE1396" t="s">
        <v>109</v>
      </c>
      <c r="CF1396" s="3">
        <v>45882</v>
      </c>
      <c r="CI1396">
        <v>1</v>
      </c>
      <c r="CJ1396">
        <v>1</v>
      </c>
      <c r="CK1396">
        <v>23</v>
      </c>
      <c r="CL1396" t="s">
        <v>90</v>
      </c>
    </row>
    <row r="1397" spans="1:90" x14ac:dyDescent="0.3">
      <c r="A1397" t="s">
        <v>72</v>
      </c>
      <c r="B1397" t="s">
        <v>73</v>
      </c>
      <c r="C1397" t="s">
        <v>74</v>
      </c>
      <c r="E1397" t="str">
        <f>"080067158539"</f>
        <v>080067158539</v>
      </c>
      <c r="F1397" s="3">
        <v>45880</v>
      </c>
      <c r="G1397">
        <v>202605</v>
      </c>
      <c r="H1397" t="s">
        <v>75</v>
      </c>
      <c r="I1397" t="s">
        <v>76</v>
      </c>
      <c r="J1397" t="s">
        <v>77</v>
      </c>
      <c r="K1397" t="s">
        <v>78</v>
      </c>
      <c r="L1397" t="s">
        <v>278</v>
      </c>
      <c r="M1397" t="s">
        <v>279</v>
      </c>
      <c r="N1397" t="s">
        <v>508</v>
      </c>
      <c r="O1397" t="s">
        <v>82</v>
      </c>
      <c r="P1397" t="str">
        <f>"4170054035                    "</f>
        <v xml:space="preserve">4170054035                    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Q1397">
        <v>23.09</v>
      </c>
      <c r="AR1397">
        <v>0</v>
      </c>
      <c r="AS1397">
        <v>0</v>
      </c>
      <c r="AT1397">
        <v>0</v>
      </c>
      <c r="AU1397">
        <v>0</v>
      </c>
      <c r="AV1397">
        <v>0</v>
      </c>
      <c r="AW1397">
        <v>0</v>
      </c>
      <c r="AX1397">
        <v>0</v>
      </c>
      <c r="AY1397">
        <v>0</v>
      </c>
      <c r="AZ1397">
        <v>0</v>
      </c>
      <c r="BA1397">
        <v>0</v>
      </c>
      <c r="BB1397">
        <v>0</v>
      </c>
      <c r="BC1397">
        <v>0</v>
      </c>
      <c r="BD1397">
        <v>0</v>
      </c>
      <c r="BE1397">
        <v>0</v>
      </c>
      <c r="BF1397">
        <v>0</v>
      </c>
      <c r="BG1397">
        <v>0</v>
      </c>
      <c r="BH1397">
        <v>1</v>
      </c>
      <c r="BI1397">
        <v>1</v>
      </c>
      <c r="BJ1397">
        <v>0.2</v>
      </c>
      <c r="BK1397">
        <v>1</v>
      </c>
      <c r="BL1397">
        <v>71.69</v>
      </c>
      <c r="BM1397">
        <v>10.75</v>
      </c>
      <c r="BN1397">
        <v>82.44</v>
      </c>
      <c r="BO1397">
        <v>82.44</v>
      </c>
      <c r="BQ1397" t="s">
        <v>509</v>
      </c>
      <c r="BR1397" t="s">
        <v>84</v>
      </c>
      <c r="BS1397" s="3">
        <v>45881</v>
      </c>
      <c r="BT1397" s="4">
        <v>0.40972222222222221</v>
      </c>
      <c r="BU1397" t="s">
        <v>510</v>
      </c>
      <c r="BV1397" t="s">
        <v>86</v>
      </c>
      <c r="BY1397">
        <v>1200</v>
      </c>
      <c r="CA1397" t="s">
        <v>2067</v>
      </c>
      <c r="CC1397" t="s">
        <v>279</v>
      </c>
      <c r="CD1397" s="5" t="s">
        <v>512</v>
      </c>
      <c r="CE1397" t="s">
        <v>109</v>
      </c>
      <c r="CF1397" s="3">
        <v>45881</v>
      </c>
      <c r="CI1397">
        <v>1</v>
      </c>
      <c r="CJ1397">
        <v>1</v>
      </c>
      <c r="CK1397">
        <v>21</v>
      </c>
      <c r="CL1397" t="s">
        <v>90</v>
      </c>
    </row>
    <row r="1398" spans="1:90" x14ac:dyDescent="0.3">
      <c r="A1398" t="s">
        <v>72</v>
      </c>
      <c r="B1398" t="s">
        <v>73</v>
      </c>
      <c r="C1398" t="s">
        <v>74</v>
      </c>
      <c r="E1398" t="str">
        <f>"080067158603"</f>
        <v>080067158603</v>
      </c>
      <c r="F1398" s="3">
        <v>45880</v>
      </c>
      <c r="G1398">
        <v>202605</v>
      </c>
      <c r="H1398" t="s">
        <v>75</v>
      </c>
      <c r="I1398" t="s">
        <v>76</v>
      </c>
      <c r="J1398" t="s">
        <v>77</v>
      </c>
      <c r="K1398" t="s">
        <v>78</v>
      </c>
      <c r="L1398" t="s">
        <v>137</v>
      </c>
      <c r="M1398" t="s">
        <v>138</v>
      </c>
      <c r="N1398" t="s">
        <v>261</v>
      </c>
      <c r="O1398" t="s">
        <v>82</v>
      </c>
      <c r="P1398" t="str">
        <f>"4170054013                    "</f>
        <v xml:space="preserve">4170054013                    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>
        <v>46.15</v>
      </c>
      <c r="AR1398">
        <v>0</v>
      </c>
      <c r="AS1398">
        <v>0</v>
      </c>
      <c r="AT1398">
        <v>0</v>
      </c>
      <c r="AU1398">
        <v>0</v>
      </c>
      <c r="AV1398">
        <v>0</v>
      </c>
      <c r="AW1398">
        <v>0</v>
      </c>
      <c r="AX1398">
        <v>0</v>
      </c>
      <c r="AY1398">
        <v>0</v>
      </c>
      <c r="AZ1398">
        <v>0</v>
      </c>
      <c r="BA1398">
        <v>0</v>
      </c>
      <c r="BB1398">
        <v>0</v>
      </c>
      <c r="BC1398">
        <v>0</v>
      </c>
      <c r="BD1398">
        <v>0</v>
      </c>
      <c r="BE1398">
        <v>0</v>
      </c>
      <c r="BF1398">
        <v>0</v>
      </c>
      <c r="BG1398">
        <v>0</v>
      </c>
      <c r="BH1398">
        <v>1</v>
      </c>
      <c r="BI1398">
        <v>4</v>
      </c>
      <c r="BJ1398">
        <v>1.8</v>
      </c>
      <c r="BK1398">
        <v>4</v>
      </c>
      <c r="BL1398">
        <v>143.31</v>
      </c>
      <c r="BM1398">
        <v>21.5</v>
      </c>
      <c r="BN1398">
        <v>164.81</v>
      </c>
      <c r="BO1398">
        <v>164.81</v>
      </c>
      <c r="BQ1398" t="s">
        <v>262</v>
      </c>
      <c r="BR1398" t="s">
        <v>84</v>
      </c>
      <c r="BS1398" s="3">
        <v>45881</v>
      </c>
      <c r="BT1398" s="4">
        <v>0.38055555555555554</v>
      </c>
      <c r="BU1398" t="s">
        <v>263</v>
      </c>
      <c r="BV1398" t="s">
        <v>86</v>
      </c>
      <c r="BY1398">
        <v>9044</v>
      </c>
      <c r="CA1398" t="s">
        <v>264</v>
      </c>
      <c r="CC1398" t="s">
        <v>138</v>
      </c>
      <c r="CD1398">
        <v>3608</v>
      </c>
      <c r="CE1398" t="s">
        <v>147</v>
      </c>
      <c r="CF1398" s="3">
        <v>45882</v>
      </c>
      <c r="CI1398">
        <v>1</v>
      </c>
      <c r="CJ1398">
        <v>1</v>
      </c>
      <c r="CK1398">
        <v>21</v>
      </c>
      <c r="CL1398" t="s">
        <v>90</v>
      </c>
    </row>
    <row r="1399" spans="1:90" x14ac:dyDescent="0.3">
      <c r="A1399" t="s">
        <v>72</v>
      </c>
      <c r="B1399" t="s">
        <v>73</v>
      </c>
      <c r="C1399" t="s">
        <v>74</v>
      </c>
      <c r="E1399" t="str">
        <f>"080067158628"</f>
        <v>080067158628</v>
      </c>
      <c r="F1399" s="3">
        <v>45880</v>
      </c>
      <c r="G1399">
        <v>202605</v>
      </c>
      <c r="H1399" t="s">
        <v>75</v>
      </c>
      <c r="I1399" t="s">
        <v>76</v>
      </c>
      <c r="J1399" t="s">
        <v>77</v>
      </c>
      <c r="K1399" t="s">
        <v>78</v>
      </c>
      <c r="L1399" t="s">
        <v>137</v>
      </c>
      <c r="M1399" t="s">
        <v>138</v>
      </c>
      <c r="N1399" t="s">
        <v>505</v>
      </c>
      <c r="O1399" t="s">
        <v>82</v>
      </c>
      <c r="P1399" t="str">
        <f>"4170054128                    "</f>
        <v xml:space="preserve">4170054128                    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Q1399">
        <v>23.09</v>
      </c>
      <c r="AR1399">
        <v>0</v>
      </c>
      <c r="AS1399">
        <v>0</v>
      </c>
      <c r="AT1399">
        <v>0</v>
      </c>
      <c r="AU1399">
        <v>0</v>
      </c>
      <c r="AV1399">
        <v>0</v>
      </c>
      <c r="AW1399">
        <v>0</v>
      </c>
      <c r="AX1399">
        <v>0</v>
      </c>
      <c r="AY1399">
        <v>0</v>
      </c>
      <c r="AZ1399">
        <v>0</v>
      </c>
      <c r="BA1399">
        <v>0</v>
      </c>
      <c r="BB1399">
        <v>0</v>
      </c>
      <c r="BC1399">
        <v>0</v>
      </c>
      <c r="BD1399">
        <v>0</v>
      </c>
      <c r="BE1399">
        <v>0</v>
      </c>
      <c r="BF1399">
        <v>0</v>
      </c>
      <c r="BG1399">
        <v>0</v>
      </c>
      <c r="BH1399">
        <v>1</v>
      </c>
      <c r="BI1399">
        <v>1</v>
      </c>
      <c r="BJ1399">
        <v>0.2</v>
      </c>
      <c r="BK1399">
        <v>1</v>
      </c>
      <c r="BL1399">
        <v>71.69</v>
      </c>
      <c r="BM1399">
        <v>10.75</v>
      </c>
      <c r="BN1399">
        <v>82.44</v>
      </c>
      <c r="BO1399">
        <v>82.44</v>
      </c>
      <c r="BQ1399" t="s">
        <v>506</v>
      </c>
      <c r="BR1399" t="s">
        <v>84</v>
      </c>
      <c r="BS1399" s="3">
        <v>45881</v>
      </c>
      <c r="BT1399" s="4">
        <v>0.4284722222222222</v>
      </c>
      <c r="BU1399" t="s">
        <v>1429</v>
      </c>
      <c r="BV1399" t="s">
        <v>86</v>
      </c>
      <c r="BY1399">
        <v>1200</v>
      </c>
      <c r="CA1399" t="s">
        <v>264</v>
      </c>
      <c r="CC1399" t="s">
        <v>138</v>
      </c>
      <c r="CD1399">
        <v>3600</v>
      </c>
      <c r="CE1399" t="s">
        <v>109</v>
      </c>
      <c r="CF1399" s="3">
        <v>45882</v>
      </c>
      <c r="CI1399">
        <v>1</v>
      </c>
      <c r="CJ1399">
        <v>1</v>
      </c>
      <c r="CK1399">
        <v>21</v>
      </c>
      <c r="CL1399" t="s">
        <v>90</v>
      </c>
    </row>
    <row r="1400" spans="1:90" x14ac:dyDescent="0.3">
      <c r="A1400" t="s">
        <v>72</v>
      </c>
      <c r="B1400" t="s">
        <v>73</v>
      </c>
      <c r="C1400" t="s">
        <v>74</v>
      </c>
      <c r="E1400" t="str">
        <f>"080067159777"</f>
        <v>080067159777</v>
      </c>
      <c r="F1400" s="3">
        <v>45880</v>
      </c>
      <c r="G1400">
        <v>202605</v>
      </c>
      <c r="H1400" t="s">
        <v>75</v>
      </c>
      <c r="I1400" t="s">
        <v>76</v>
      </c>
      <c r="J1400" t="s">
        <v>77</v>
      </c>
      <c r="K1400" t="s">
        <v>78</v>
      </c>
      <c r="L1400" t="s">
        <v>278</v>
      </c>
      <c r="M1400" t="s">
        <v>279</v>
      </c>
      <c r="N1400" t="s">
        <v>131</v>
      </c>
      <c r="O1400" t="s">
        <v>82</v>
      </c>
      <c r="P1400" t="str">
        <f>"4170054010                    "</f>
        <v xml:space="preserve">4170054010                    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>
        <v>23.09</v>
      </c>
      <c r="AR1400">
        <v>0</v>
      </c>
      <c r="AS1400">
        <v>0</v>
      </c>
      <c r="AT1400">
        <v>0</v>
      </c>
      <c r="AU1400">
        <v>0</v>
      </c>
      <c r="AV1400">
        <v>0</v>
      </c>
      <c r="AW1400">
        <v>0</v>
      </c>
      <c r="AX1400">
        <v>0</v>
      </c>
      <c r="AY1400">
        <v>0</v>
      </c>
      <c r="AZ1400">
        <v>0</v>
      </c>
      <c r="BA1400">
        <v>0</v>
      </c>
      <c r="BB1400">
        <v>0</v>
      </c>
      <c r="BC1400">
        <v>0</v>
      </c>
      <c r="BD1400">
        <v>0</v>
      </c>
      <c r="BE1400">
        <v>0</v>
      </c>
      <c r="BF1400">
        <v>0</v>
      </c>
      <c r="BG1400">
        <v>0</v>
      </c>
      <c r="BH1400">
        <v>1</v>
      </c>
      <c r="BI1400">
        <v>1</v>
      </c>
      <c r="BJ1400">
        <v>0.2</v>
      </c>
      <c r="BK1400">
        <v>1</v>
      </c>
      <c r="BL1400">
        <v>71.69</v>
      </c>
      <c r="BM1400">
        <v>10.75</v>
      </c>
      <c r="BN1400">
        <v>82.44</v>
      </c>
      <c r="BO1400">
        <v>82.44</v>
      </c>
      <c r="BQ1400" t="s">
        <v>132</v>
      </c>
      <c r="BR1400" t="s">
        <v>84</v>
      </c>
      <c r="BS1400" s="3">
        <v>45881</v>
      </c>
      <c r="BT1400" s="4">
        <v>0.42916666666666664</v>
      </c>
      <c r="BU1400" t="s">
        <v>531</v>
      </c>
      <c r="BV1400" t="s">
        <v>86</v>
      </c>
      <c r="BY1400">
        <v>1200</v>
      </c>
      <c r="CA1400" t="s">
        <v>532</v>
      </c>
      <c r="CC1400" t="s">
        <v>279</v>
      </c>
      <c r="CD1400" s="5" t="s">
        <v>533</v>
      </c>
      <c r="CE1400" t="s">
        <v>109</v>
      </c>
      <c r="CF1400" s="3">
        <v>45881</v>
      </c>
      <c r="CI1400">
        <v>1</v>
      </c>
      <c r="CJ1400">
        <v>1</v>
      </c>
      <c r="CK1400">
        <v>21</v>
      </c>
      <c r="CL1400" t="s">
        <v>90</v>
      </c>
    </row>
    <row r="1401" spans="1:90" x14ac:dyDescent="0.3">
      <c r="A1401" t="s">
        <v>72</v>
      </c>
      <c r="B1401" t="s">
        <v>73</v>
      </c>
      <c r="C1401" t="s">
        <v>74</v>
      </c>
      <c r="E1401" t="str">
        <f>"080067159801"</f>
        <v>080067159801</v>
      </c>
      <c r="F1401" s="3">
        <v>45880</v>
      </c>
      <c r="G1401">
        <v>202605</v>
      </c>
      <c r="H1401" t="s">
        <v>75</v>
      </c>
      <c r="I1401" t="s">
        <v>76</v>
      </c>
      <c r="J1401" t="s">
        <v>77</v>
      </c>
      <c r="K1401" t="s">
        <v>78</v>
      </c>
      <c r="L1401" t="s">
        <v>110</v>
      </c>
      <c r="M1401" t="s">
        <v>111</v>
      </c>
      <c r="N1401" t="s">
        <v>2110</v>
      </c>
      <c r="O1401" t="s">
        <v>82</v>
      </c>
      <c r="P1401" t="str">
        <f>"4170054083                    "</f>
        <v xml:space="preserve">4170054083                    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Q1401">
        <v>18.03</v>
      </c>
      <c r="AR1401">
        <v>0</v>
      </c>
      <c r="AS1401">
        <v>0</v>
      </c>
      <c r="AT1401">
        <v>0</v>
      </c>
      <c r="AU1401">
        <v>0</v>
      </c>
      <c r="AV1401">
        <v>0</v>
      </c>
      <c r="AW1401">
        <v>0</v>
      </c>
      <c r="AX1401">
        <v>0</v>
      </c>
      <c r="AY1401">
        <v>0</v>
      </c>
      <c r="AZ1401">
        <v>0</v>
      </c>
      <c r="BA1401">
        <v>0</v>
      </c>
      <c r="BB1401">
        <v>0</v>
      </c>
      <c r="BC1401">
        <v>0</v>
      </c>
      <c r="BD1401">
        <v>0</v>
      </c>
      <c r="BE1401">
        <v>0</v>
      </c>
      <c r="BF1401">
        <v>0</v>
      </c>
      <c r="BG1401">
        <v>0</v>
      </c>
      <c r="BH1401">
        <v>1</v>
      </c>
      <c r="BI1401">
        <v>1</v>
      </c>
      <c r="BJ1401">
        <v>1.9</v>
      </c>
      <c r="BK1401">
        <v>2</v>
      </c>
      <c r="BL1401">
        <v>55.99</v>
      </c>
      <c r="BM1401">
        <v>8.4</v>
      </c>
      <c r="BN1401">
        <v>64.39</v>
      </c>
      <c r="BO1401">
        <v>64.39</v>
      </c>
      <c r="BQ1401" t="s">
        <v>2111</v>
      </c>
      <c r="BR1401" t="s">
        <v>84</v>
      </c>
      <c r="BS1401" s="3">
        <v>45881</v>
      </c>
      <c r="BT1401" s="4">
        <v>0.3659722222222222</v>
      </c>
      <c r="BU1401" t="s">
        <v>2112</v>
      </c>
      <c r="BV1401" t="s">
        <v>86</v>
      </c>
      <c r="BY1401">
        <v>9600</v>
      </c>
      <c r="CA1401" t="s">
        <v>1896</v>
      </c>
      <c r="CC1401" t="s">
        <v>111</v>
      </c>
      <c r="CD1401">
        <v>2170</v>
      </c>
      <c r="CE1401" t="s">
        <v>147</v>
      </c>
      <c r="CF1401" s="3">
        <v>45881</v>
      </c>
      <c r="CI1401">
        <v>1</v>
      </c>
      <c r="CJ1401">
        <v>1</v>
      </c>
      <c r="CK1401">
        <v>22</v>
      </c>
      <c r="CL1401" t="s">
        <v>90</v>
      </c>
    </row>
    <row r="1402" spans="1:90" x14ac:dyDescent="0.3">
      <c r="A1402" t="s">
        <v>72</v>
      </c>
      <c r="B1402" t="s">
        <v>73</v>
      </c>
      <c r="C1402" t="s">
        <v>74</v>
      </c>
      <c r="E1402" t="str">
        <f>"080067159805"</f>
        <v>080067159805</v>
      </c>
      <c r="F1402" s="3">
        <v>45880</v>
      </c>
      <c r="G1402">
        <v>202605</v>
      </c>
      <c r="H1402" t="s">
        <v>75</v>
      </c>
      <c r="I1402" t="s">
        <v>76</v>
      </c>
      <c r="J1402" t="s">
        <v>77</v>
      </c>
      <c r="K1402" t="s">
        <v>78</v>
      </c>
      <c r="L1402" t="s">
        <v>179</v>
      </c>
      <c r="M1402" t="s">
        <v>180</v>
      </c>
      <c r="N1402" t="s">
        <v>2113</v>
      </c>
      <c r="O1402" t="s">
        <v>82</v>
      </c>
      <c r="P1402" t="str">
        <f>"4170054105                    "</f>
        <v xml:space="preserve">4170054105                    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>
        <v>32.47</v>
      </c>
      <c r="AR1402">
        <v>0</v>
      </c>
      <c r="AS1402">
        <v>0</v>
      </c>
      <c r="AT1402">
        <v>0</v>
      </c>
      <c r="AU1402">
        <v>0</v>
      </c>
      <c r="AV1402">
        <v>0</v>
      </c>
      <c r="AW1402">
        <v>0</v>
      </c>
      <c r="AX1402">
        <v>0</v>
      </c>
      <c r="AY1402">
        <v>0</v>
      </c>
      <c r="AZ1402">
        <v>0</v>
      </c>
      <c r="BA1402">
        <v>0</v>
      </c>
      <c r="BB1402">
        <v>0</v>
      </c>
      <c r="BC1402">
        <v>0</v>
      </c>
      <c r="BD1402">
        <v>0</v>
      </c>
      <c r="BE1402">
        <v>0</v>
      </c>
      <c r="BF1402">
        <v>0</v>
      </c>
      <c r="BG1402">
        <v>0</v>
      </c>
      <c r="BH1402">
        <v>1</v>
      </c>
      <c r="BI1402">
        <v>1</v>
      </c>
      <c r="BJ1402">
        <v>0.2</v>
      </c>
      <c r="BK1402">
        <v>1</v>
      </c>
      <c r="BL1402">
        <v>100.82</v>
      </c>
      <c r="BM1402">
        <v>15.12</v>
      </c>
      <c r="BN1402">
        <v>115.94</v>
      </c>
      <c r="BO1402">
        <v>115.94</v>
      </c>
      <c r="BQ1402" t="s">
        <v>2114</v>
      </c>
      <c r="BR1402" t="s">
        <v>84</v>
      </c>
      <c r="BS1402" s="3">
        <v>45881</v>
      </c>
      <c r="BT1402" s="4">
        <v>0.52222222222222225</v>
      </c>
      <c r="BU1402" t="s">
        <v>2115</v>
      </c>
      <c r="BV1402" t="s">
        <v>86</v>
      </c>
      <c r="BY1402">
        <v>1200</v>
      </c>
      <c r="CC1402" t="s">
        <v>180</v>
      </c>
      <c r="CD1402">
        <v>1739</v>
      </c>
      <c r="CE1402" t="s">
        <v>109</v>
      </c>
      <c r="CF1402" s="3">
        <v>45882</v>
      </c>
      <c r="CI1402">
        <v>1</v>
      </c>
      <c r="CJ1402">
        <v>1</v>
      </c>
      <c r="CK1402">
        <v>24</v>
      </c>
      <c r="CL1402" t="s">
        <v>90</v>
      </c>
    </row>
    <row r="1403" spans="1:90" x14ac:dyDescent="0.3">
      <c r="A1403" t="s">
        <v>72</v>
      </c>
      <c r="B1403" t="s">
        <v>73</v>
      </c>
      <c r="C1403" t="s">
        <v>74</v>
      </c>
      <c r="E1403" t="str">
        <f>"080067159825"</f>
        <v>080067159825</v>
      </c>
      <c r="F1403" s="3">
        <v>45880</v>
      </c>
      <c r="G1403">
        <v>202605</v>
      </c>
      <c r="H1403" t="s">
        <v>75</v>
      </c>
      <c r="I1403" t="s">
        <v>76</v>
      </c>
      <c r="J1403" t="s">
        <v>77</v>
      </c>
      <c r="K1403" t="s">
        <v>78</v>
      </c>
      <c r="L1403" t="s">
        <v>234</v>
      </c>
      <c r="M1403" t="s">
        <v>235</v>
      </c>
      <c r="N1403" t="s">
        <v>236</v>
      </c>
      <c r="O1403" t="s">
        <v>82</v>
      </c>
      <c r="P1403" t="str">
        <f>"4170054030                    "</f>
        <v xml:space="preserve">4170054030                    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>
        <v>23.09</v>
      </c>
      <c r="AR1403">
        <v>0</v>
      </c>
      <c r="AS1403">
        <v>0</v>
      </c>
      <c r="AT1403">
        <v>0</v>
      </c>
      <c r="AU1403">
        <v>0</v>
      </c>
      <c r="AV1403">
        <v>0</v>
      </c>
      <c r="AW1403">
        <v>0</v>
      </c>
      <c r="AX1403">
        <v>0</v>
      </c>
      <c r="AY1403">
        <v>0</v>
      </c>
      <c r="AZ1403">
        <v>0</v>
      </c>
      <c r="BA1403">
        <v>0</v>
      </c>
      <c r="BB1403">
        <v>0</v>
      </c>
      <c r="BC1403">
        <v>0</v>
      </c>
      <c r="BD1403">
        <v>0</v>
      </c>
      <c r="BE1403">
        <v>0</v>
      </c>
      <c r="BF1403">
        <v>0</v>
      </c>
      <c r="BG1403">
        <v>0</v>
      </c>
      <c r="BH1403">
        <v>1</v>
      </c>
      <c r="BI1403">
        <v>2</v>
      </c>
      <c r="BJ1403">
        <v>0.6</v>
      </c>
      <c r="BK1403">
        <v>2</v>
      </c>
      <c r="BL1403">
        <v>71.69</v>
      </c>
      <c r="BM1403">
        <v>10.75</v>
      </c>
      <c r="BN1403">
        <v>82.44</v>
      </c>
      <c r="BO1403">
        <v>82.44</v>
      </c>
      <c r="BQ1403" t="s">
        <v>237</v>
      </c>
      <c r="BR1403" t="s">
        <v>84</v>
      </c>
      <c r="BS1403" s="3">
        <v>45881</v>
      </c>
      <c r="BT1403" s="4">
        <v>0.38680555555555557</v>
      </c>
      <c r="BU1403" t="s">
        <v>2116</v>
      </c>
      <c r="BV1403" t="s">
        <v>86</v>
      </c>
      <c r="BY1403">
        <v>3192</v>
      </c>
      <c r="CA1403" t="s">
        <v>2117</v>
      </c>
      <c r="CC1403" t="s">
        <v>235</v>
      </c>
      <c r="CD1403" s="5" t="s">
        <v>240</v>
      </c>
      <c r="CE1403" t="s">
        <v>147</v>
      </c>
      <c r="CF1403" s="3">
        <v>45883</v>
      </c>
      <c r="CI1403">
        <v>1</v>
      </c>
      <c r="CJ1403">
        <v>1</v>
      </c>
      <c r="CK1403">
        <v>21</v>
      </c>
      <c r="CL1403" t="s">
        <v>90</v>
      </c>
    </row>
    <row r="1404" spans="1:90" x14ac:dyDescent="0.3">
      <c r="A1404" t="s">
        <v>72</v>
      </c>
      <c r="B1404" t="s">
        <v>73</v>
      </c>
      <c r="C1404" t="s">
        <v>74</v>
      </c>
      <c r="E1404" t="str">
        <f>"080067159838"</f>
        <v>080067159838</v>
      </c>
      <c r="F1404" s="3">
        <v>45880</v>
      </c>
      <c r="G1404">
        <v>202605</v>
      </c>
      <c r="H1404" t="s">
        <v>75</v>
      </c>
      <c r="I1404" t="s">
        <v>76</v>
      </c>
      <c r="J1404" t="s">
        <v>77</v>
      </c>
      <c r="K1404" t="s">
        <v>78</v>
      </c>
      <c r="L1404" t="s">
        <v>179</v>
      </c>
      <c r="M1404" t="s">
        <v>180</v>
      </c>
      <c r="N1404" t="s">
        <v>131</v>
      </c>
      <c r="O1404" t="s">
        <v>82</v>
      </c>
      <c r="P1404" t="str">
        <f>"4170054054                    "</f>
        <v xml:space="preserve">4170054054                    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Q1404">
        <v>32.47</v>
      </c>
      <c r="AR1404">
        <v>0</v>
      </c>
      <c r="AS1404">
        <v>0</v>
      </c>
      <c r="AT1404">
        <v>0</v>
      </c>
      <c r="AU1404">
        <v>0</v>
      </c>
      <c r="AV1404">
        <v>0</v>
      </c>
      <c r="AW1404">
        <v>0</v>
      </c>
      <c r="AX1404">
        <v>0</v>
      </c>
      <c r="AY1404">
        <v>0</v>
      </c>
      <c r="AZ1404">
        <v>0</v>
      </c>
      <c r="BA1404">
        <v>0</v>
      </c>
      <c r="BB1404">
        <v>0</v>
      </c>
      <c r="BC1404">
        <v>0</v>
      </c>
      <c r="BD1404">
        <v>0</v>
      </c>
      <c r="BE1404">
        <v>0</v>
      </c>
      <c r="BF1404">
        <v>0</v>
      </c>
      <c r="BG1404">
        <v>0</v>
      </c>
      <c r="BH1404">
        <v>1</v>
      </c>
      <c r="BI1404">
        <v>1</v>
      </c>
      <c r="BJ1404">
        <v>0.2</v>
      </c>
      <c r="BK1404">
        <v>1</v>
      </c>
      <c r="BL1404">
        <v>100.82</v>
      </c>
      <c r="BM1404">
        <v>15.12</v>
      </c>
      <c r="BN1404">
        <v>115.94</v>
      </c>
      <c r="BO1404">
        <v>115.94</v>
      </c>
      <c r="BQ1404" t="s">
        <v>132</v>
      </c>
      <c r="BR1404" t="s">
        <v>84</v>
      </c>
      <c r="BS1404" s="3">
        <v>45882</v>
      </c>
      <c r="BT1404" s="4">
        <v>0.41666666666666669</v>
      </c>
      <c r="BU1404" t="s">
        <v>2080</v>
      </c>
      <c r="BV1404" t="s">
        <v>90</v>
      </c>
      <c r="BW1404" t="s">
        <v>380</v>
      </c>
      <c r="BX1404" t="s">
        <v>2081</v>
      </c>
      <c r="BY1404">
        <v>1200</v>
      </c>
      <c r="CC1404" t="s">
        <v>180</v>
      </c>
      <c r="CD1404">
        <v>1754</v>
      </c>
      <c r="CE1404" t="s">
        <v>109</v>
      </c>
      <c r="CF1404" s="3">
        <v>45882</v>
      </c>
      <c r="CI1404">
        <v>1</v>
      </c>
      <c r="CJ1404">
        <v>2</v>
      </c>
      <c r="CK1404">
        <v>24</v>
      </c>
      <c r="CL1404" t="s">
        <v>90</v>
      </c>
    </row>
    <row r="1405" spans="1:90" x14ac:dyDescent="0.3">
      <c r="A1405" t="s">
        <v>72</v>
      </c>
      <c r="B1405" t="s">
        <v>73</v>
      </c>
      <c r="C1405" t="s">
        <v>74</v>
      </c>
      <c r="E1405" t="str">
        <f>"080067159859"</f>
        <v>080067159859</v>
      </c>
      <c r="F1405" s="3">
        <v>45880</v>
      </c>
      <c r="G1405">
        <v>202605</v>
      </c>
      <c r="H1405" t="s">
        <v>75</v>
      </c>
      <c r="I1405" t="s">
        <v>76</v>
      </c>
      <c r="J1405" t="s">
        <v>77</v>
      </c>
      <c r="K1405" t="s">
        <v>78</v>
      </c>
      <c r="L1405" t="s">
        <v>217</v>
      </c>
      <c r="M1405" t="s">
        <v>218</v>
      </c>
      <c r="N1405" t="s">
        <v>219</v>
      </c>
      <c r="O1405" t="s">
        <v>82</v>
      </c>
      <c r="P1405" t="str">
        <f>"4170054125                    "</f>
        <v xml:space="preserve">4170054125                    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>
        <v>23.09</v>
      </c>
      <c r="AR1405">
        <v>0</v>
      </c>
      <c r="AS1405">
        <v>0</v>
      </c>
      <c r="AT1405">
        <v>0</v>
      </c>
      <c r="AU1405">
        <v>0</v>
      </c>
      <c r="AV1405">
        <v>0</v>
      </c>
      <c r="AW1405">
        <v>0</v>
      </c>
      <c r="AX1405">
        <v>0</v>
      </c>
      <c r="AY1405">
        <v>0</v>
      </c>
      <c r="AZ1405">
        <v>0</v>
      </c>
      <c r="BA1405">
        <v>0</v>
      </c>
      <c r="BB1405">
        <v>0</v>
      </c>
      <c r="BC1405">
        <v>0</v>
      </c>
      <c r="BD1405">
        <v>0</v>
      </c>
      <c r="BE1405">
        <v>0</v>
      </c>
      <c r="BF1405">
        <v>0</v>
      </c>
      <c r="BG1405">
        <v>0</v>
      </c>
      <c r="BH1405">
        <v>1</v>
      </c>
      <c r="BI1405">
        <v>1</v>
      </c>
      <c r="BJ1405">
        <v>0.2</v>
      </c>
      <c r="BK1405">
        <v>1</v>
      </c>
      <c r="BL1405">
        <v>71.69</v>
      </c>
      <c r="BM1405">
        <v>10.75</v>
      </c>
      <c r="BN1405">
        <v>82.44</v>
      </c>
      <c r="BO1405">
        <v>82.44</v>
      </c>
      <c r="BQ1405" t="s">
        <v>220</v>
      </c>
      <c r="BR1405" t="s">
        <v>84</v>
      </c>
      <c r="BS1405" s="3">
        <v>45881</v>
      </c>
      <c r="BT1405" s="4">
        <v>0.34375</v>
      </c>
      <c r="BU1405" t="s">
        <v>221</v>
      </c>
      <c r="BV1405" t="s">
        <v>86</v>
      </c>
      <c r="BY1405">
        <v>1200</v>
      </c>
      <c r="CA1405" t="s">
        <v>566</v>
      </c>
      <c r="CC1405" t="s">
        <v>218</v>
      </c>
      <c r="CD1405">
        <v>4000</v>
      </c>
      <c r="CE1405" t="s">
        <v>109</v>
      </c>
      <c r="CF1405" s="3">
        <v>45881</v>
      </c>
      <c r="CI1405">
        <v>1</v>
      </c>
      <c r="CJ1405">
        <v>1</v>
      </c>
      <c r="CK1405">
        <v>21</v>
      </c>
      <c r="CL1405" t="s">
        <v>90</v>
      </c>
    </row>
    <row r="1406" spans="1:90" x14ac:dyDescent="0.3">
      <c r="A1406" t="s">
        <v>72</v>
      </c>
      <c r="B1406" t="s">
        <v>73</v>
      </c>
      <c r="C1406" t="s">
        <v>74</v>
      </c>
      <c r="E1406" t="str">
        <f>"080067159870"</f>
        <v>080067159870</v>
      </c>
      <c r="F1406" s="3">
        <v>45880</v>
      </c>
      <c r="G1406">
        <v>202605</v>
      </c>
      <c r="H1406" t="s">
        <v>75</v>
      </c>
      <c r="I1406" t="s">
        <v>76</v>
      </c>
      <c r="J1406" t="s">
        <v>77</v>
      </c>
      <c r="K1406" t="s">
        <v>78</v>
      </c>
      <c r="L1406" t="s">
        <v>75</v>
      </c>
      <c r="M1406" t="s">
        <v>76</v>
      </c>
      <c r="N1406" t="s">
        <v>1100</v>
      </c>
      <c r="O1406" t="s">
        <v>82</v>
      </c>
      <c r="P1406" t="str">
        <f>"4170054077                    "</f>
        <v xml:space="preserve">4170054077                    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Q1406">
        <v>18.03</v>
      </c>
      <c r="AR1406">
        <v>0</v>
      </c>
      <c r="AS1406">
        <v>0</v>
      </c>
      <c r="AT1406">
        <v>0</v>
      </c>
      <c r="AU1406">
        <v>0</v>
      </c>
      <c r="AV1406">
        <v>0</v>
      </c>
      <c r="AW1406">
        <v>0</v>
      </c>
      <c r="AX1406">
        <v>0</v>
      </c>
      <c r="AY1406">
        <v>0</v>
      </c>
      <c r="AZ1406">
        <v>0</v>
      </c>
      <c r="BA1406">
        <v>0</v>
      </c>
      <c r="BB1406">
        <v>0</v>
      </c>
      <c r="BC1406">
        <v>0</v>
      </c>
      <c r="BD1406">
        <v>0</v>
      </c>
      <c r="BE1406">
        <v>0</v>
      </c>
      <c r="BF1406">
        <v>0</v>
      </c>
      <c r="BG1406">
        <v>0</v>
      </c>
      <c r="BH1406">
        <v>1</v>
      </c>
      <c r="BI1406">
        <v>2</v>
      </c>
      <c r="BJ1406">
        <v>2.9</v>
      </c>
      <c r="BK1406">
        <v>3</v>
      </c>
      <c r="BL1406">
        <v>55.99</v>
      </c>
      <c r="BM1406">
        <v>8.4</v>
      </c>
      <c r="BN1406">
        <v>64.39</v>
      </c>
      <c r="BO1406">
        <v>64.39</v>
      </c>
      <c r="BQ1406" t="s">
        <v>1101</v>
      </c>
      <c r="BR1406" t="s">
        <v>84</v>
      </c>
      <c r="BS1406" s="3">
        <v>45881</v>
      </c>
      <c r="BT1406" s="4">
        <v>0.36319444444444443</v>
      </c>
      <c r="BU1406" t="s">
        <v>2095</v>
      </c>
      <c r="BV1406" t="s">
        <v>86</v>
      </c>
      <c r="BY1406">
        <v>14256</v>
      </c>
      <c r="CA1406" t="s">
        <v>1743</v>
      </c>
      <c r="CC1406" t="s">
        <v>76</v>
      </c>
      <c r="CD1406">
        <v>1600</v>
      </c>
      <c r="CE1406" t="s">
        <v>117</v>
      </c>
      <c r="CF1406" s="3">
        <v>45881</v>
      </c>
      <c r="CI1406">
        <v>1</v>
      </c>
      <c r="CJ1406">
        <v>1</v>
      </c>
      <c r="CK1406">
        <v>22</v>
      </c>
      <c r="CL1406" t="s">
        <v>90</v>
      </c>
    </row>
    <row r="1407" spans="1:90" x14ac:dyDescent="0.3">
      <c r="A1407" t="s">
        <v>72</v>
      </c>
      <c r="B1407" t="s">
        <v>73</v>
      </c>
      <c r="C1407" t="s">
        <v>74</v>
      </c>
      <c r="E1407" t="str">
        <f>"080067159890"</f>
        <v>080067159890</v>
      </c>
      <c r="F1407" s="3">
        <v>45880</v>
      </c>
      <c r="G1407">
        <v>202605</v>
      </c>
      <c r="H1407" t="s">
        <v>75</v>
      </c>
      <c r="I1407" t="s">
        <v>76</v>
      </c>
      <c r="J1407" t="s">
        <v>77</v>
      </c>
      <c r="K1407" t="s">
        <v>78</v>
      </c>
      <c r="L1407" t="s">
        <v>234</v>
      </c>
      <c r="M1407" t="s">
        <v>235</v>
      </c>
      <c r="N1407" t="s">
        <v>236</v>
      </c>
      <c r="O1407" t="s">
        <v>82</v>
      </c>
      <c r="P1407" t="str">
        <f>"4170054028                    "</f>
        <v xml:space="preserve">4170054028                    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23.09</v>
      </c>
      <c r="AR1407">
        <v>0</v>
      </c>
      <c r="AS1407">
        <v>0</v>
      </c>
      <c r="AT1407">
        <v>0</v>
      </c>
      <c r="AU1407">
        <v>0</v>
      </c>
      <c r="AV1407">
        <v>0</v>
      </c>
      <c r="AW1407">
        <v>0</v>
      </c>
      <c r="AX1407">
        <v>0</v>
      </c>
      <c r="AY1407">
        <v>0</v>
      </c>
      <c r="AZ1407">
        <v>0</v>
      </c>
      <c r="BA1407">
        <v>0</v>
      </c>
      <c r="BB1407">
        <v>0</v>
      </c>
      <c r="BC1407">
        <v>0</v>
      </c>
      <c r="BD1407">
        <v>0</v>
      </c>
      <c r="BE1407">
        <v>0</v>
      </c>
      <c r="BF1407">
        <v>0</v>
      </c>
      <c r="BG1407">
        <v>0</v>
      </c>
      <c r="BH1407">
        <v>1</v>
      </c>
      <c r="BI1407">
        <v>1</v>
      </c>
      <c r="BJ1407">
        <v>0.2</v>
      </c>
      <c r="BK1407">
        <v>1</v>
      </c>
      <c r="BL1407">
        <v>71.69</v>
      </c>
      <c r="BM1407">
        <v>10.75</v>
      </c>
      <c r="BN1407">
        <v>82.44</v>
      </c>
      <c r="BO1407">
        <v>82.44</v>
      </c>
      <c r="BQ1407" t="s">
        <v>237</v>
      </c>
      <c r="BR1407" t="s">
        <v>84</v>
      </c>
      <c r="BS1407" s="3">
        <v>45881</v>
      </c>
      <c r="BT1407" s="4">
        <v>0.39930555555555558</v>
      </c>
      <c r="BU1407" t="s">
        <v>2118</v>
      </c>
      <c r="BV1407" t="s">
        <v>86</v>
      </c>
      <c r="BY1407">
        <v>1200</v>
      </c>
      <c r="CA1407" t="s">
        <v>457</v>
      </c>
      <c r="CC1407" t="s">
        <v>235</v>
      </c>
      <c r="CD1407" s="5" t="s">
        <v>240</v>
      </c>
      <c r="CE1407" t="s">
        <v>109</v>
      </c>
      <c r="CF1407" s="3">
        <v>45881</v>
      </c>
      <c r="CI1407">
        <v>1</v>
      </c>
      <c r="CJ1407">
        <v>1</v>
      </c>
      <c r="CK1407">
        <v>21</v>
      </c>
      <c r="CL1407" t="s">
        <v>90</v>
      </c>
    </row>
    <row r="1408" spans="1:90" x14ac:dyDescent="0.3">
      <c r="A1408" t="s">
        <v>72</v>
      </c>
      <c r="B1408" t="s">
        <v>73</v>
      </c>
      <c r="C1408" t="s">
        <v>74</v>
      </c>
      <c r="E1408" t="str">
        <f>"080067159906"</f>
        <v>080067159906</v>
      </c>
      <c r="F1408" s="3">
        <v>45880</v>
      </c>
      <c r="G1408">
        <v>202605</v>
      </c>
      <c r="H1408" t="s">
        <v>75</v>
      </c>
      <c r="I1408" t="s">
        <v>76</v>
      </c>
      <c r="J1408" t="s">
        <v>77</v>
      </c>
      <c r="K1408" t="s">
        <v>78</v>
      </c>
      <c r="L1408" t="s">
        <v>234</v>
      </c>
      <c r="M1408" t="s">
        <v>235</v>
      </c>
      <c r="N1408" t="s">
        <v>236</v>
      </c>
      <c r="O1408" t="s">
        <v>95</v>
      </c>
      <c r="P1408" t="str">
        <f>"4170054031                    "</f>
        <v xml:space="preserve">4170054031                    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44.64</v>
      </c>
      <c r="AR1408">
        <v>0</v>
      </c>
      <c r="AS1408">
        <v>0</v>
      </c>
      <c r="AT1408">
        <v>0</v>
      </c>
      <c r="AU1408">
        <v>0</v>
      </c>
      <c r="AV1408">
        <v>0</v>
      </c>
      <c r="AW1408">
        <v>0</v>
      </c>
      <c r="AX1408">
        <v>0</v>
      </c>
      <c r="AY1408">
        <v>0</v>
      </c>
      <c r="AZ1408">
        <v>0</v>
      </c>
      <c r="BA1408">
        <v>0</v>
      </c>
      <c r="BB1408">
        <v>0</v>
      </c>
      <c r="BC1408">
        <v>0</v>
      </c>
      <c r="BD1408">
        <v>0</v>
      </c>
      <c r="BE1408">
        <v>0</v>
      </c>
      <c r="BF1408">
        <v>0</v>
      </c>
      <c r="BG1408">
        <v>0</v>
      </c>
      <c r="BH1408">
        <v>1</v>
      </c>
      <c r="BI1408">
        <v>4</v>
      </c>
      <c r="BJ1408">
        <v>2.2999999999999998</v>
      </c>
      <c r="BK1408">
        <v>4</v>
      </c>
      <c r="BL1408">
        <v>144.49</v>
      </c>
      <c r="BM1408">
        <v>21.67</v>
      </c>
      <c r="BN1408">
        <v>166.16</v>
      </c>
      <c r="BO1408">
        <v>166.16</v>
      </c>
      <c r="BQ1408" t="s">
        <v>237</v>
      </c>
      <c r="BR1408" t="s">
        <v>84</v>
      </c>
      <c r="BS1408" s="3">
        <v>45881</v>
      </c>
      <c r="BT1408" s="4">
        <v>0.38680555555555557</v>
      </c>
      <c r="BU1408" t="s">
        <v>2116</v>
      </c>
      <c r="BV1408" t="s">
        <v>86</v>
      </c>
      <c r="BY1408">
        <v>11368</v>
      </c>
      <c r="CA1408" t="s">
        <v>2117</v>
      </c>
      <c r="CC1408" t="s">
        <v>235</v>
      </c>
      <c r="CD1408" s="5" t="s">
        <v>240</v>
      </c>
      <c r="CE1408" t="s">
        <v>117</v>
      </c>
      <c r="CF1408" s="3">
        <v>45881</v>
      </c>
      <c r="CI1408">
        <v>1</v>
      </c>
      <c r="CJ1408">
        <v>1</v>
      </c>
      <c r="CK1408">
        <v>41</v>
      </c>
      <c r="CL1408" t="s">
        <v>90</v>
      </c>
    </row>
    <row r="1409" spans="1:90" x14ac:dyDescent="0.3">
      <c r="A1409" t="s">
        <v>72</v>
      </c>
      <c r="B1409" t="s">
        <v>73</v>
      </c>
      <c r="C1409" t="s">
        <v>74</v>
      </c>
      <c r="E1409" t="str">
        <f>"080067159910"</f>
        <v>080067159910</v>
      </c>
      <c r="F1409" s="3">
        <v>45880</v>
      </c>
      <c r="G1409">
        <v>202605</v>
      </c>
      <c r="H1409" t="s">
        <v>75</v>
      </c>
      <c r="I1409" t="s">
        <v>76</v>
      </c>
      <c r="J1409" t="s">
        <v>77</v>
      </c>
      <c r="K1409" t="s">
        <v>78</v>
      </c>
      <c r="L1409" t="s">
        <v>137</v>
      </c>
      <c r="M1409" t="s">
        <v>138</v>
      </c>
      <c r="N1409" t="s">
        <v>505</v>
      </c>
      <c r="O1409" t="s">
        <v>82</v>
      </c>
      <c r="P1409" t="str">
        <f>"4170054130                    "</f>
        <v xml:space="preserve">4170054130                    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Q1409">
        <v>23.09</v>
      </c>
      <c r="AR1409">
        <v>0</v>
      </c>
      <c r="AS1409">
        <v>0</v>
      </c>
      <c r="AT1409">
        <v>0</v>
      </c>
      <c r="AU1409">
        <v>0</v>
      </c>
      <c r="AV1409">
        <v>0</v>
      </c>
      <c r="AW1409">
        <v>0</v>
      </c>
      <c r="AX1409">
        <v>0</v>
      </c>
      <c r="AY1409">
        <v>0</v>
      </c>
      <c r="AZ1409">
        <v>0</v>
      </c>
      <c r="BA1409">
        <v>0</v>
      </c>
      <c r="BB1409">
        <v>0</v>
      </c>
      <c r="BC1409">
        <v>0</v>
      </c>
      <c r="BD1409">
        <v>0</v>
      </c>
      <c r="BE1409">
        <v>0</v>
      </c>
      <c r="BF1409">
        <v>0</v>
      </c>
      <c r="BG1409">
        <v>0</v>
      </c>
      <c r="BH1409">
        <v>1</v>
      </c>
      <c r="BI1409">
        <v>1</v>
      </c>
      <c r="BJ1409">
        <v>0.2</v>
      </c>
      <c r="BK1409">
        <v>1</v>
      </c>
      <c r="BL1409">
        <v>71.69</v>
      </c>
      <c r="BM1409">
        <v>10.75</v>
      </c>
      <c r="BN1409">
        <v>82.44</v>
      </c>
      <c r="BO1409">
        <v>82.44</v>
      </c>
      <c r="BQ1409" t="s">
        <v>506</v>
      </c>
      <c r="BR1409" t="s">
        <v>84</v>
      </c>
      <c r="BS1409" s="3">
        <v>45881</v>
      </c>
      <c r="BT1409" s="4">
        <v>0.42430555555555555</v>
      </c>
      <c r="BU1409" t="s">
        <v>1429</v>
      </c>
      <c r="BV1409" t="s">
        <v>86</v>
      </c>
      <c r="BY1409">
        <v>1200</v>
      </c>
      <c r="CA1409" t="s">
        <v>264</v>
      </c>
      <c r="CC1409" t="s">
        <v>138</v>
      </c>
      <c r="CD1409">
        <v>3600</v>
      </c>
      <c r="CE1409" t="s">
        <v>109</v>
      </c>
      <c r="CF1409" s="3">
        <v>45882</v>
      </c>
      <c r="CI1409">
        <v>1</v>
      </c>
      <c r="CJ1409">
        <v>1</v>
      </c>
      <c r="CK1409">
        <v>21</v>
      </c>
      <c r="CL1409" t="s">
        <v>90</v>
      </c>
    </row>
    <row r="1410" spans="1:90" x14ac:dyDescent="0.3">
      <c r="A1410" t="s">
        <v>72</v>
      </c>
      <c r="B1410" t="s">
        <v>73</v>
      </c>
      <c r="C1410" t="s">
        <v>74</v>
      </c>
      <c r="E1410" t="str">
        <f>"080067159925"</f>
        <v>080067159925</v>
      </c>
      <c r="F1410" s="3">
        <v>45880</v>
      </c>
      <c r="G1410">
        <v>202605</v>
      </c>
      <c r="H1410" t="s">
        <v>75</v>
      </c>
      <c r="I1410" t="s">
        <v>76</v>
      </c>
      <c r="J1410" t="s">
        <v>77</v>
      </c>
      <c r="K1410" t="s">
        <v>78</v>
      </c>
      <c r="L1410" t="s">
        <v>137</v>
      </c>
      <c r="M1410" t="s">
        <v>138</v>
      </c>
      <c r="N1410" t="s">
        <v>1760</v>
      </c>
      <c r="O1410" t="s">
        <v>82</v>
      </c>
      <c r="P1410" t="str">
        <f>"4170054016                    "</f>
        <v xml:space="preserve">4170054016                    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Q1410">
        <v>23.09</v>
      </c>
      <c r="AR1410">
        <v>0</v>
      </c>
      <c r="AS1410">
        <v>0</v>
      </c>
      <c r="AT1410">
        <v>0</v>
      </c>
      <c r="AU1410">
        <v>0</v>
      </c>
      <c r="AV1410">
        <v>0</v>
      </c>
      <c r="AW1410">
        <v>0</v>
      </c>
      <c r="AX1410">
        <v>0</v>
      </c>
      <c r="AY1410">
        <v>0</v>
      </c>
      <c r="AZ1410">
        <v>0</v>
      </c>
      <c r="BA1410">
        <v>0</v>
      </c>
      <c r="BB1410">
        <v>0</v>
      </c>
      <c r="BC1410">
        <v>0</v>
      </c>
      <c r="BD1410">
        <v>0</v>
      </c>
      <c r="BE1410">
        <v>0</v>
      </c>
      <c r="BF1410">
        <v>0</v>
      </c>
      <c r="BG1410">
        <v>0</v>
      </c>
      <c r="BH1410">
        <v>1</v>
      </c>
      <c r="BI1410">
        <v>2</v>
      </c>
      <c r="BJ1410">
        <v>1.1000000000000001</v>
      </c>
      <c r="BK1410">
        <v>2</v>
      </c>
      <c r="BL1410">
        <v>71.69</v>
      </c>
      <c r="BM1410">
        <v>10.75</v>
      </c>
      <c r="BN1410">
        <v>82.44</v>
      </c>
      <c r="BO1410">
        <v>82.44</v>
      </c>
      <c r="BQ1410" t="s">
        <v>1761</v>
      </c>
      <c r="BR1410" t="s">
        <v>84</v>
      </c>
      <c r="BS1410" s="3">
        <v>45881</v>
      </c>
      <c r="BT1410" s="4">
        <v>0.51875000000000004</v>
      </c>
      <c r="BU1410" t="s">
        <v>1819</v>
      </c>
      <c r="BV1410" t="s">
        <v>86</v>
      </c>
      <c r="BY1410">
        <v>5320</v>
      </c>
      <c r="CA1410" t="s">
        <v>953</v>
      </c>
      <c r="CC1410" t="s">
        <v>138</v>
      </c>
      <c r="CD1410">
        <v>3610</v>
      </c>
      <c r="CE1410" t="s">
        <v>147</v>
      </c>
      <c r="CF1410" s="3">
        <v>45882</v>
      </c>
      <c r="CI1410">
        <v>1</v>
      </c>
      <c r="CJ1410">
        <v>1</v>
      </c>
      <c r="CK1410">
        <v>21</v>
      </c>
      <c r="CL1410" t="s">
        <v>90</v>
      </c>
    </row>
    <row r="1411" spans="1:90" x14ac:dyDescent="0.3">
      <c r="A1411" t="s">
        <v>72</v>
      </c>
      <c r="B1411" t="s">
        <v>73</v>
      </c>
      <c r="C1411" t="s">
        <v>74</v>
      </c>
      <c r="E1411" t="str">
        <f>"080067159931"</f>
        <v>080067159931</v>
      </c>
      <c r="F1411" s="3">
        <v>45880</v>
      </c>
      <c r="G1411">
        <v>202605</v>
      </c>
      <c r="H1411" t="s">
        <v>75</v>
      </c>
      <c r="I1411" t="s">
        <v>76</v>
      </c>
      <c r="J1411" t="s">
        <v>77</v>
      </c>
      <c r="K1411" t="s">
        <v>78</v>
      </c>
      <c r="L1411" t="s">
        <v>75</v>
      </c>
      <c r="M1411" t="s">
        <v>76</v>
      </c>
      <c r="N1411" t="s">
        <v>602</v>
      </c>
      <c r="O1411" t="s">
        <v>82</v>
      </c>
      <c r="P1411" t="str">
        <f>"4170054018                    "</f>
        <v xml:space="preserve">4170054018                    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Q1411">
        <v>18.03</v>
      </c>
      <c r="AR1411">
        <v>0</v>
      </c>
      <c r="AS1411">
        <v>0</v>
      </c>
      <c r="AT1411">
        <v>0</v>
      </c>
      <c r="AU1411">
        <v>0</v>
      </c>
      <c r="AV1411">
        <v>0</v>
      </c>
      <c r="AW1411">
        <v>0</v>
      </c>
      <c r="AX1411">
        <v>0</v>
      </c>
      <c r="AY1411">
        <v>0</v>
      </c>
      <c r="AZ1411">
        <v>0</v>
      </c>
      <c r="BA1411">
        <v>0</v>
      </c>
      <c r="BB1411">
        <v>0</v>
      </c>
      <c r="BC1411">
        <v>0</v>
      </c>
      <c r="BD1411">
        <v>0</v>
      </c>
      <c r="BE1411">
        <v>0</v>
      </c>
      <c r="BF1411">
        <v>0</v>
      </c>
      <c r="BG1411">
        <v>0</v>
      </c>
      <c r="BH1411">
        <v>1</v>
      </c>
      <c r="BI1411">
        <v>1</v>
      </c>
      <c r="BJ1411">
        <v>0.2</v>
      </c>
      <c r="BK1411">
        <v>1</v>
      </c>
      <c r="BL1411">
        <v>55.99</v>
      </c>
      <c r="BM1411">
        <v>8.4</v>
      </c>
      <c r="BN1411">
        <v>64.39</v>
      </c>
      <c r="BO1411">
        <v>64.39</v>
      </c>
      <c r="BQ1411" t="s">
        <v>603</v>
      </c>
      <c r="BR1411" t="s">
        <v>84</v>
      </c>
      <c r="BS1411" s="3">
        <v>45881</v>
      </c>
      <c r="BT1411" s="4">
        <v>0.31527777777777777</v>
      </c>
      <c r="BU1411" t="s">
        <v>295</v>
      </c>
      <c r="BV1411" t="s">
        <v>86</v>
      </c>
      <c r="BY1411">
        <v>1200</v>
      </c>
      <c r="CA1411" t="s">
        <v>1327</v>
      </c>
      <c r="CC1411" t="s">
        <v>76</v>
      </c>
      <c r="CD1411">
        <v>1665</v>
      </c>
      <c r="CE1411" t="s">
        <v>109</v>
      </c>
      <c r="CF1411" s="3">
        <v>45882</v>
      </c>
      <c r="CI1411">
        <v>1</v>
      </c>
      <c r="CJ1411">
        <v>1</v>
      </c>
      <c r="CK1411">
        <v>22</v>
      </c>
      <c r="CL1411" t="s">
        <v>90</v>
      </c>
    </row>
    <row r="1412" spans="1:90" x14ac:dyDescent="0.3">
      <c r="A1412" t="s">
        <v>72</v>
      </c>
      <c r="B1412" t="s">
        <v>73</v>
      </c>
      <c r="C1412" t="s">
        <v>74</v>
      </c>
      <c r="E1412" t="str">
        <f>"080067159959"</f>
        <v>080067159959</v>
      </c>
      <c r="F1412" s="3">
        <v>45880</v>
      </c>
      <c r="G1412">
        <v>202605</v>
      </c>
      <c r="H1412" t="s">
        <v>75</v>
      </c>
      <c r="I1412" t="s">
        <v>76</v>
      </c>
      <c r="J1412" t="s">
        <v>77</v>
      </c>
      <c r="K1412" t="s">
        <v>78</v>
      </c>
      <c r="L1412" t="s">
        <v>79</v>
      </c>
      <c r="M1412" t="s">
        <v>80</v>
      </c>
      <c r="N1412" t="s">
        <v>356</v>
      </c>
      <c r="O1412" t="s">
        <v>82</v>
      </c>
      <c r="P1412" t="str">
        <f>"4170054072                    "</f>
        <v xml:space="preserve">4170054072                    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0</v>
      </c>
      <c r="AP1412">
        <v>0</v>
      </c>
      <c r="AQ1412">
        <v>18.03</v>
      </c>
      <c r="AR1412">
        <v>0</v>
      </c>
      <c r="AS1412">
        <v>0</v>
      </c>
      <c r="AT1412">
        <v>0</v>
      </c>
      <c r="AU1412">
        <v>0</v>
      </c>
      <c r="AV1412">
        <v>0</v>
      </c>
      <c r="AW1412">
        <v>0</v>
      </c>
      <c r="AX1412">
        <v>0</v>
      </c>
      <c r="AY1412">
        <v>0</v>
      </c>
      <c r="AZ1412">
        <v>0</v>
      </c>
      <c r="BA1412">
        <v>0</v>
      </c>
      <c r="BB1412">
        <v>0</v>
      </c>
      <c r="BC1412">
        <v>0</v>
      </c>
      <c r="BD1412">
        <v>0</v>
      </c>
      <c r="BE1412">
        <v>0</v>
      </c>
      <c r="BF1412">
        <v>0</v>
      </c>
      <c r="BG1412">
        <v>0</v>
      </c>
      <c r="BH1412">
        <v>1</v>
      </c>
      <c r="BI1412">
        <v>1</v>
      </c>
      <c r="BJ1412">
        <v>3.4</v>
      </c>
      <c r="BK1412">
        <v>4</v>
      </c>
      <c r="BL1412">
        <v>55.99</v>
      </c>
      <c r="BM1412">
        <v>8.4</v>
      </c>
      <c r="BN1412">
        <v>64.39</v>
      </c>
      <c r="BO1412">
        <v>64.39</v>
      </c>
      <c r="BQ1412" t="s">
        <v>357</v>
      </c>
      <c r="BR1412" t="s">
        <v>84</v>
      </c>
      <c r="BS1412" s="3">
        <v>45881</v>
      </c>
      <c r="BT1412" s="4">
        <v>0.4</v>
      </c>
      <c r="BU1412" t="s">
        <v>358</v>
      </c>
      <c r="BV1412" t="s">
        <v>86</v>
      </c>
      <c r="BY1412">
        <v>16965</v>
      </c>
      <c r="CA1412" t="s">
        <v>1069</v>
      </c>
      <c r="CC1412" t="s">
        <v>80</v>
      </c>
      <c r="CD1412">
        <v>1428</v>
      </c>
      <c r="CE1412" t="s">
        <v>147</v>
      </c>
      <c r="CF1412" s="3">
        <v>45882</v>
      </c>
      <c r="CI1412">
        <v>1</v>
      </c>
      <c r="CJ1412">
        <v>1</v>
      </c>
      <c r="CK1412">
        <v>22</v>
      </c>
      <c r="CL1412" t="s">
        <v>90</v>
      </c>
    </row>
    <row r="1413" spans="1:90" x14ac:dyDescent="0.3">
      <c r="A1413" t="s">
        <v>72</v>
      </c>
      <c r="B1413" t="s">
        <v>73</v>
      </c>
      <c r="C1413" t="s">
        <v>74</v>
      </c>
      <c r="E1413" t="str">
        <f>"080067159963"</f>
        <v>080067159963</v>
      </c>
      <c r="F1413" s="3">
        <v>45880</v>
      </c>
      <c r="G1413">
        <v>202605</v>
      </c>
      <c r="H1413" t="s">
        <v>75</v>
      </c>
      <c r="I1413" t="s">
        <v>76</v>
      </c>
      <c r="J1413" t="s">
        <v>77</v>
      </c>
      <c r="K1413" t="s">
        <v>78</v>
      </c>
      <c r="L1413" t="s">
        <v>75</v>
      </c>
      <c r="M1413" t="s">
        <v>76</v>
      </c>
      <c r="N1413" t="s">
        <v>2119</v>
      </c>
      <c r="O1413" t="s">
        <v>82</v>
      </c>
      <c r="P1413" t="str">
        <f>"4170054064                    "</f>
        <v xml:space="preserve">4170054064                    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Q1413">
        <v>18.03</v>
      </c>
      <c r="AR1413">
        <v>0</v>
      </c>
      <c r="AS1413">
        <v>0</v>
      </c>
      <c r="AT1413">
        <v>0</v>
      </c>
      <c r="AU1413">
        <v>0</v>
      </c>
      <c r="AV1413">
        <v>0</v>
      </c>
      <c r="AW1413">
        <v>0</v>
      </c>
      <c r="AX1413">
        <v>0</v>
      </c>
      <c r="AY1413">
        <v>0</v>
      </c>
      <c r="AZ1413">
        <v>0</v>
      </c>
      <c r="BA1413">
        <v>0</v>
      </c>
      <c r="BB1413">
        <v>0</v>
      </c>
      <c r="BC1413">
        <v>0</v>
      </c>
      <c r="BD1413">
        <v>0</v>
      </c>
      <c r="BE1413">
        <v>0</v>
      </c>
      <c r="BF1413">
        <v>0</v>
      </c>
      <c r="BG1413">
        <v>0</v>
      </c>
      <c r="BH1413">
        <v>1</v>
      </c>
      <c r="BI1413">
        <v>1</v>
      </c>
      <c r="BJ1413">
        <v>0.2</v>
      </c>
      <c r="BK1413">
        <v>1</v>
      </c>
      <c r="BL1413">
        <v>55.99</v>
      </c>
      <c r="BM1413">
        <v>8.4</v>
      </c>
      <c r="BN1413">
        <v>64.39</v>
      </c>
      <c r="BO1413">
        <v>64.39</v>
      </c>
      <c r="BQ1413" t="s">
        <v>2120</v>
      </c>
      <c r="BR1413" t="s">
        <v>84</v>
      </c>
      <c r="BS1413" s="3">
        <v>45881</v>
      </c>
      <c r="BT1413" s="4">
        <v>0.57291666666666663</v>
      </c>
      <c r="BU1413" t="s">
        <v>1106</v>
      </c>
      <c r="BV1413" t="s">
        <v>90</v>
      </c>
      <c r="BY1413">
        <v>1200</v>
      </c>
      <c r="CA1413" t="s">
        <v>1107</v>
      </c>
      <c r="CC1413" t="s">
        <v>76</v>
      </c>
      <c r="CD1413">
        <v>1600</v>
      </c>
      <c r="CE1413" t="s">
        <v>109</v>
      </c>
      <c r="CI1413">
        <v>1</v>
      </c>
      <c r="CJ1413">
        <v>1</v>
      </c>
      <c r="CK1413">
        <v>22</v>
      </c>
      <c r="CL1413" t="s">
        <v>90</v>
      </c>
    </row>
    <row r="1414" spans="1:90" x14ac:dyDescent="0.3">
      <c r="A1414" t="s">
        <v>72</v>
      </c>
      <c r="B1414" t="s">
        <v>73</v>
      </c>
      <c r="C1414" t="s">
        <v>74</v>
      </c>
      <c r="E1414" t="str">
        <f>"080067159984"</f>
        <v>080067159984</v>
      </c>
      <c r="F1414" s="3">
        <v>45880</v>
      </c>
      <c r="G1414">
        <v>202605</v>
      </c>
      <c r="H1414" t="s">
        <v>75</v>
      </c>
      <c r="I1414" t="s">
        <v>76</v>
      </c>
      <c r="J1414" t="s">
        <v>77</v>
      </c>
      <c r="K1414" t="s">
        <v>78</v>
      </c>
      <c r="L1414" t="s">
        <v>123</v>
      </c>
      <c r="M1414" t="s">
        <v>124</v>
      </c>
      <c r="N1414" t="s">
        <v>168</v>
      </c>
      <c r="O1414" t="s">
        <v>82</v>
      </c>
      <c r="P1414" t="str">
        <f>"4170054009                    "</f>
        <v xml:space="preserve">4170054009                    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>
        <v>23.09</v>
      </c>
      <c r="AR1414">
        <v>0</v>
      </c>
      <c r="AS1414">
        <v>0</v>
      </c>
      <c r="AT1414">
        <v>0</v>
      </c>
      <c r="AU1414">
        <v>0</v>
      </c>
      <c r="AV1414">
        <v>0</v>
      </c>
      <c r="AW1414">
        <v>0</v>
      </c>
      <c r="AX1414">
        <v>0</v>
      </c>
      <c r="AY1414">
        <v>0</v>
      </c>
      <c r="AZ1414">
        <v>0</v>
      </c>
      <c r="BA1414">
        <v>0</v>
      </c>
      <c r="BB1414">
        <v>0</v>
      </c>
      <c r="BC1414">
        <v>0</v>
      </c>
      <c r="BD1414">
        <v>0</v>
      </c>
      <c r="BE1414">
        <v>0</v>
      </c>
      <c r="BF1414">
        <v>0</v>
      </c>
      <c r="BG1414">
        <v>0</v>
      </c>
      <c r="BH1414">
        <v>1</v>
      </c>
      <c r="BI1414">
        <v>1</v>
      </c>
      <c r="BJ1414">
        <v>0.2</v>
      </c>
      <c r="BK1414">
        <v>1</v>
      </c>
      <c r="BL1414">
        <v>71.69</v>
      </c>
      <c r="BM1414">
        <v>10.75</v>
      </c>
      <c r="BN1414">
        <v>82.44</v>
      </c>
      <c r="BO1414">
        <v>82.44</v>
      </c>
      <c r="BQ1414" t="s">
        <v>169</v>
      </c>
      <c r="BR1414" t="s">
        <v>84</v>
      </c>
      <c r="BS1414" s="3">
        <v>45881</v>
      </c>
      <c r="BT1414" s="4">
        <v>0.4284722222222222</v>
      </c>
      <c r="BU1414" t="s">
        <v>679</v>
      </c>
      <c r="BV1414" t="s">
        <v>86</v>
      </c>
      <c r="BY1414">
        <v>1200</v>
      </c>
      <c r="CA1414" t="s">
        <v>171</v>
      </c>
      <c r="CC1414" t="s">
        <v>124</v>
      </c>
      <c r="CD1414">
        <v>7535</v>
      </c>
      <c r="CE1414" t="s">
        <v>109</v>
      </c>
      <c r="CF1414" s="3">
        <v>45882</v>
      </c>
      <c r="CI1414">
        <v>1</v>
      </c>
      <c r="CJ1414">
        <v>1</v>
      </c>
      <c r="CK1414">
        <v>21</v>
      </c>
      <c r="CL1414" t="s">
        <v>90</v>
      </c>
    </row>
    <row r="1415" spans="1:90" x14ac:dyDescent="0.3">
      <c r="A1415" t="s">
        <v>72</v>
      </c>
      <c r="B1415" t="s">
        <v>73</v>
      </c>
      <c r="C1415" t="s">
        <v>74</v>
      </c>
      <c r="E1415" t="str">
        <f>"080067159990"</f>
        <v>080067159990</v>
      </c>
      <c r="F1415" s="3">
        <v>45880</v>
      </c>
      <c r="G1415">
        <v>202605</v>
      </c>
      <c r="H1415" t="s">
        <v>75</v>
      </c>
      <c r="I1415" t="s">
        <v>76</v>
      </c>
      <c r="J1415" t="s">
        <v>77</v>
      </c>
      <c r="K1415" t="s">
        <v>78</v>
      </c>
      <c r="L1415" t="s">
        <v>75</v>
      </c>
      <c r="M1415" t="s">
        <v>76</v>
      </c>
      <c r="N1415" t="s">
        <v>1100</v>
      </c>
      <c r="O1415" t="s">
        <v>82</v>
      </c>
      <c r="P1415" t="str">
        <f>"4170054076                    "</f>
        <v xml:space="preserve">4170054076                    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Q1415">
        <v>18.03</v>
      </c>
      <c r="AR1415">
        <v>0</v>
      </c>
      <c r="AS1415">
        <v>0</v>
      </c>
      <c r="AT1415">
        <v>0</v>
      </c>
      <c r="AU1415">
        <v>0</v>
      </c>
      <c r="AV1415">
        <v>0</v>
      </c>
      <c r="AW1415">
        <v>0</v>
      </c>
      <c r="AX1415">
        <v>0</v>
      </c>
      <c r="AY1415">
        <v>0</v>
      </c>
      <c r="AZ1415">
        <v>0</v>
      </c>
      <c r="BA1415">
        <v>0</v>
      </c>
      <c r="BB1415">
        <v>0</v>
      </c>
      <c r="BC1415">
        <v>0</v>
      </c>
      <c r="BD1415">
        <v>0</v>
      </c>
      <c r="BE1415">
        <v>0</v>
      </c>
      <c r="BF1415">
        <v>0</v>
      </c>
      <c r="BG1415">
        <v>0</v>
      </c>
      <c r="BH1415">
        <v>1</v>
      </c>
      <c r="BI1415">
        <v>2</v>
      </c>
      <c r="BJ1415">
        <v>0.5</v>
      </c>
      <c r="BK1415">
        <v>2</v>
      </c>
      <c r="BL1415">
        <v>55.99</v>
      </c>
      <c r="BM1415">
        <v>8.4</v>
      </c>
      <c r="BN1415">
        <v>64.39</v>
      </c>
      <c r="BO1415">
        <v>64.39</v>
      </c>
      <c r="BQ1415" t="s">
        <v>1101</v>
      </c>
      <c r="BR1415" t="s">
        <v>84</v>
      </c>
      <c r="BS1415" s="3">
        <v>45881</v>
      </c>
      <c r="BT1415" s="4">
        <v>0.36319444444444443</v>
      </c>
      <c r="BU1415" t="s">
        <v>2095</v>
      </c>
      <c r="BV1415" t="s">
        <v>86</v>
      </c>
      <c r="BY1415">
        <v>2376</v>
      </c>
      <c r="CA1415" t="s">
        <v>1743</v>
      </c>
      <c r="CC1415" t="s">
        <v>76</v>
      </c>
      <c r="CD1415">
        <v>1600</v>
      </c>
      <c r="CE1415" t="s">
        <v>117</v>
      </c>
      <c r="CF1415" s="3">
        <v>45881</v>
      </c>
      <c r="CI1415">
        <v>1</v>
      </c>
      <c r="CJ1415">
        <v>1</v>
      </c>
      <c r="CK1415">
        <v>22</v>
      </c>
      <c r="CL1415" t="s">
        <v>90</v>
      </c>
    </row>
    <row r="1416" spans="1:90" x14ac:dyDescent="0.3">
      <c r="A1416" t="s">
        <v>72</v>
      </c>
      <c r="B1416" t="s">
        <v>73</v>
      </c>
      <c r="C1416" t="s">
        <v>74</v>
      </c>
      <c r="E1416" t="str">
        <f>"080067160009"</f>
        <v>080067160009</v>
      </c>
      <c r="F1416" s="3">
        <v>45880</v>
      </c>
      <c r="G1416">
        <v>202605</v>
      </c>
      <c r="H1416" t="s">
        <v>75</v>
      </c>
      <c r="I1416" t="s">
        <v>76</v>
      </c>
      <c r="J1416" t="s">
        <v>77</v>
      </c>
      <c r="K1416" t="s">
        <v>78</v>
      </c>
      <c r="L1416" t="s">
        <v>198</v>
      </c>
      <c r="M1416" t="s">
        <v>199</v>
      </c>
      <c r="N1416" t="s">
        <v>598</v>
      </c>
      <c r="O1416" t="s">
        <v>82</v>
      </c>
      <c r="P1416" t="str">
        <f>"4170054061                    "</f>
        <v xml:space="preserve">4170054061                    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Q1416">
        <v>23.09</v>
      </c>
      <c r="AR1416">
        <v>0</v>
      </c>
      <c r="AS1416">
        <v>0</v>
      </c>
      <c r="AT1416">
        <v>0</v>
      </c>
      <c r="AU1416">
        <v>0</v>
      </c>
      <c r="AV1416">
        <v>0</v>
      </c>
      <c r="AW1416">
        <v>0</v>
      </c>
      <c r="AX1416">
        <v>0</v>
      </c>
      <c r="AY1416">
        <v>0</v>
      </c>
      <c r="AZ1416">
        <v>0</v>
      </c>
      <c r="BA1416">
        <v>0</v>
      </c>
      <c r="BB1416">
        <v>0</v>
      </c>
      <c r="BC1416">
        <v>0</v>
      </c>
      <c r="BD1416">
        <v>0</v>
      </c>
      <c r="BE1416">
        <v>0</v>
      </c>
      <c r="BF1416">
        <v>0</v>
      </c>
      <c r="BG1416">
        <v>0</v>
      </c>
      <c r="BH1416">
        <v>1</v>
      </c>
      <c r="BI1416">
        <v>1</v>
      </c>
      <c r="BJ1416">
        <v>0.2</v>
      </c>
      <c r="BK1416">
        <v>1</v>
      </c>
      <c r="BL1416">
        <v>71.69</v>
      </c>
      <c r="BM1416">
        <v>10.75</v>
      </c>
      <c r="BN1416">
        <v>82.44</v>
      </c>
      <c r="BO1416">
        <v>82.44</v>
      </c>
      <c r="BQ1416" t="s">
        <v>599</v>
      </c>
      <c r="BR1416" t="s">
        <v>84</v>
      </c>
      <c r="BS1416" s="3">
        <v>45881</v>
      </c>
      <c r="BT1416" s="4">
        <v>0.35972222222222222</v>
      </c>
      <c r="BU1416" t="s">
        <v>600</v>
      </c>
      <c r="BV1416" t="s">
        <v>86</v>
      </c>
      <c r="BY1416">
        <v>1200</v>
      </c>
      <c r="CA1416" t="s">
        <v>601</v>
      </c>
      <c r="CC1416" t="s">
        <v>199</v>
      </c>
      <c r="CD1416">
        <v>6001</v>
      </c>
      <c r="CE1416" t="s">
        <v>109</v>
      </c>
      <c r="CF1416" s="3">
        <v>45881</v>
      </c>
      <c r="CI1416">
        <v>1</v>
      </c>
      <c r="CJ1416">
        <v>1</v>
      </c>
      <c r="CK1416">
        <v>21</v>
      </c>
      <c r="CL1416" t="s">
        <v>90</v>
      </c>
    </row>
    <row r="1417" spans="1:90" x14ac:dyDescent="0.3">
      <c r="A1417" t="s">
        <v>72</v>
      </c>
      <c r="B1417" t="s">
        <v>73</v>
      </c>
      <c r="C1417" t="s">
        <v>74</v>
      </c>
      <c r="E1417" t="str">
        <f>"080067160050"</f>
        <v>080067160050</v>
      </c>
      <c r="F1417" s="3">
        <v>45880</v>
      </c>
      <c r="G1417">
        <v>202605</v>
      </c>
      <c r="H1417" t="s">
        <v>75</v>
      </c>
      <c r="I1417" t="s">
        <v>76</v>
      </c>
      <c r="J1417" t="s">
        <v>77</v>
      </c>
      <c r="K1417" t="s">
        <v>78</v>
      </c>
      <c r="L1417" t="s">
        <v>520</v>
      </c>
      <c r="M1417" t="s">
        <v>521</v>
      </c>
      <c r="N1417" t="s">
        <v>522</v>
      </c>
      <c r="O1417" t="s">
        <v>82</v>
      </c>
      <c r="P1417" t="str">
        <f>"4170054014                    "</f>
        <v xml:space="preserve">4170054014                    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Q1417">
        <v>44.73</v>
      </c>
      <c r="AR1417">
        <v>0</v>
      </c>
      <c r="AS1417">
        <v>0</v>
      </c>
      <c r="AT1417">
        <v>0</v>
      </c>
      <c r="AU1417">
        <v>0</v>
      </c>
      <c r="AV1417">
        <v>0</v>
      </c>
      <c r="AW1417">
        <v>0</v>
      </c>
      <c r="AX1417">
        <v>0</v>
      </c>
      <c r="AY1417">
        <v>0</v>
      </c>
      <c r="AZ1417">
        <v>0</v>
      </c>
      <c r="BA1417">
        <v>0</v>
      </c>
      <c r="BB1417">
        <v>0</v>
      </c>
      <c r="BC1417">
        <v>0</v>
      </c>
      <c r="BD1417">
        <v>0</v>
      </c>
      <c r="BE1417">
        <v>0</v>
      </c>
      <c r="BF1417">
        <v>0</v>
      </c>
      <c r="BG1417">
        <v>0</v>
      </c>
      <c r="BH1417">
        <v>1</v>
      </c>
      <c r="BI1417">
        <v>1</v>
      </c>
      <c r="BJ1417">
        <v>0.2</v>
      </c>
      <c r="BK1417">
        <v>1</v>
      </c>
      <c r="BL1417">
        <v>138.88999999999999</v>
      </c>
      <c r="BM1417">
        <v>20.83</v>
      </c>
      <c r="BN1417">
        <v>159.72</v>
      </c>
      <c r="BO1417">
        <v>159.72</v>
      </c>
      <c r="BQ1417" t="s">
        <v>523</v>
      </c>
      <c r="BR1417" t="s">
        <v>84</v>
      </c>
      <c r="BS1417" s="3">
        <v>45881</v>
      </c>
      <c r="BT1417" s="4">
        <v>0.4375</v>
      </c>
      <c r="BU1417" t="s">
        <v>2121</v>
      </c>
      <c r="BV1417" t="s">
        <v>86</v>
      </c>
      <c r="BY1417">
        <v>1200</v>
      </c>
      <c r="CA1417" t="s">
        <v>525</v>
      </c>
      <c r="CC1417" t="s">
        <v>521</v>
      </c>
      <c r="CD1417">
        <v>1871</v>
      </c>
      <c r="CE1417" t="s">
        <v>109</v>
      </c>
      <c r="CF1417" s="3">
        <v>45882</v>
      </c>
      <c r="CI1417">
        <v>1</v>
      </c>
      <c r="CJ1417">
        <v>1</v>
      </c>
      <c r="CK1417">
        <v>23</v>
      </c>
      <c r="CL1417" t="s">
        <v>90</v>
      </c>
    </row>
    <row r="1418" spans="1:90" x14ac:dyDescent="0.3">
      <c r="A1418" t="s">
        <v>72</v>
      </c>
      <c r="B1418" t="s">
        <v>73</v>
      </c>
      <c r="C1418" t="s">
        <v>74</v>
      </c>
      <c r="E1418" t="str">
        <f>"080067160042"</f>
        <v>080067160042</v>
      </c>
      <c r="F1418" s="3">
        <v>45880</v>
      </c>
      <c r="G1418">
        <v>202605</v>
      </c>
      <c r="H1418" t="s">
        <v>75</v>
      </c>
      <c r="I1418" t="s">
        <v>76</v>
      </c>
      <c r="J1418" t="s">
        <v>77</v>
      </c>
      <c r="K1418" t="s">
        <v>78</v>
      </c>
      <c r="L1418" t="s">
        <v>217</v>
      </c>
      <c r="M1418" t="s">
        <v>218</v>
      </c>
      <c r="N1418" t="s">
        <v>219</v>
      </c>
      <c r="O1418" t="s">
        <v>82</v>
      </c>
      <c r="P1418" t="str">
        <f>"4170054067                    "</f>
        <v xml:space="preserve">4170054067                    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Q1418">
        <v>34.619999999999997</v>
      </c>
      <c r="AR1418">
        <v>0</v>
      </c>
      <c r="AS1418">
        <v>0</v>
      </c>
      <c r="AT1418">
        <v>0</v>
      </c>
      <c r="AU1418">
        <v>0</v>
      </c>
      <c r="AV1418">
        <v>0</v>
      </c>
      <c r="AW1418">
        <v>0</v>
      </c>
      <c r="AX1418">
        <v>0</v>
      </c>
      <c r="AY1418">
        <v>0</v>
      </c>
      <c r="AZ1418">
        <v>0</v>
      </c>
      <c r="BA1418">
        <v>0</v>
      </c>
      <c r="BB1418">
        <v>0</v>
      </c>
      <c r="BC1418">
        <v>0</v>
      </c>
      <c r="BD1418">
        <v>0</v>
      </c>
      <c r="BE1418">
        <v>0</v>
      </c>
      <c r="BF1418">
        <v>0</v>
      </c>
      <c r="BG1418">
        <v>0</v>
      </c>
      <c r="BH1418">
        <v>1</v>
      </c>
      <c r="BI1418">
        <v>3</v>
      </c>
      <c r="BJ1418">
        <v>1.9</v>
      </c>
      <c r="BK1418">
        <v>3</v>
      </c>
      <c r="BL1418">
        <v>107.5</v>
      </c>
      <c r="BM1418">
        <v>16.13</v>
      </c>
      <c r="BN1418">
        <v>123.63</v>
      </c>
      <c r="BO1418">
        <v>123.63</v>
      </c>
      <c r="BQ1418" t="s">
        <v>220</v>
      </c>
      <c r="BR1418" t="s">
        <v>84</v>
      </c>
      <c r="BS1418" s="3">
        <v>45881</v>
      </c>
      <c r="BT1418" s="4">
        <v>0.34375</v>
      </c>
      <c r="BU1418" t="s">
        <v>221</v>
      </c>
      <c r="BV1418" t="s">
        <v>86</v>
      </c>
      <c r="BY1418">
        <v>9600</v>
      </c>
      <c r="CA1418" t="s">
        <v>566</v>
      </c>
      <c r="CC1418" t="s">
        <v>218</v>
      </c>
      <c r="CD1418">
        <v>4051</v>
      </c>
      <c r="CE1418" t="s">
        <v>147</v>
      </c>
      <c r="CF1418" s="3">
        <v>45881</v>
      </c>
      <c r="CI1418">
        <v>1</v>
      </c>
      <c r="CJ1418">
        <v>1</v>
      </c>
      <c r="CK1418">
        <v>21</v>
      </c>
      <c r="CL1418" t="s">
        <v>90</v>
      </c>
    </row>
    <row r="1419" spans="1:90" x14ac:dyDescent="0.3">
      <c r="A1419" t="s">
        <v>72</v>
      </c>
      <c r="B1419" t="s">
        <v>73</v>
      </c>
      <c r="C1419" t="s">
        <v>74</v>
      </c>
      <c r="E1419" t="str">
        <f>"080067160102"</f>
        <v>080067160102</v>
      </c>
      <c r="F1419" s="3">
        <v>45880</v>
      </c>
      <c r="G1419">
        <v>202605</v>
      </c>
      <c r="H1419" t="s">
        <v>75</v>
      </c>
      <c r="I1419" t="s">
        <v>76</v>
      </c>
      <c r="J1419" t="s">
        <v>77</v>
      </c>
      <c r="K1419" t="s">
        <v>78</v>
      </c>
      <c r="L1419" t="s">
        <v>198</v>
      </c>
      <c r="M1419" t="s">
        <v>199</v>
      </c>
      <c r="N1419" t="s">
        <v>680</v>
      </c>
      <c r="O1419" t="s">
        <v>82</v>
      </c>
      <c r="P1419" t="str">
        <f>"4170054116                    "</f>
        <v xml:space="preserve">4170054116                    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Q1419">
        <v>23.09</v>
      </c>
      <c r="AR1419">
        <v>0</v>
      </c>
      <c r="AS1419">
        <v>0</v>
      </c>
      <c r="AT1419">
        <v>0</v>
      </c>
      <c r="AU1419">
        <v>0</v>
      </c>
      <c r="AV1419">
        <v>0</v>
      </c>
      <c r="AW1419">
        <v>0</v>
      </c>
      <c r="AX1419">
        <v>0</v>
      </c>
      <c r="AY1419">
        <v>0</v>
      </c>
      <c r="AZ1419">
        <v>0</v>
      </c>
      <c r="BA1419">
        <v>0</v>
      </c>
      <c r="BB1419">
        <v>0</v>
      </c>
      <c r="BC1419">
        <v>0</v>
      </c>
      <c r="BD1419">
        <v>0</v>
      </c>
      <c r="BE1419">
        <v>0</v>
      </c>
      <c r="BF1419">
        <v>0</v>
      </c>
      <c r="BG1419">
        <v>0</v>
      </c>
      <c r="BH1419">
        <v>1</v>
      </c>
      <c r="BI1419">
        <v>1</v>
      </c>
      <c r="BJ1419">
        <v>0.2</v>
      </c>
      <c r="BK1419">
        <v>1</v>
      </c>
      <c r="BL1419">
        <v>71.69</v>
      </c>
      <c r="BM1419">
        <v>10.75</v>
      </c>
      <c r="BN1419">
        <v>82.44</v>
      </c>
      <c r="BO1419">
        <v>82.44</v>
      </c>
      <c r="BQ1419" t="s">
        <v>681</v>
      </c>
      <c r="BR1419" t="s">
        <v>84</v>
      </c>
      <c r="BS1419" s="3">
        <v>45881</v>
      </c>
      <c r="BT1419" s="4">
        <v>0.38750000000000001</v>
      </c>
      <c r="BU1419" t="s">
        <v>682</v>
      </c>
      <c r="BV1419" t="s">
        <v>86</v>
      </c>
      <c r="BY1419">
        <v>1200</v>
      </c>
      <c r="CA1419" t="s">
        <v>413</v>
      </c>
      <c r="CC1419" t="s">
        <v>199</v>
      </c>
      <c r="CD1419">
        <v>6001</v>
      </c>
      <c r="CE1419" t="s">
        <v>109</v>
      </c>
      <c r="CF1419" s="3">
        <v>45881</v>
      </c>
      <c r="CI1419">
        <v>1</v>
      </c>
      <c r="CJ1419">
        <v>1</v>
      </c>
      <c r="CK1419">
        <v>21</v>
      </c>
      <c r="CL1419" t="s">
        <v>90</v>
      </c>
    </row>
    <row r="1420" spans="1:90" x14ac:dyDescent="0.3">
      <c r="A1420" t="s">
        <v>72</v>
      </c>
      <c r="B1420" t="s">
        <v>73</v>
      </c>
      <c r="C1420" t="s">
        <v>74</v>
      </c>
      <c r="E1420" t="str">
        <f>"080067160127"</f>
        <v>080067160127</v>
      </c>
      <c r="F1420" s="3">
        <v>45880</v>
      </c>
      <c r="G1420">
        <v>202605</v>
      </c>
      <c r="H1420" t="s">
        <v>75</v>
      </c>
      <c r="I1420" t="s">
        <v>76</v>
      </c>
      <c r="J1420" t="s">
        <v>77</v>
      </c>
      <c r="K1420" t="s">
        <v>78</v>
      </c>
      <c r="L1420" t="s">
        <v>137</v>
      </c>
      <c r="M1420" t="s">
        <v>138</v>
      </c>
      <c r="N1420" t="s">
        <v>781</v>
      </c>
      <c r="O1420" t="s">
        <v>82</v>
      </c>
      <c r="P1420" t="str">
        <f>"4170054022                    "</f>
        <v xml:space="preserve">4170054022                    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Q1420">
        <v>23.09</v>
      </c>
      <c r="AR1420">
        <v>0</v>
      </c>
      <c r="AS1420">
        <v>0</v>
      </c>
      <c r="AT1420">
        <v>0</v>
      </c>
      <c r="AU1420">
        <v>0</v>
      </c>
      <c r="AV1420">
        <v>0</v>
      </c>
      <c r="AW1420">
        <v>0</v>
      </c>
      <c r="AX1420">
        <v>0</v>
      </c>
      <c r="AY1420">
        <v>0</v>
      </c>
      <c r="AZ1420">
        <v>0</v>
      </c>
      <c r="BA1420">
        <v>0</v>
      </c>
      <c r="BB1420">
        <v>0</v>
      </c>
      <c r="BC1420">
        <v>0</v>
      </c>
      <c r="BD1420">
        <v>0</v>
      </c>
      <c r="BE1420">
        <v>0</v>
      </c>
      <c r="BF1420">
        <v>0</v>
      </c>
      <c r="BG1420">
        <v>0</v>
      </c>
      <c r="BH1420">
        <v>1</v>
      </c>
      <c r="BI1420">
        <v>1</v>
      </c>
      <c r="BJ1420">
        <v>0.2</v>
      </c>
      <c r="BK1420">
        <v>1</v>
      </c>
      <c r="BL1420">
        <v>71.69</v>
      </c>
      <c r="BM1420">
        <v>10.75</v>
      </c>
      <c r="BN1420">
        <v>82.44</v>
      </c>
      <c r="BO1420">
        <v>82.44</v>
      </c>
      <c r="BQ1420" t="s">
        <v>782</v>
      </c>
      <c r="BR1420" t="s">
        <v>84</v>
      </c>
      <c r="BS1420" s="3">
        <v>45881</v>
      </c>
      <c r="BT1420" s="4">
        <v>0.51388888888888884</v>
      </c>
      <c r="BU1420" t="s">
        <v>952</v>
      </c>
      <c r="BV1420" t="s">
        <v>86</v>
      </c>
      <c r="BY1420">
        <v>1200</v>
      </c>
      <c r="CA1420" t="s">
        <v>953</v>
      </c>
      <c r="CC1420" t="s">
        <v>138</v>
      </c>
      <c r="CD1420">
        <v>3610</v>
      </c>
      <c r="CE1420" t="s">
        <v>109</v>
      </c>
      <c r="CF1420" s="3">
        <v>45882</v>
      </c>
      <c r="CI1420">
        <v>1</v>
      </c>
      <c r="CJ1420">
        <v>1</v>
      </c>
      <c r="CK1420">
        <v>21</v>
      </c>
      <c r="CL1420" t="s">
        <v>90</v>
      </c>
    </row>
    <row r="1421" spans="1:90" x14ac:dyDescent="0.3">
      <c r="A1421" t="s">
        <v>72</v>
      </c>
      <c r="B1421" t="s">
        <v>73</v>
      </c>
      <c r="C1421" t="s">
        <v>74</v>
      </c>
      <c r="E1421" t="str">
        <f>"080067160162"</f>
        <v>080067160162</v>
      </c>
      <c r="F1421" s="3">
        <v>45880</v>
      </c>
      <c r="G1421">
        <v>202605</v>
      </c>
      <c r="H1421" t="s">
        <v>75</v>
      </c>
      <c r="I1421" t="s">
        <v>76</v>
      </c>
      <c r="J1421" t="s">
        <v>77</v>
      </c>
      <c r="K1421" t="s">
        <v>78</v>
      </c>
      <c r="L1421" t="s">
        <v>75</v>
      </c>
      <c r="M1421" t="s">
        <v>76</v>
      </c>
      <c r="N1421" t="s">
        <v>2122</v>
      </c>
      <c r="O1421" t="s">
        <v>113</v>
      </c>
      <c r="P1421" t="str">
        <f>"4170053997                    "</f>
        <v xml:space="preserve">4170053997                    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Q1421">
        <v>18.04</v>
      </c>
      <c r="AR1421">
        <v>0</v>
      </c>
      <c r="AS1421">
        <v>0</v>
      </c>
      <c r="AT1421">
        <v>0</v>
      </c>
      <c r="AU1421">
        <v>0</v>
      </c>
      <c r="AV1421">
        <v>0</v>
      </c>
      <c r="AW1421">
        <v>0</v>
      </c>
      <c r="AX1421">
        <v>0</v>
      </c>
      <c r="AY1421">
        <v>0</v>
      </c>
      <c r="AZ1421">
        <v>0</v>
      </c>
      <c r="BA1421">
        <v>0</v>
      </c>
      <c r="BB1421">
        <v>0</v>
      </c>
      <c r="BC1421">
        <v>0</v>
      </c>
      <c r="BD1421">
        <v>0</v>
      </c>
      <c r="BE1421">
        <v>0</v>
      </c>
      <c r="BF1421">
        <v>0</v>
      </c>
      <c r="BG1421">
        <v>0</v>
      </c>
      <c r="BH1421">
        <v>1</v>
      </c>
      <c r="BI1421">
        <v>5</v>
      </c>
      <c r="BJ1421">
        <v>1.7</v>
      </c>
      <c r="BK1421">
        <v>5</v>
      </c>
      <c r="BL1421">
        <v>56.01</v>
      </c>
      <c r="BM1421">
        <v>8.4</v>
      </c>
      <c r="BN1421">
        <v>64.41</v>
      </c>
      <c r="BO1421">
        <v>64.41</v>
      </c>
      <c r="BQ1421" t="s">
        <v>2123</v>
      </c>
      <c r="BR1421" t="s">
        <v>84</v>
      </c>
      <c r="BS1421" s="3">
        <v>45882</v>
      </c>
      <c r="BT1421" s="4">
        <v>0.57986111111111116</v>
      </c>
      <c r="BU1421" t="s">
        <v>2124</v>
      </c>
      <c r="BV1421" t="s">
        <v>90</v>
      </c>
      <c r="BW1421" t="s">
        <v>380</v>
      </c>
      <c r="BX1421" t="s">
        <v>2045</v>
      </c>
      <c r="BY1421">
        <v>8512</v>
      </c>
      <c r="CC1421" t="s">
        <v>76</v>
      </c>
      <c r="CD1421">
        <v>1685</v>
      </c>
      <c r="CE1421" t="s">
        <v>147</v>
      </c>
      <c r="CF1421" s="3">
        <v>45883</v>
      </c>
      <c r="CI1421">
        <v>1</v>
      </c>
      <c r="CJ1421">
        <v>2</v>
      </c>
      <c r="CK1421">
        <v>32</v>
      </c>
      <c r="CL1421" t="s">
        <v>90</v>
      </c>
    </row>
    <row r="1422" spans="1:90" x14ac:dyDescent="0.3">
      <c r="A1422" t="s">
        <v>72</v>
      </c>
      <c r="B1422" t="s">
        <v>73</v>
      </c>
      <c r="C1422" t="s">
        <v>74</v>
      </c>
      <c r="E1422" t="str">
        <f>"080067160224"</f>
        <v>080067160224</v>
      </c>
      <c r="F1422" s="3">
        <v>45880</v>
      </c>
      <c r="G1422">
        <v>202605</v>
      </c>
      <c r="H1422" t="s">
        <v>75</v>
      </c>
      <c r="I1422" t="s">
        <v>76</v>
      </c>
      <c r="J1422" t="s">
        <v>77</v>
      </c>
      <c r="K1422" t="s">
        <v>78</v>
      </c>
      <c r="L1422" t="s">
        <v>198</v>
      </c>
      <c r="M1422" t="s">
        <v>199</v>
      </c>
      <c r="N1422" t="s">
        <v>686</v>
      </c>
      <c r="O1422" t="s">
        <v>82</v>
      </c>
      <c r="P1422" t="str">
        <f>"4170050997                    "</f>
        <v xml:space="preserve">4170050997                    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Q1422">
        <v>103.82</v>
      </c>
      <c r="AR1422">
        <v>0</v>
      </c>
      <c r="AS1422">
        <v>0</v>
      </c>
      <c r="AT1422">
        <v>0</v>
      </c>
      <c r="AU1422">
        <v>0</v>
      </c>
      <c r="AV1422">
        <v>0</v>
      </c>
      <c r="AW1422">
        <v>0</v>
      </c>
      <c r="AX1422">
        <v>0</v>
      </c>
      <c r="AY1422">
        <v>0</v>
      </c>
      <c r="AZ1422">
        <v>0</v>
      </c>
      <c r="BA1422">
        <v>0</v>
      </c>
      <c r="BB1422">
        <v>0</v>
      </c>
      <c r="BC1422">
        <v>0</v>
      </c>
      <c r="BD1422">
        <v>0</v>
      </c>
      <c r="BE1422">
        <v>0</v>
      </c>
      <c r="BF1422">
        <v>0</v>
      </c>
      <c r="BG1422">
        <v>0</v>
      </c>
      <c r="BH1422">
        <v>2</v>
      </c>
      <c r="BI1422">
        <v>6</v>
      </c>
      <c r="BJ1422">
        <v>8.6</v>
      </c>
      <c r="BK1422">
        <v>9</v>
      </c>
      <c r="BL1422">
        <v>322.38</v>
      </c>
      <c r="BM1422">
        <v>48.36</v>
      </c>
      <c r="BN1422">
        <v>370.74</v>
      </c>
      <c r="BO1422">
        <v>370.74</v>
      </c>
      <c r="BQ1422" t="s">
        <v>687</v>
      </c>
      <c r="BR1422" t="s">
        <v>84</v>
      </c>
      <c r="BS1422" s="3">
        <v>45881</v>
      </c>
      <c r="BT1422" s="4">
        <v>0.375</v>
      </c>
      <c r="BU1422" t="s">
        <v>2125</v>
      </c>
      <c r="BV1422" t="s">
        <v>86</v>
      </c>
      <c r="BY1422">
        <v>42972</v>
      </c>
      <c r="CA1422" t="s">
        <v>689</v>
      </c>
      <c r="CC1422" t="s">
        <v>199</v>
      </c>
      <c r="CD1422">
        <v>6020</v>
      </c>
      <c r="CE1422" t="s">
        <v>147</v>
      </c>
      <c r="CF1422" s="3">
        <v>45881</v>
      </c>
      <c r="CI1422">
        <v>1</v>
      </c>
      <c r="CJ1422">
        <v>1</v>
      </c>
      <c r="CK1422">
        <v>21</v>
      </c>
      <c r="CL1422" t="s">
        <v>90</v>
      </c>
    </row>
    <row r="1423" spans="1:90" x14ac:dyDescent="0.3">
      <c r="A1423" t="s">
        <v>72</v>
      </c>
      <c r="B1423" t="s">
        <v>73</v>
      </c>
      <c r="C1423" t="s">
        <v>74</v>
      </c>
      <c r="E1423" t="str">
        <f>"080011590348"</f>
        <v>080011590348</v>
      </c>
      <c r="F1423" s="3">
        <v>45880</v>
      </c>
      <c r="G1423">
        <v>202605</v>
      </c>
      <c r="H1423" t="s">
        <v>198</v>
      </c>
      <c r="I1423" t="s">
        <v>199</v>
      </c>
      <c r="J1423" t="s">
        <v>2126</v>
      </c>
      <c r="K1423" t="s">
        <v>78</v>
      </c>
      <c r="L1423" t="s">
        <v>75</v>
      </c>
      <c r="M1423" t="s">
        <v>76</v>
      </c>
      <c r="N1423" t="s">
        <v>94</v>
      </c>
      <c r="O1423" t="s">
        <v>95</v>
      </c>
      <c r="P1423" t="str">
        <f>"ZA1001402687                  "</f>
        <v xml:space="preserve">ZA1001402687                  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0</v>
      </c>
      <c r="AP1423">
        <v>0</v>
      </c>
      <c r="AQ1423">
        <v>44.64</v>
      </c>
      <c r="AR1423">
        <v>0</v>
      </c>
      <c r="AS1423">
        <v>0</v>
      </c>
      <c r="AT1423">
        <v>0</v>
      </c>
      <c r="AU1423">
        <v>0</v>
      </c>
      <c r="AV1423">
        <v>0</v>
      </c>
      <c r="AW1423">
        <v>0</v>
      </c>
      <c r="AX1423">
        <v>0</v>
      </c>
      <c r="AY1423">
        <v>0</v>
      </c>
      <c r="AZ1423">
        <v>0</v>
      </c>
      <c r="BA1423">
        <v>0</v>
      </c>
      <c r="BB1423">
        <v>0</v>
      </c>
      <c r="BC1423">
        <v>0</v>
      </c>
      <c r="BD1423">
        <v>0</v>
      </c>
      <c r="BE1423">
        <v>0</v>
      </c>
      <c r="BF1423">
        <v>0</v>
      </c>
      <c r="BG1423">
        <v>0</v>
      </c>
      <c r="BH1423">
        <v>1</v>
      </c>
      <c r="BI1423">
        <v>1</v>
      </c>
      <c r="BJ1423">
        <v>0.4</v>
      </c>
      <c r="BK1423">
        <v>1</v>
      </c>
      <c r="BL1423">
        <v>144.49</v>
      </c>
      <c r="BM1423">
        <v>21.67</v>
      </c>
      <c r="BN1423">
        <v>166.16</v>
      </c>
      <c r="BO1423">
        <v>166.16</v>
      </c>
      <c r="BP1423" t="s">
        <v>96</v>
      </c>
      <c r="BQ1423" t="s">
        <v>97</v>
      </c>
      <c r="BR1423" t="s">
        <v>2127</v>
      </c>
      <c r="BS1423" s="3">
        <v>45882</v>
      </c>
      <c r="BT1423" s="4">
        <v>0.4</v>
      </c>
      <c r="BU1423" t="s">
        <v>245</v>
      </c>
      <c r="BV1423" t="s">
        <v>86</v>
      </c>
      <c r="BY1423">
        <v>1800</v>
      </c>
      <c r="BZ1423" t="s">
        <v>100</v>
      </c>
      <c r="CA1423" t="s">
        <v>1743</v>
      </c>
      <c r="CC1423" t="s">
        <v>76</v>
      </c>
      <c r="CD1423">
        <v>1619</v>
      </c>
      <c r="CE1423" t="s">
        <v>102</v>
      </c>
      <c r="CF1423" s="3">
        <v>45882</v>
      </c>
      <c r="CI1423">
        <v>3</v>
      </c>
      <c r="CJ1423">
        <v>2</v>
      </c>
      <c r="CK1423">
        <v>41</v>
      </c>
      <c r="CL1423" t="s">
        <v>90</v>
      </c>
    </row>
    <row r="1424" spans="1:90" x14ac:dyDescent="0.3">
      <c r="A1424" t="s">
        <v>72</v>
      </c>
      <c r="B1424" t="s">
        <v>73</v>
      </c>
      <c r="C1424" t="s">
        <v>74</v>
      </c>
      <c r="E1424" t="str">
        <f>"080011590451"</f>
        <v>080011590451</v>
      </c>
      <c r="F1424" s="3">
        <v>45880</v>
      </c>
      <c r="G1424">
        <v>202605</v>
      </c>
      <c r="H1424" t="s">
        <v>91</v>
      </c>
      <c r="I1424" t="s">
        <v>92</v>
      </c>
      <c r="J1424" t="s">
        <v>93</v>
      </c>
      <c r="K1424" t="s">
        <v>78</v>
      </c>
      <c r="L1424" t="s">
        <v>75</v>
      </c>
      <c r="M1424" t="s">
        <v>76</v>
      </c>
      <c r="N1424" t="s">
        <v>94</v>
      </c>
      <c r="O1424" t="s">
        <v>95</v>
      </c>
      <c r="P1424" t="str">
        <f>"ZA1001403229                  "</f>
        <v xml:space="preserve">ZA1001403229                  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Q1424">
        <v>50.17</v>
      </c>
      <c r="AR1424">
        <v>0</v>
      </c>
      <c r="AS1424">
        <v>0</v>
      </c>
      <c r="AT1424">
        <v>0</v>
      </c>
      <c r="AU1424">
        <v>0</v>
      </c>
      <c r="AV1424">
        <v>0</v>
      </c>
      <c r="AW1424">
        <v>0</v>
      </c>
      <c r="AX1424">
        <v>0</v>
      </c>
      <c r="AY1424">
        <v>0</v>
      </c>
      <c r="AZ1424">
        <v>0</v>
      </c>
      <c r="BA1424">
        <v>0</v>
      </c>
      <c r="BB1424">
        <v>0</v>
      </c>
      <c r="BC1424">
        <v>0</v>
      </c>
      <c r="BD1424">
        <v>0</v>
      </c>
      <c r="BE1424">
        <v>0</v>
      </c>
      <c r="BF1424">
        <v>0</v>
      </c>
      <c r="BG1424">
        <v>0</v>
      </c>
      <c r="BH1424">
        <v>1</v>
      </c>
      <c r="BI1424">
        <v>16</v>
      </c>
      <c r="BJ1424">
        <v>17.100000000000001</v>
      </c>
      <c r="BK1424">
        <v>18</v>
      </c>
      <c r="BL1424">
        <v>161.66</v>
      </c>
      <c r="BM1424">
        <v>24.25</v>
      </c>
      <c r="BN1424">
        <v>185.91</v>
      </c>
      <c r="BO1424">
        <v>185.91</v>
      </c>
      <c r="BP1424" t="s">
        <v>96</v>
      </c>
      <c r="BQ1424" t="s">
        <v>97</v>
      </c>
      <c r="BR1424" t="s">
        <v>98</v>
      </c>
      <c r="BS1424" s="3">
        <v>45881</v>
      </c>
      <c r="BT1424" s="4">
        <v>0.42569444444444443</v>
      </c>
      <c r="BU1424" t="s">
        <v>245</v>
      </c>
      <c r="BV1424" t="s">
        <v>86</v>
      </c>
      <c r="BY1424">
        <v>85560</v>
      </c>
      <c r="BZ1424" t="s">
        <v>100</v>
      </c>
      <c r="CA1424" t="s">
        <v>1743</v>
      </c>
      <c r="CC1424" t="s">
        <v>76</v>
      </c>
      <c r="CD1424">
        <v>1619</v>
      </c>
      <c r="CE1424" t="s">
        <v>102</v>
      </c>
      <c r="CF1424" s="3">
        <v>45881</v>
      </c>
      <c r="CI1424">
        <v>1</v>
      </c>
      <c r="CJ1424">
        <v>1</v>
      </c>
      <c r="CK1424">
        <v>41</v>
      </c>
      <c r="CL1424" t="s">
        <v>90</v>
      </c>
    </row>
    <row r="1425" spans="1:90" x14ac:dyDescent="0.3">
      <c r="A1425" t="s">
        <v>72</v>
      </c>
      <c r="B1425" t="s">
        <v>73</v>
      </c>
      <c r="C1425" t="s">
        <v>74</v>
      </c>
      <c r="E1425" t="str">
        <f>"080011591612"</f>
        <v>080011591612</v>
      </c>
      <c r="F1425" s="3">
        <v>45880</v>
      </c>
      <c r="G1425">
        <v>202605</v>
      </c>
      <c r="H1425" t="s">
        <v>123</v>
      </c>
      <c r="I1425" t="s">
        <v>124</v>
      </c>
      <c r="J1425" t="s">
        <v>2128</v>
      </c>
      <c r="K1425" t="s">
        <v>78</v>
      </c>
      <c r="L1425" t="s">
        <v>75</v>
      </c>
      <c r="M1425" t="s">
        <v>76</v>
      </c>
      <c r="N1425" t="s">
        <v>94</v>
      </c>
      <c r="O1425" t="s">
        <v>82</v>
      </c>
      <c r="P1425" t="str">
        <f>"ZA1001403237                  "</f>
        <v xml:space="preserve">ZA1001403237                  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Q1425">
        <v>46.15</v>
      </c>
      <c r="AR1425">
        <v>0</v>
      </c>
      <c r="AS1425">
        <v>0</v>
      </c>
      <c r="AT1425">
        <v>0</v>
      </c>
      <c r="AU1425">
        <v>0</v>
      </c>
      <c r="AV1425">
        <v>0</v>
      </c>
      <c r="AW1425">
        <v>0</v>
      </c>
      <c r="AX1425">
        <v>0</v>
      </c>
      <c r="AY1425">
        <v>0</v>
      </c>
      <c r="AZ1425">
        <v>0</v>
      </c>
      <c r="BA1425">
        <v>0</v>
      </c>
      <c r="BB1425">
        <v>0</v>
      </c>
      <c r="BC1425">
        <v>0</v>
      </c>
      <c r="BD1425">
        <v>0</v>
      </c>
      <c r="BE1425">
        <v>0</v>
      </c>
      <c r="BF1425">
        <v>0</v>
      </c>
      <c r="BG1425">
        <v>0</v>
      </c>
      <c r="BH1425">
        <v>1</v>
      </c>
      <c r="BI1425">
        <v>3.6</v>
      </c>
      <c r="BJ1425">
        <v>1.1000000000000001</v>
      </c>
      <c r="BK1425">
        <v>4</v>
      </c>
      <c r="BL1425">
        <v>143.31</v>
      </c>
      <c r="BM1425">
        <v>21.5</v>
      </c>
      <c r="BN1425">
        <v>164.81</v>
      </c>
      <c r="BO1425">
        <v>164.81</v>
      </c>
      <c r="BP1425" t="s">
        <v>96</v>
      </c>
      <c r="BQ1425" t="s">
        <v>97</v>
      </c>
      <c r="BR1425" t="s">
        <v>2129</v>
      </c>
      <c r="BS1425" s="3">
        <v>45881</v>
      </c>
      <c r="BT1425" s="4">
        <v>0.38194444444444442</v>
      </c>
      <c r="BU1425" t="s">
        <v>245</v>
      </c>
      <c r="BV1425" t="s">
        <v>86</v>
      </c>
      <c r="BY1425">
        <v>5319.6</v>
      </c>
      <c r="BZ1425" t="s">
        <v>330</v>
      </c>
      <c r="CA1425" t="s">
        <v>390</v>
      </c>
      <c r="CC1425" t="s">
        <v>76</v>
      </c>
      <c r="CD1425">
        <v>1619</v>
      </c>
      <c r="CE1425" t="s">
        <v>102</v>
      </c>
      <c r="CF1425" s="3">
        <v>45882</v>
      </c>
      <c r="CI1425">
        <v>1</v>
      </c>
      <c r="CJ1425">
        <v>1</v>
      </c>
      <c r="CK1425">
        <v>21</v>
      </c>
      <c r="CL1425" t="s">
        <v>90</v>
      </c>
    </row>
    <row r="1426" spans="1:90" x14ac:dyDescent="0.3">
      <c r="A1426" t="s">
        <v>72</v>
      </c>
      <c r="B1426" t="s">
        <v>73</v>
      </c>
      <c r="C1426" t="s">
        <v>74</v>
      </c>
      <c r="E1426" t="str">
        <f>"080011591718"</f>
        <v>080011591718</v>
      </c>
      <c r="F1426" s="3">
        <v>45880</v>
      </c>
      <c r="G1426">
        <v>202605</v>
      </c>
      <c r="H1426" t="s">
        <v>198</v>
      </c>
      <c r="I1426" t="s">
        <v>199</v>
      </c>
      <c r="J1426" t="s">
        <v>2130</v>
      </c>
      <c r="K1426" t="s">
        <v>78</v>
      </c>
      <c r="L1426" t="s">
        <v>75</v>
      </c>
      <c r="M1426" t="s">
        <v>76</v>
      </c>
      <c r="N1426" t="s">
        <v>94</v>
      </c>
      <c r="O1426" t="s">
        <v>82</v>
      </c>
      <c r="P1426" t="str">
        <f>"ZA1001402541 S4 Integration   "</f>
        <v xml:space="preserve">ZA1001402541 S4 Integration   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Q1426">
        <v>34.619999999999997</v>
      </c>
      <c r="AR1426">
        <v>0</v>
      </c>
      <c r="AS1426">
        <v>0</v>
      </c>
      <c r="AT1426">
        <v>0</v>
      </c>
      <c r="AU1426">
        <v>0</v>
      </c>
      <c r="AV1426">
        <v>0</v>
      </c>
      <c r="AW1426">
        <v>0</v>
      </c>
      <c r="AX1426">
        <v>0</v>
      </c>
      <c r="AY1426">
        <v>0</v>
      </c>
      <c r="AZ1426">
        <v>0</v>
      </c>
      <c r="BA1426">
        <v>0</v>
      </c>
      <c r="BB1426">
        <v>0</v>
      </c>
      <c r="BC1426">
        <v>0</v>
      </c>
      <c r="BD1426">
        <v>0</v>
      </c>
      <c r="BE1426">
        <v>0</v>
      </c>
      <c r="BF1426">
        <v>0</v>
      </c>
      <c r="BG1426">
        <v>0</v>
      </c>
      <c r="BH1426">
        <v>1</v>
      </c>
      <c r="BI1426">
        <v>3</v>
      </c>
      <c r="BJ1426">
        <v>2.4</v>
      </c>
      <c r="BK1426">
        <v>3</v>
      </c>
      <c r="BL1426">
        <v>107.5</v>
      </c>
      <c r="BM1426">
        <v>16.13</v>
      </c>
      <c r="BN1426">
        <v>123.63</v>
      </c>
      <c r="BO1426">
        <v>123.63</v>
      </c>
      <c r="BP1426" t="s">
        <v>96</v>
      </c>
      <c r="BQ1426" t="s">
        <v>97</v>
      </c>
      <c r="BR1426" t="s">
        <v>2131</v>
      </c>
      <c r="BS1426" s="3">
        <v>45881</v>
      </c>
      <c r="BT1426" s="4">
        <v>0.42569444444444443</v>
      </c>
      <c r="BU1426" t="s">
        <v>245</v>
      </c>
      <c r="BV1426" t="s">
        <v>86</v>
      </c>
      <c r="BY1426">
        <v>12000</v>
      </c>
      <c r="BZ1426" t="s">
        <v>330</v>
      </c>
      <c r="CA1426" t="s">
        <v>1743</v>
      </c>
      <c r="CC1426" t="s">
        <v>76</v>
      </c>
      <c r="CD1426">
        <v>1619</v>
      </c>
      <c r="CE1426" t="s">
        <v>102</v>
      </c>
      <c r="CF1426" s="3">
        <v>45881</v>
      </c>
      <c r="CI1426">
        <v>1</v>
      </c>
      <c r="CJ1426">
        <v>1</v>
      </c>
      <c r="CK1426">
        <v>21</v>
      </c>
      <c r="CL1426" t="s">
        <v>90</v>
      </c>
    </row>
    <row r="1427" spans="1:90" x14ac:dyDescent="0.3">
      <c r="A1427" t="s">
        <v>72</v>
      </c>
      <c r="B1427" t="s">
        <v>73</v>
      </c>
      <c r="C1427" t="s">
        <v>74</v>
      </c>
      <c r="E1427" t="str">
        <f>"080067160712"</f>
        <v>080067160712</v>
      </c>
      <c r="F1427" s="3">
        <v>45880</v>
      </c>
      <c r="G1427">
        <v>202605</v>
      </c>
      <c r="H1427" t="s">
        <v>75</v>
      </c>
      <c r="I1427" t="s">
        <v>76</v>
      </c>
      <c r="J1427" t="s">
        <v>77</v>
      </c>
      <c r="K1427" t="s">
        <v>78</v>
      </c>
      <c r="L1427" t="s">
        <v>123</v>
      </c>
      <c r="M1427" t="s">
        <v>124</v>
      </c>
      <c r="N1427" t="s">
        <v>406</v>
      </c>
      <c r="O1427" t="s">
        <v>82</v>
      </c>
      <c r="P1427" t="str">
        <f>"4170053976                    "</f>
        <v xml:space="preserve">4170053976                    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0</v>
      </c>
      <c r="AP1427">
        <v>0</v>
      </c>
      <c r="AQ1427">
        <v>23.09</v>
      </c>
      <c r="AR1427">
        <v>0</v>
      </c>
      <c r="AS1427">
        <v>0</v>
      </c>
      <c r="AT1427">
        <v>0</v>
      </c>
      <c r="AU1427">
        <v>0</v>
      </c>
      <c r="AV1427">
        <v>0</v>
      </c>
      <c r="AW1427">
        <v>0</v>
      </c>
      <c r="AX1427">
        <v>0</v>
      </c>
      <c r="AY1427">
        <v>0</v>
      </c>
      <c r="AZ1427">
        <v>0</v>
      </c>
      <c r="BA1427">
        <v>0</v>
      </c>
      <c r="BB1427">
        <v>0</v>
      </c>
      <c r="BC1427">
        <v>0</v>
      </c>
      <c r="BD1427">
        <v>0</v>
      </c>
      <c r="BE1427">
        <v>0</v>
      </c>
      <c r="BF1427">
        <v>0</v>
      </c>
      <c r="BG1427">
        <v>0</v>
      </c>
      <c r="BH1427">
        <v>1</v>
      </c>
      <c r="BI1427">
        <v>1</v>
      </c>
      <c r="BJ1427">
        <v>0.2</v>
      </c>
      <c r="BK1427">
        <v>1</v>
      </c>
      <c r="BL1427">
        <v>71.69</v>
      </c>
      <c r="BM1427">
        <v>10.75</v>
      </c>
      <c r="BN1427">
        <v>82.44</v>
      </c>
      <c r="BO1427">
        <v>82.44</v>
      </c>
      <c r="BQ1427" t="s">
        <v>407</v>
      </c>
      <c r="BR1427" t="s">
        <v>84</v>
      </c>
      <c r="BS1427" s="3">
        <v>45881</v>
      </c>
      <c r="BT1427" s="4">
        <v>0.40972222222222221</v>
      </c>
      <c r="BU1427" t="s">
        <v>408</v>
      </c>
      <c r="BV1427" t="s">
        <v>86</v>
      </c>
      <c r="BY1427">
        <v>1200</v>
      </c>
      <c r="CA1427" t="s">
        <v>192</v>
      </c>
      <c r="CC1427" t="s">
        <v>124</v>
      </c>
      <c r="CD1427">
        <v>7441</v>
      </c>
      <c r="CE1427" t="s">
        <v>109</v>
      </c>
      <c r="CF1427" s="3">
        <v>45882</v>
      </c>
      <c r="CI1427">
        <v>1</v>
      </c>
      <c r="CJ1427">
        <v>1</v>
      </c>
      <c r="CK1427">
        <v>21</v>
      </c>
      <c r="CL1427" t="s">
        <v>90</v>
      </c>
    </row>
    <row r="1428" spans="1:90" x14ac:dyDescent="0.3">
      <c r="A1428" t="s">
        <v>72</v>
      </c>
      <c r="B1428" t="s">
        <v>73</v>
      </c>
      <c r="C1428" t="s">
        <v>74</v>
      </c>
      <c r="E1428" t="str">
        <f>"080067160726"</f>
        <v>080067160726</v>
      </c>
      <c r="F1428" s="3">
        <v>45880</v>
      </c>
      <c r="G1428">
        <v>202605</v>
      </c>
      <c r="H1428" t="s">
        <v>75</v>
      </c>
      <c r="I1428" t="s">
        <v>76</v>
      </c>
      <c r="J1428" t="s">
        <v>77</v>
      </c>
      <c r="K1428" t="s">
        <v>78</v>
      </c>
      <c r="L1428" t="s">
        <v>162</v>
      </c>
      <c r="M1428" t="s">
        <v>163</v>
      </c>
      <c r="N1428" t="s">
        <v>2132</v>
      </c>
      <c r="O1428" t="s">
        <v>82</v>
      </c>
      <c r="P1428" t="str">
        <f>"4170054106                    "</f>
        <v xml:space="preserve">4170054106                    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Q1428">
        <v>115.35</v>
      </c>
      <c r="AR1428">
        <v>0</v>
      </c>
      <c r="AS1428">
        <v>0</v>
      </c>
      <c r="AT1428">
        <v>0</v>
      </c>
      <c r="AU1428">
        <v>0</v>
      </c>
      <c r="AV1428">
        <v>0</v>
      </c>
      <c r="AW1428">
        <v>0</v>
      </c>
      <c r="AX1428">
        <v>0</v>
      </c>
      <c r="AY1428">
        <v>0</v>
      </c>
      <c r="AZ1428">
        <v>0</v>
      </c>
      <c r="BA1428">
        <v>0</v>
      </c>
      <c r="BB1428">
        <v>0</v>
      </c>
      <c r="BC1428">
        <v>0</v>
      </c>
      <c r="BD1428">
        <v>0</v>
      </c>
      <c r="BE1428">
        <v>0</v>
      </c>
      <c r="BF1428">
        <v>0</v>
      </c>
      <c r="BG1428">
        <v>0</v>
      </c>
      <c r="BH1428">
        <v>1</v>
      </c>
      <c r="BI1428">
        <v>10</v>
      </c>
      <c r="BJ1428">
        <v>7.6</v>
      </c>
      <c r="BK1428">
        <v>10</v>
      </c>
      <c r="BL1428">
        <v>358.19</v>
      </c>
      <c r="BM1428">
        <v>53.73</v>
      </c>
      <c r="BN1428">
        <v>411.92</v>
      </c>
      <c r="BO1428">
        <v>411.92</v>
      </c>
      <c r="BQ1428" t="s">
        <v>2133</v>
      </c>
      <c r="BR1428" t="s">
        <v>84</v>
      </c>
      <c r="BS1428" s="3">
        <v>45881</v>
      </c>
      <c r="BT1428" s="4">
        <v>0.41666666666666669</v>
      </c>
      <c r="BU1428" t="s">
        <v>2134</v>
      </c>
      <c r="BV1428" t="s">
        <v>86</v>
      </c>
      <c r="BY1428">
        <v>38144</v>
      </c>
      <c r="CC1428" t="s">
        <v>163</v>
      </c>
      <c r="CD1428">
        <v>3201</v>
      </c>
      <c r="CE1428" t="s">
        <v>117</v>
      </c>
      <c r="CF1428" s="3">
        <v>45882</v>
      </c>
      <c r="CI1428">
        <v>1</v>
      </c>
      <c r="CJ1428">
        <v>1</v>
      </c>
      <c r="CK1428">
        <v>21</v>
      </c>
      <c r="CL1428" t="s">
        <v>90</v>
      </c>
    </row>
    <row r="1429" spans="1:90" x14ac:dyDescent="0.3">
      <c r="A1429" t="s">
        <v>72</v>
      </c>
      <c r="B1429" t="s">
        <v>73</v>
      </c>
      <c r="C1429" t="s">
        <v>74</v>
      </c>
      <c r="E1429" t="str">
        <f>"080067160771"</f>
        <v>080067160771</v>
      </c>
      <c r="F1429" s="3">
        <v>45880</v>
      </c>
      <c r="G1429">
        <v>202605</v>
      </c>
      <c r="H1429" t="s">
        <v>75</v>
      </c>
      <c r="I1429" t="s">
        <v>76</v>
      </c>
      <c r="J1429" t="s">
        <v>77</v>
      </c>
      <c r="K1429" t="s">
        <v>78</v>
      </c>
      <c r="L1429" t="s">
        <v>2135</v>
      </c>
      <c r="M1429" t="s">
        <v>2136</v>
      </c>
      <c r="N1429" t="s">
        <v>2137</v>
      </c>
      <c r="O1429" t="s">
        <v>82</v>
      </c>
      <c r="P1429" t="str">
        <f>"4170054003                    "</f>
        <v xml:space="preserve">4170054003                    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>
        <v>44.73</v>
      </c>
      <c r="AR1429">
        <v>0</v>
      </c>
      <c r="AS1429">
        <v>0</v>
      </c>
      <c r="AT1429">
        <v>0</v>
      </c>
      <c r="AU1429">
        <v>0</v>
      </c>
      <c r="AV1429">
        <v>0</v>
      </c>
      <c r="AW1429">
        <v>0</v>
      </c>
      <c r="AX1429">
        <v>0</v>
      </c>
      <c r="AY1429">
        <v>0</v>
      </c>
      <c r="AZ1429">
        <v>0</v>
      </c>
      <c r="BA1429">
        <v>0</v>
      </c>
      <c r="BB1429">
        <v>0</v>
      </c>
      <c r="BC1429">
        <v>0</v>
      </c>
      <c r="BD1429">
        <v>0</v>
      </c>
      <c r="BE1429">
        <v>0</v>
      </c>
      <c r="BF1429">
        <v>0</v>
      </c>
      <c r="BG1429">
        <v>0</v>
      </c>
      <c r="BH1429">
        <v>1</v>
      </c>
      <c r="BI1429">
        <v>1</v>
      </c>
      <c r="BJ1429">
        <v>0.2</v>
      </c>
      <c r="BK1429">
        <v>1</v>
      </c>
      <c r="BL1429">
        <v>138.88999999999999</v>
      </c>
      <c r="BM1429">
        <v>20.83</v>
      </c>
      <c r="BN1429">
        <v>159.72</v>
      </c>
      <c r="BO1429">
        <v>159.72</v>
      </c>
      <c r="BQ1429" t="s">
        <v>2138</v>
      </c>
      <c r="BR1429" t="s">
        <v>84</v>
      </c>
      <c r="BS1429" s="3">
        <v>45881</v>
      </c>
      <c r="BT1429" s="4">
        <v>0.36805555555555558</v>
      </c>
      <c r="BU1429" t="s">
        <v>1747</v>
      </c>
      <c r="BV1429" t="s">
        <v>86</v>
      </c>
      <c r="BY1429">
        <v>1200</v>
      </c>
      <c r="CA1429" t="s">
        <v>1456</v>
      </c>
      <c r="CC1429" t="s">
        <v>2136</v>
      </c>
      <c r="CD1429">
        <v>4339</v>
      </c>
      <c r="CE1429" t="s">
        <v>109</v>
      </c>
      <c r="CF1429" s="3">
        <v>45881</v>
      </c>
      <c r="CI1429">
        <v>1</v>
      </c>
      <c r="CJ1429">
        <v>1</v>
      </c>
      <c r="CK1429">
        <v>23</v>
      </c>
      <c r="CL1429" t="s">
        <v>90</v>
      </c>
    </row>
    <row r="1430" spans="1:90" x14ac:dyDescent="0.3">
      <c r="A1430" t="s">
        <v>72</v>
      </c>
      <c r="B1430" t="s">
        <v>73</v>
      </c>
      <c r="C1430" t="s">
        <v>74</v>
      </c>
      <c r="E1430" t="str">
        <f>"080067160834"</f>
        <v>080067160834</v>
      </c>
      <c r="F1430" s="3">
        <v>45880</v>
      </c>
      <c r="G1430">
        <v>202605</v>
      </c>
      <c r="H1430" t="s">
        <v>75</v>
      </c>
      <c r="I1430" t="s">
        <v>76</v>
      </c>
      <c r="J1430" t="s">
        <v>77</v>
      </c>
      <c r="K1430" t="s">
        <v>78</v>
      </c>
      <c r="L1430" t="s">
        <v>75</v>
      </c>
      <c r="M1430" t="s">
        <v>76</v>
      </c>
      <c r="N1430" t="s">
        <v>1020</v>
      </c>
      <c r="O1430" t="s">
        <v>113</v>
      </c>
      <c r="P1430" t="str">
        <f>"4170054111                    "</f>
        <v xml:space="preserve">4170054111                    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Q1430">
        <v>18.04</v>
      </c>
      <c r="AR1430">
        <v>0</v>
      </c>
      <c r="AS1430">
        <v>0</v>
      </c>
      <c r="AT1430">
        <v>0</v>
      </c>
      <c r="AU1430">
        <v>0</v>
      </c>
      <c r="AV1430">
        <v>0</v>
      </c>
      <c r="AW1430">
        <v>0</v>
      </c>
      <c r="AX1430">
        <v>0</v>
      </c>
      <c r="AY1430">
        <v>0</v>
      </c>
      <c r="AZ1430">
        <v>0</v>
      </c>
      <c r="BA1430">
        <v>0</v>
      </c>
      <c r="BB1430">
        <v>0</v>
      </c>
      <c r="BC1430">
        <v>0</v>
      </c>
      <c r="BD1430">
        <v>0</v>
      </c>
      <c r="BE1430">
        <v>0</v>
      </c>
      <c r="BF1430">
        <v>0</v>
      </c>
      <c r="BG1430">
        <v>0</v>
      </c>
      <c r="BH1430">
        <v>1</v>
      </c>
      <c r="BI1430">
        <v>4</v>
      </c>
      <c r="BJ1430">
        <v>6.1</v>
      </c>
      <c r="BK1430">
        <v>7</v>
      </c>
      <c r="BL1430">
        <v>56.01</v>
      </c>
      <c r="BM1430">
        <v>8.4</v>
      </c>
      <c r="BN1430">
        <v>64.41</v>
      </c>
      <c r="BO1430">
        <v>64.41</v>
      </c>
      <c r="BQ1430" t="s">
        <v>1021</v>
      </c>
      <c r="BR1430" t="s">
        <v>84</v>
      </c>
      <c r="BS1430" s="3">
        <v>45882</v>
      </c>
      <c r="BT1430" s="4">
        <v>0.37986111111111109</v>
      </c>
      <c r="BU1430" t="s">
        <v>2044</v>
      </c>
      <c r="BV1430" t="s">
        <v>90</v>
      </c>
      <c r="BW1430" t="s">
        <v>380</v>
      </c>
      <c r="BX1430" t="s">
        <v>2045</v>
      </c>
      <c r="BY1430">
        <v>30720</v>
      </c>
      <c r="CC1430" t="s">
        <v>76</v>
      </c>
      <c r="CD1430">
        <v>1645</v>
      </c>
      <c r="CE1430" t="s">
        <v>117</v>
      </c>
      <c r="CF1430" s="3">
        <v>45882</v>
      </c>
      <c r="CI1430">
        <v>1</v>
      </c>
      <c r="CJ1430">
        <v>2</v>
      </c>
      <c r="CK1430">
        <v>32</v>
      </c>
      <c r="CL1430" t="s">
        <v>90</v>
      </c>
    </row>
    <row r="1431" spans="1:90" x14ac:dyDescent="0.3">
      <c r="A1431" t="s">
        <v>72</v>
      </c>
      <c r="B1431" t="s">
        <v>73</v>
      </c>
      <c r="C1431" t="s">
        <v>74</v>
      </c>
      <c r="E1431" t="str">
        <f>"080067160851"</f>
        <v>080067160851</v>
      </c>
      <c r="F1431" s="3">
        <v>45880</v>
      </c>
      <c r="G1431">
        <v>202605</v>
      </c>
      <c r="H1431" t="s">
        <v>75</v>
      </c>
      <c r="I1431" t="s">
        <v>76</v>
      </c>
      <c r="J1431" t="s">
        <v>77</v>
      </c>
      <c r="K1431" t="s">
        <v>78</v>
      </c>
      <c r="L1431" t="s">
        <v>385</v>
      </c>
      <c r="M1431" t="s">
        <v>386</v>
      </c>
      <c r="N1431" t="s">
        <v>1030</v>
      </c>
      <c r="O1431" t="s">
        <v>82</v>
      </c>
      <c r="P1431" t="str">
        <f>"4170054112                    "</f>
        <v xml:space="preserve">4170054112                    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>
        <v>18.03</v>
      </c>
      <c r="AR1431">
        <v>0</v>
      </c>
      <c r="AS1431">
        <v>0</v>
      </c>
      <c r="AT1431">
        <v>0</v>
      </c>
      <c r="AU1431">
        <v>0</v>
      </c>
      <c r="AV1431">
        <v>0</v>
      </c>
      <c r="AW1431">
        <v>0</v>
      </c>
      <c r="AX1431">
        <v>0</v>
      </c>
      <c r="AY1431">
        <v>0</v>
      </c>
      <c r="AZ1431">
        <v>0</v>
      </c>
      <c r="BA1431">
        <v>0</v>
      </c>
      <c r="BB1431">
        <v>0</v>
      </c>
      <c r="BC1431">
        <v>0</v>
      </c>
      <c r="BD1431">
        <v>0</v>
      </c>
      <c r="BE1431">
        <v>0</v>
      </c>
      <c r="BF1431">
        <v>0</v>
      </c>
      <c r="BG1431">
        <v>0</v>
      </c>
      <c r="BH1431">
        <v>1</v>
      </c>
      <c r="BI1431">
        <v>1</v>
      </c>
      <c r="BJ1431">
        <v>0.2</v>
      </c>
      <c r="BK1431">
        <v>1</v>
      </c>
      <c r="BL1431">
        <v>55.99</v>
      </c>
      <c r="BM1431">
        <v>8.4</v>
      </c>
      <c r="BN1431">
        <v>64.39</v>
      </c>
      <c r="BO1431">
        <v>64.39</v>
      </c>
      <c r="BQ1431" t="s">
        <v>1031</v>
      </c>
      <c r="BR1431" t="s">
        <v>84</v>
      </c>
      <c r="BS1431" s="3">
        <v>45881</v>
      </c>
      <c r="BT1431" s="4">
        <v>0.35833333333333334</v>
      </c>
      <c r="BU1431" t="s">
        <v>2139</v>
      </c>
      <c r="BV1431" t="s">
        <v>86</v>
      </c>
      <c r="BY1431">
        <v>1200</v>
      </c>
      <c r="CA1431" t="s">
        <v>851</v>
      </c>
      <c r="CC1431" t="s">
        <v>386</v>
      </c>
      <c r="CD1431">
        <v>1559</v>
      </c>
      <c r="CE1431" t="s">
        <v>109</v>
      </c>
      <c r="CF1431" s="3">
        <v>45881</v>
      </c>
      <c r="CI1431">
        <v>1</v>
      </c>
      <c r="CJ1431">
        <v>1</v>
      </c>
      <c r="CK1431">
        <v>22</v>
      </c>
      <c r="CL1431" t="s">
        <v>90</v>
      </c>
    </row>
    <row r="1432" spans="1:90" x14ac:dyDescent="0.3">
      <c r="A1432" t="s">
        <v>72</v>
      </c>
      <c r="B1432" t="s">
        <v>73</v>
      </c>
      <c r="C1432" t="s">
        <v>74</v>
      </c>
      <c r="E1432" t="str">
        <f>"080067160901"</f>
        <v>080067160901</v>
      </c>
      <c r="F1432" s="3">
        <v>45880</v>
      </c>
      <c r="G1432">
        <v>202605</v>
      </c>
      <c r="H1432" t="s">
        <v>75</v>
      </c>
      <c r="I1432" t="s">
        <v>76</v>
      </c>
      <c r="J1432" t="s">
        <v>77</v>
      </c>
      <c r="K1432" t="s">
        <v>78</v>
      </c>
      <c r="L1432" t="s">
        <v>198</v>
      </c>
      <c r="M1432" t="s">
        <v>199</v>
      </c>
      <c r="N1432" t="s">
        <v>2140</v>
      </c>
      <c r="O1432" t="s">
        <v>82</v>
      </c>
      <c r="P1432" t="str">
        <f>"4170054140                    "</f>
        <v xml:space="preserve">4170054140                    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>
        <v>80.75</v>
      </c>
      <c r="AR1432">
        <v>0</v>
      </c>
      <c r="AS1432">
        <v>0</v>
      </c>
      <c r="AT1432">
        <v>0</v>
      </c>
      <c r="AU1432">
        <v>0</v>
      </c>
      <c r="AV1432">
        <v>0</v>
      </c>
      <c r="AW1432">
        <v>0</v>
      </c>
      <c r="AX1432">
        <v>0</v>
      </c>
      <c r="AY1432">
        <v>0</v>
      </c>
      <c r="AZ1432">
        <v>0</v>
      </c>
      <c r="BA1432">
        <v>0</v>
      </c>
      <c r="BB1432">
        <v>0</v>
      </c>
      <c r="BC1432">
        <v>0</v>
      </c>
      <c r="BD1432">
        <v>0</v>
      </c>
      <c r="BE1432">
        <v>0</v>
      </c>
      <c r="BF1432">
        <v>0</v>
      </c>
      <c r="BG1432">
        <v>0</v>
      </c>
      <c r="BH1432">
        <v>1</v>
      </c>
      <c r="BI1432">
        <v>7</v>
      </c>
      <c r="BJ1432">
        <v>2.4</v>
      </c>
      <c r="BK1432">
        <v>7</v>
      </c>
      <c r="BL1432">
        <v>250.75</v>
      </c>
      <c r="BM1432">
        <v>37.61</v>
      </c>
      <c r="BN1432">
        <v>288.36</v>
      </c>
      <c r="BO1432">
        <v>288.36</v>
      </c>
      <c r="BQ1432" t="s">
        <v>2141</v>
      </c>
      <c r="BR1432" t="s">
        <v>84</v>
      </c>
      <c r="BS1432" s="3">
        <v>45881</v>
      </c>
      <c r="BT1432" s="4">
        <v>0.37152777777777779</v>
      </c>
      <c r="BU1432" t="s">
        <v>2142</v>
      </c>
      <c r="BV1432" t="s">
        <v>86</v>
      </c>
      <c r="BY1432">
        <v>12236</v>
      </c>
      <c r="CA1432" t="s">
        <v>203</v>
      </c>
      <c r="CC1432" t="s">
        <v>199</v>
      </c>
      <c r="CD1432">
        <v>6001</v>
      </c>
      <c r="CE1432" t="s">
        <v>147</v>
      </c>
      <c r="CF1432" s="3">
        <v>45881</v>
      </c>
      <c r="CI1432">
        <v>1</v>
      </c>
      <c r="CJ1432">
        <v>1</v>
      </c>
      <c r="CK1432">
        <v>21</v>
      </c>
      <c r="CL1432" t="s">
        <v>90</v>
      </c>
    </row>
    <row r="1433" spans="1:90" x14ac:dyDescent="0.3">
      <c r="A1433" t="s">
        <v>72</v>
      </c>
      <c r="B1433" t="s">
        <v>73</v>
      </c>
      <c r="C1433" t="s">
        <v>74</v>
      </c>
      <c r="E1433" t="str">
        <f>"080067160908"</f>
        <v>080067160908</v>
      </c>
      <c r="F1433" s="3">
        <v>45880</v>
      </c>
      <c r="G1433">
        <v>202605</v>
      </c>
      <c r="H1433" t="s">
        <v>75</v>
      </c>
      <c r="I1433" t="s">
        <v>76</v>
      </c>
      <c r="J1433" t="s">
        <v>77</v>
      </c>
      <c r="K1433" t="s">
        <v>78</v>
      </c>
      <c r="L1433" t="s">
        <v>75</v>
      </c>
      <c r="M1433" t="s">
        <v>76</v>
      </c>
      <c r="N1433" t="s">
        <v>830</v>
      </c>
      <c r="O1433" t="s">
        <v>82</v>
      </c>
      <c r="P1433" t="str">
        <f>"4170054063                    "</f>
        <v xml:space="preserve">4170054063                    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Q1433">
        <v>18.03</v>
      </c>
      <c r="AR1433">
        <v>0</v>
      </c>
      <c r="AS1433">
        <v>0</v>
      </c>
      <c r="AT1433">
        <v>0</v>
      </c>
      <c r="AU1433">
        <v>0</v>
      </c>
      <c r="AV1433">
        <v>0</v>
      </c>
      <c r="AW1433">
        <v>0</v>
      </c>
      <c r="AX1433">
        <v>0</v>
      </c>
      <c r="AY1433">
        <v>0</v>
      </c>
      <c r="AZ1433">
        <v>0</v>
      </c>
      <c r="BA1433">
        <v>0</v>
      </c>
      <c r="BB1433">
        <v>0</v>
      </c>
      <c r="BC1433">
        <v>0</v>
      </c>
      <c r="BD1433">
        <v>0</v>
      </c>
      <c r="BE1433">
        <v>0</v>
      </c>
      <c r="BF1433">
        <v>0</v>
      </c>
      <c r="BG1433">
        <v>0</v>
      </c>
      <c r="BH1433">
        <v>1</v>
      </c>
      <c r="BI1433">
        <v>1</v>
      </c>
      <c r="BJ1433">
        <v>0.2</v>
      </c>
      <c r="BK1433">
        <v>1</v>
      </c>
      <c r="BL1433">
        <v>55.99</v>
      </c>
      <c r="BM1433">
        <v>8.4</v>
      </c>
      <c r="BN1433">
        <v>64.39</v>
      </c>
      <c r="BO1433">
        <v>64.39</v>
      </c>
      <c r="BQ1433" t="s">
        <v>831</v>
      </c>
      <c r="BR1433" t="s">
        <v>84</v>
      </c>
      <c r="BS1433" s="3">
        <v>45881</v>
      </c>
      <c r="BT1433" s="4">
        <v>0.35416666666666669</v>
      </c>
      <c r="BU1433" t="s">
        <v>1741</v>
      </c>
      <c r="BV1433" t="s">
        <v>86</v>
      </c>
      <c r="BY1433">
        <v>1200</v>
      </c>
      <c r="CA1433" t="s">
        <v>1743</v>
      </c>
      <c r="CC1433" t="s">
        <v>76</v>
      </c>
      <c r="CD1433">
        <v>1601</v>
      </c>
      <c r="CE1433" t="s">
        <v>109</v>
      </c>
      <c r="CF1433" s="3">
        <v>45881</v>
      </c>
      <c r="CI1433">
        <v>1</v>
      </c>
      <c r="CJ1433">
        <v>1</v>
      </c>
      <c r="CK1433">
        <v>22</v>
      </c>
      <c r="CL1433" t="s">
        <v>90</v>
      </c>
    </row>
    <row r="1434" spans="1:90" x14ac:dyDescent="0.3">
      <c r="A1434" t="s">
        <v>72</v>
      </c>
      <c r="B1434" t="s">
        <v>73</v>
      </c>
      <c r="C1434" t="s">
        <v>74</v>
      </c>
      <c r="E1434" t="str">
        <f>"080067160958"</f>
        <v>080067160958</v>
      </c>
      <c r="F1434" s="3">
        <v>45880</v>
      </c>
      <c r="G1434">
        <v>202605</v>
      </c>
      <c r="H1434" t="s">
        <v>75</v>
      </c>
      <c r="I1434" t="s">
        <v>76</v>
      </c>
      <c r="J1434" t="s">
        <v>77</v>
      </c>
      <c r="K1434" t="s">
        <v>78</v>
      </c>
      <c r="L1434" t="s">
        <v>123</v>
      </c>
      <c r="M1434" t="s">
        <v>124</v>
      </c>
      <c r="N1434" t="s">
        <v>168</v>
      </c>
      <c r="O1434" t="s">
        <v>82</v>
      </c>
      <c r="P1434" t="str">
        <f>"4170054071                    "</f>
        <v xml:space="preserve">4170054071                    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Q1434">
        <v>23.09</v>
      </c>
      <c r="AR1434">
        <v>0</v>
      </c>
      <c r="AS1434">
        <v>0</v>
      </c>
      <c r="AT1434">
        <v>0</v>
      </c>
      <c r="AU1434">
        <v>0</v>
      </c>
      <c r="AV1434">
        <v>0</v>
      </c>
      <c r="AW1434">
        <v>0</v>
      </c>
      <c r="AX1434">
        <v>0</v>
      </c>
      <c r="AY1434">
        <v>0</v>
      </c>
      <c r="AZ1434">
        <v>0</v>
      </c>
      <c r="BA1434">
        <v>0</v>
      </c>
      <c r="BB1434">
        <v>0</v>
      </c>
      <c r="BC1434">
        <v>0</v>
      </c>
      <c r="BD1434">
        <v>0</v>
      </c>
      <c r="BE1434">
        <v>0</v>
      </c>
      <c r="BF1434">
        <v>0</v>
      </c>
      <c r="BG1434">
        <v>0</v>
      </c>
      <c r="BH1434">
        <v>1</v>
      </c>
      <c r="BI1434">
        <v>1</v>
      </c>
      <c r="BJ1434">
        <v>0.2</v>
      </c>
      <c r="BK1434">
        <v>1</v>
      </c>
      <c r="BL1434">
        <v>71.69</v>
      </c>
      <c r="BM1434">
        <v>10.75</v>
      </c>
      <c r="BN1434">
        <v>82.44</v>
      </c>
      <c r="BO1434">
        <v>82.44</v>
      </c>
      <c r="BQ1434" t="s">
        <v>169</v>
      </c>
      <c r="BR1434" t="s">
        <v>84</v>
      </c>
      <c r="BS1434" s="3">
        <v>45881</v>
      </c>
      <c r="BT1434" s="4">
        <v>0.4284722222222222</v>
      </c>
      <c r="BU1434" t="s">
        <v>679</v>
      </c>
      <c r="BV1434" t="s">
        <v>86</v>
      </c>
      <c r="BY1434">
        <v>1200</v>
      </c>
      <c r="CA1434" t="s">
        <v>171</v>
      </c>
      <c r="CC1434" t="s">
        <v>124</v>
      </c>
      <c r="CD1434">
        <v>7535</v>
      </c>
      <c r="CE1434" t="s">
        <v>109</v>
      </c>
      <c r="CF1434" s="3">
        <v>45882</v>
      </c>
      <c r="CI1434">
        <v>1</v>
      </c>
      <c r="CJ1434">
        <v>1</v>
      </c>
      <c r="CK1434">
        <v>21</v>
      </c>
      <c r="CL1434" t="s">
        <v>90</v>
      </c>
    </row>
    <row r="1435" spans="1:90" x14ac:dyDescent="0.3">
      <c r="A1435" t="s">
        <v>72</v>
      </c>
      <c r="B1435" t="s">
        <v>73</v>
      </c>
      <c r="C1435" t="s">
        <v>74</v>
      </c>
      <c r="E1435" t="str">
        <f>"080067160983"</f>
        <v>080067160983</v>
      </c>
      <c r="F1435" s="3">
        <v>45880</v>
      </c>
      <c r="G1435">
        <v>202605</v>
      </c>
      <c r="H1435" t="s">
        <v>75</v>
      </c>
      <c r="I1435" t="s">
        <v>76</v>
      </c>
      <c r="J1435" t="s">
        <v>77</v>
      </c>
      <c r="K1435" t="s">
        <v>78</v>
      </c>
      <c r="L1435" t="s">
        <v>75</v>
      </c>
      <c r="M1435" t="s">
        <v>76</v>
      </c>
      <c r="N1435" t="s">
        <v>830</v>
      </c>
      <c r="O1435" t="s">
        <v>113</v>
      </c>
      <c r="P1435" t="str">
        <f>"4170054129                    "</f>
        <v xml:space="preserve">4170054129                    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Q1435">
        <v>18.04</v>
      </c>
      <c r="AR1435">
        <v>0</v>
      </c>
      <c r="AS1435">
        <v>0</v>
      </c>
      <c r="AT1435">
        <v>0</v>
      </c>
      <c r="AU1435">
        <v>0</v>
      </c>
      <c r="AV1435">
        <v>0</v>
      </c>
      <c r="AW1435">
        <v>0</v>
      </c>
      <c r="AX1435">
        <v>0</v>
      </c>
      <c r="AY1435">
        <v>0</v>
      </c>
      <c r="AZ1435">
        <v>0</v>
      </c>
      <c r="BA1435">
        <v>0</v>
      </c>
      <c r="BB1435">
        <v>0</v>
      </c>
      <c r="BC1435">
        <v>0</v>
      </c>
      <c r="BD1435">
        <v>0</v>
      </c>
      <c r="BE1435">
        <v>0</v>
      </c>
      <c r="BF1435">
        <v>0</v>
      </c>
      <c r="BG1435">
        <v>0</v>
      </c>
      <c r="BH1435">
        <v>1</v>
      </c>
      <c r="BI1435">
        <v>4</v>
      </c>
      <c r="BJ1435">
        <v>1.4</v>
      </c>
      <c r="BK1435">
        <v>4</v>
      </c>
      <c r="BL1435">
        <v>56.01</v>
      </c>
      <c r="BM1435">
        <v>8.4</v>
      </c>
      <c r="BN1435">
        <v>64.41</v>
      </c>
      <c r="BO1435">
        <v>64.41</v>
      </c>
      <c r="BQ1435" t="s">
        <v>831</v>
      </c>
      <c r="BR1435" t="s">
        <v>84</v>
      </c>
      <c r="BS1435" s="3">
        <v>45881</v>
      </c>
      <c r="BT1435" s="4">
        <v>0.35069444444444442</v>
      </c>
      <c r="BU1435" t="s">
        <v>1741</v>
      </c>
      <c r="BV1435" t="s">
        <v>86</v>
      </c>
      <c r="BY1435">
        <v>7000</v>
      </c>
      <c r="CA1435" t="s">
        <v>1743</v>
      </c>
      <c r="CC1435" t="s">
        <v>76</v>
      </c>
      <c r="CD1435">
        <v>1601</v>
      </c>
      <c r="CE1435" t="s">
        <v>147</v>
      </c>
      <c r="CF1435" s="3">
        <v>45881</v>
      </c>
      <c r="CI1435">
        <v>1</v>
      </c>
      <c r="CJ1435">
        <v>1</v>
      </c>
      <c r="CK1435">
        <v>32</v>
      </c>
      <c r="CL1435" t="s">
        <v>90</v>
      </c>
    </row>
    <row r="1436" spans="1:90" x14ac:dyDescent="0.3">
      <c r="A1436" t="s">
        <v>72</v>
      </c>
      <c r="B1436" t="s">
        <v>73</v>
      </c>
      <c r="C1436" t="s">
        <v>74</v>
      </c>
      <c r="E1436" t="str">
        <f>"080067161006"</f>
        <v>080067161006</v>
      </c>
      <c r="F1436" s="3">
        <v>45880</v>
      </c>
      <c r="G1436">
        <v>202605</v>
      </c>
      <c r="H1436" t="s">
        <v>75</v>
      </c>
      <c r="I1436" t="s">
        <v>76</v>
      </c>
      <c r="J1436" t="s">
        <v>77</v>
      </c>
      <c r="K1436" t="s">
        <v>78</v>
      </c>
      <c r="L1436" t="s">
        <v>303</v>
      </c>
      <c r="M1436" t="s">
        <v>304</v>
      </c>
      <c r="N1436" t="s">
        <v>840</v>
      </c>
      <c r="O1436" t="s">
        <v>82</v>
      </c>
      <c r="P1436" t="str">
        <f>"4170053998                    "</f>
        <v xml:space="preserve">4170053998                    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>
        <v>44.73</v>
      </c>
      <c r="AR1436">
        <v>0</v>
      </c>
      <c r="AS1436">
        <v>0</v>
      </c>
      <c r="AT1436">
        <v>0</v>
      </c>
      <c r="AU1436">
        <v>0</v>
      </c>
      <c r="AV1436">
        <v>0</v>
      </c>
      <c r="AW1436">
        <v>0</v>
      </c>
      <c r="AX1436">
        <v>0</v>
      </c>
      <c r="AY1436">
        <v>0</v>
      </c>
      <c r="AZ1436">
        <v>0</v>
      </c>
      <c r="BA1436">
        <v>0</v>
      </c>
      <c r="BB1436">
        <v>0</v>
      </c>
      <c r="BC1436">
        <v>0</v>
      </c>
      <c r="BD1436">
        <v>0</v>
      </c>
      <c r="BE1436">
        <v>0</v>
      </c>
      <c r="BF1436">
        <v>0</v>
      </c>
      <c r="BG1436">
        <v>0</v>
      </c>
      <c r="BH1436">
        <v>1</v>
      </c>
      <c r="BI1436">
        <v>1</v>
      </c>
      <c r="BJ1436">
        <v>0.2</v>
      </c>
      <c r="BK1436">
        <v>1</v>
      </c>
      <c r="BL1436">
        <v>138.88999999999999</v>
      </c>
      <c r="BM1436">
        <v>20.83</v>
      </c>
      <c r="BN1436">
        <v>159.72</v>
      </c>
      <c r="BO1436">
        <v>159.72</v>
      </c>
      <c r="BQ1436" t="s">
        <v>841</v>
      </c>
      <c r="BR1436" t="s">
        <v>84</v>
      </c>
      <c r="BS1436" s="3">
        <v>45881</v>
      </c>
      <c r="BT1436" s="4">
        <v>0.49444444444444446</v>
      </c>
      <c r="BU1436" t="s">
        <v>2078</v>
      </c>
      <c r="BV1436" t="s">
        <v>86</v>
      </c>
      <c r="BY1436">
        <v>1200</v>
      </c>
      <c r="CA1436" t="s">
        <v>308</v>
      </c>
      <c r="CC1436" t="s">
        <v>304</v>
      </c>
      <c r="CD1436">
        <v>7130</v>
      </c>
      <c r="CE1436" t="s">
        <v>109</v>
      </c>
      <c r="CF1436" s="3">
        <v>45882</v>
      </c>
      <c r="CI1436">
        <v>1</v>
      </c>
      <c r="CJ1436">
        <v>1</v>
      </c>
      <c r="CK1436">
        <v>23</v>
      </c>
      <c r="CL1436" t="s">
        <v>90</v>
      </c>
    </row>
    <row r="1437" spans="1:90" x14ac:dyDescent="0.3">
      <c r="A1437" t="s">
        <v>72</v>
      </c>
      <c r="B1437" t="s">
        <v>73</v>
      </c>
      <c r="C1437" t="s">
        <v>74</v>
      </c>
      <c r="E1437" t="str">
        <f>"080067161043"</f>
        <v>080067161043</v>
      </c>
      <c r="F1437" s="3">
        <v>45880</v>
      </c>
      <c r="G1437">
        <v>202605</v>
      </c>
      <c r="H1437" t="s">
        <v>75</v>
      </c>
      <c r="I1437" t="s">
        <v>76</v>
      </c>
      <c r="J1437" t="s">
        <v>77</v>
      </c>
      <c r="K1437" t="s">
        <v>78</v>
      </c>
      <c r="L1437" t="s">
        <v>118</v>
      </c>
      <c r="M1437" t="s">
        <v>118</v>
      </c>
      <c r="N1437" t="s">
        <v>466</v>
      </c>
      <c r="O1437" t="s">
        <v>82</v>
      </c>
      <c r="P1437" t="str">
        <f>"4170054066                    "</f>
        <v xml:space="preserve">4170054066                    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Q1437">
        <v>347.68</v>
      </c>
      <c r="AR1437">
        <v>0</v>
      </c>
      <c r="AS1437">
        <v>0</v>
      </c>
      <c r="AT1437">
        <v>0</v>
      </c>
      <c r="AU1437">
        <v>0</v>
      </c>
      <c r="AV1437">
        <v>0</v>
      </c>
      <c r="AW1437">
        <v>0</v>
      </c>
      <c r="AX1437">
        <v>0</v>
      </c>
      <c r="AY1437">
        <v>0</v>
      </c>
      <c r="AZ1437">
        <v>0</v>
      </c>
      <c r="BA1437">
        <v>0</v>
      </c>
      <c r="BB1437">
        <v>0</v>
      </c>
      <c r="BC1437">
        <v>0</v>
      </c>
      <c r="BD1437">
        <v>0</v>
      </c>
      <c r="BE1437">
        <v>0</v>
      </c>
      <c r="BF1437">
        <v>0</v>
      </c>
      <c r="BG1437">
        <v>0</v>
      </c>
      <c r="BH1437">
        <v>1</v>
      </c>
      <c r="BI1437">
        <v>17</v>
      </c>
      <c r="BJ1437">
        <v>8.9</v>
      </c>
      <c r="BK1437">
        <v>17</v>
      </c>
      <c r="BL1437">
        <v>1079.6400000000001</v>
      </c>
      <c r="BM1437">
        <v>161.94999999999999</v>
      </c>
      <c r="BN1437">
        <v>1241.5899999999999</v>
      </c>
      <c r="BO1437">
        <v>1241.5899999999999</v>
      </c>
      <c r="BQ1437" t="s">
        <v>1178</v>
      </c>
      <c r="BR1437" t="s">
        <v>84</v>
      </c>
      <c r="BS1437" s="3">
        <v>45881</v>
      </c>
      <c r="BT1437" s="4">
        <v>0.53263888888888888</v>
      </c>
      <c r="BU1437" t="s">
        <v>468</v>
      </c>
      <c r="BV1437" t="s">
        <v>86</v>
      </c>
      <c r="BY1437">
        <v>44640</v>
      </c>
      <c r="CA1437" t="s">
        <v>122</v>
      </c>
      <c r="CC1437" t="s">
        <v>118</v>
      </c>
      <c r="CD1437">
        <v>7646</v>
      </c>
      <c r="CE1437" t="s">
        <v>147</v>
      </c>
      <c r="CF1437" s="3">
        <v>45883</v>
      </c>
      <c r="CI1437">
        <v>1</v>
      </c>
      <c r="CJ1437">
        <v>1</v>
      </c>
      <c r="CK1437">
        <v>23</v>
      </c>
      <c r="CL1437" t="s">
        <v>90</v>
      </c>
    </row>
    <row r="1438" spans="1:90" x14ac:dyDescent="0.3">
      <c r="A1438" t="s">
        <v>72</v>
      </c>
      <c r="B1438" t="s">
        <v>73</v>
      </c>
      <c r="C1438" t="s">
        <v>74</v>
      </c>
      <c r="E1438" t="str">
        <f>"080067161058"</f>
        <v>080067161058</v>
      </c>
      <c r="F1438" s="3">
        <v>45880</v>
      </c>
      <c r="G1438">
        <v>202605</v>
      </c>
      <c r="H1438" t="s">
        <v>75</v>
      </c>
      <c r="I1438" t="s">
        <v>76</v>
      </c>
      <c r="J1438" t="s">
        <v>77</v>
      </c>
      <c r="K1438" t="s">
        <v>78</v>
      </c>
      <c r="L1438" t="s">
        <v>118</v>
      </c>
      <c r="M1438" t="s">
        <v>118</v>
      </c>
      <c r="N1438" t="s">
        <v>466</v>
      </c>
      <c r="O1438" t="s">
        <v>82</v>
      </c>
      <c r="P1438" t="str">
        <f>"4170054132                    "</f>
        <v xml:space="preserve">4170054132                    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Q1438">
        <v>44.73</v>
      </c>
      <c r="AR1438">
        <v>0</v>
      </c>
      <c r="AS1438">
        <v>0</v>
      </c>
      <c r="AT1438">
        <v>0</v>
      </c>
      <c r="AU1438">
        <v>0</v>
      </c>
      <c r="AV1438">
        <v>0</v>
      </c>
      <c r="AW1438">
        <v>0</v>
      </c>
      <c r="AX1438">
        <v>0</v>
      </c>
      <c r="AY1438">
        <v>0</v>
      </c>
      <c r="AZ1438">
        <v>0</v>
      </c>
      <c r="BA1438">
        <v>0</v>
      </c>
      <c r="BB1438">
        <v>0</v>
      </c>
      <c r="BC1438">
        <v>0</v>
      </c>
      <c r="BD1438">
        <v>0</v>
      </c>
      <c r="BE1438">
        <v>0</v>
      </c>
      <c r="BF1438">
        <v>0</v>
      </c>
      <c r="BG1438">
        <v>0</v>
      </c>
      <c r="BH1438">
        <v>1</v>
      </c>
      <c r="BI1438">
        <v>1</v>
      </c>
      <c r="BJ1438">
        <v>0.2</v>
      </c>
      <c r="BK1438">
        <v>1</v>
      </c>
      <c r="BL1438">
        <v>138.88999999999999</v>
      </c>
      <c r="BM1438">
        <v>20.83</v>
      </c>
      <c r="BN1438">
        <v>159.72</v>
      </c>
      <c r="BO1438">
        <v>159.72</v>
      </c>
      <c r="BQ1438" t="s">
        <v>467</v>
      </c>
      <c r="BR1438" t="s">
        <v>84</v>
      </c>
      <c r="BS1438" s="3">
        <v>45881</v>
      </c>
      <c r="BT1438" s="4">
        <v>0.53263888888888888</v>
      </c>
      <c r="BU1438" t="s">
        <v>468</v>
      </c>
      <c r="BV1438" t="s">
        <v>86</v>
      </c>
      <c r="BY1438">
        <v>1200</v>
      </c>
      <c r="CA1438" t="s">
        <v>122</v>
      </c>
      <c r="CC1438" t="s">
        <v>118</v>
      </c>
      <c r="CD1438">
        <v>7646</v>
      </c>
      <c r="CE1438" t="s">
        <v>109</v>
      </c>
      <c r="CF1438" s="3">
        <v>45883</v>
      </c>
      <c r="CI1438">
        <v>1</v>
      </c>
      <c r="CJ1438">
        <v>1</v>
      </c>
      <c r="CK1438">
        <v>23</v>
      </c>
      <c r="CL1438" t="s">
        <v>90</v>
      </c>
    </row>
    <row r="1439" spans="1:90" x14ac:dyDescent="0.3">
      <c r="A1439" t="s">
        <v>72</v>
      </c>
      <c r="B1439" t="s">
        <v>73</v>
      </c>
      <c r="C1439" t="s">
        <v>74</v>
      </c>
      <c r="E1439" t="str">
        <f>"080067161101"</f>
        <v>080067161101</v>
      </c>
      <c r="F1439" s="3">
        <v>45880</v>
      </c>
      <c r="G1439">
        <v>202605</v>
      </c>
      <c r="H1439" t="s">
        <v>75</v>
      </c>
      <c r="I1439" t="s">
        <v>76</v>
      </c>
      <c r="J1439" t="s">
        <v>77</v>
      </c>
      <c r="K1439" t="s">
        <v>78</v>
      </c>
      <c r="L1439" t="s">
        <v>234</v>
      </c>
      <c r="M1439" t="s">
        <v>235</v>
      </c>
      <c r="N1439" t="s">
        <v>236</v>
      </c>
      <c r="O1439" t="s">
        <v>82</v>
      </c>
      <c r="P1439" t="str">
        <f>"4170054032                    "</f>
        <v xml:space="preserve">4170054032                    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0</v>
      </c>
      <c r="AQ1439">
        <v>23.09</v>
      </c>
      <c r="AR1439">
        <v>0</v>
      </c>
      <c r="AS1439">
        <v>0</v>
      </c>
      <c r="AT1439">
        <v>0</v>
      </c>
      <c r="AU1439">
        <v>0</v>
      </c>
      <c r="AV1439">
        <v>0</v>
      </c>
      <c r="AW1439">
        <v>0</v>
      </c>
      <c r="AX1439">
        <v>0</v>
      </c>
      <c r="AY1439">
        <v>0</v>
      </c>
      <c r="AZ1439">
        <v>0</v>
      </c>
      <c r="BA1439">
        <v>0</v>
      </c>
      <c r="BB1439">
        <v>0</v>
      </c>
      <c r="BC1439">
        <v>0</v>
      </c>
      <c r="BD1439">
        <v>0</v>
      </c>
      <c r="BE1439">
        <v>0</v>
      </c>
      <c r="BF1439">
        <v>0</v>
      </c>
      <c r="BG1439">
        <v>0</v>
      </c>
      <c r="BH1439">
        <v>1</v>
      </c>
      <c r="BI1439">
        <v>1</v>
      </c>
      <c r="BJ1439">
        <v>0.2</v>
      </c>
      <c r="BK1439">
        <v>1</v>
      </c>
      <c r="BL1439">
        <v>71.69</v>
      </c>
      <c r="BM1439">
        <v>10.75</v>
      </c>
      <c r="BN1439">
        <v>82.44</v>
      </c>
      <c r="BO1439">
        <v>82.44</v>
      </c>
      <c r="BQ1439" t="s">
        <v>237</v>
      </c>
      <c r="BR1439" t="s">
        <v>84</v>
      </c>
      <c r="BS1439" s="3">
        <v>45881</v>
      </c>
      <c r="BT1439" s="4">
        <v>0.40069444444444446</v>
      </c>
      <c r="BU1439" t="s">
        <v>2143</v>
      </c>
      <c r="BV1439" t="s">
        <v>86</v>
      </c>
      <c r="BY1439">
        <v>1200</v>
      </c>
      <c r="CA1439" t="s">
        <v>2074</v>
      </c>
      <c r="CC1439" t="s">
        <v>235</v>
      </c>
      <c r="CD1439" s="5" t="s">
        <v>240</v>
      </c>
      <c r="CE1439" t="s">
        <v>109</v>
      </c>
      <c r="CF1439" s="3">
        <v>45881</v>
      </c>
      <c r="CI1439">
        <v>1</v>
      </c>
      <c r="CJ1439">
        <v>1</v>
      </c>
      <c r="CK1439">
        <v>21</v>
      </c>
      <c r="CL1439" t="s">
        <v>90</v>
      </c>
    </row>
    <row r="1440" spans="1:90" x14ac:dyDescent="0.3">
      <c r="A1440" t="s">
        <v>72</v>
      </c>
      <c r="B1440" t="s">
        <v>73</v>
      </c>
      <c r="C1440" t="s">
        <v>74</v>
      </c>
      <c r="E1440" t="str">
        <f>"080067161105"</f>
        <v>080067161105</v>
      </c>
      <c r="F1440" s="3">
        <v>45880</v>
      </c>
      <c r="G1440">
        <v>202605</v>
      </c>
      <c r="H1440" t="s">
        <v>75</v>
      </c>
      <c r="I1440" t="s">
        <v>76</v>
      </c>
      <c r="J1440" t="s">
        <v>77</v>
      </c>
      <c r="K1440" t="s">
        <v>78</v>
      </c>
      <c r="L1440" t="s">
        <v>198</v>
      </c>
      <c r="M1440" t="s">
        <v>199</v>
      </c>
      <c r="N1440" t="s">
        <v>2140</v>
      </c>
      <c r="O1440" t="s">
        <v>82</v>
      </c>
      <c r="P1440" t="str">
        <f>"4170054039                    "</f>
        <v xml:space="preserve">4170054039                    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0</v>
      </c>
      <c r="AQ1440">
        <v>69.22</v>
      </c>
      <c r="AR1440">
        <v>0</v>
      </c>
      <c r="AS1440">
        <v>0</v>
      </c>
      <c r="AT1440">
        <v>0</v>
      </c>
      <c r="AU1440">
        <v>0</v>
      </c>
      <c r="AV1440">
        <v>0</v>
      </c>
      <c r="AW1440">
        <v>0</v>
      </c>
      <c r="AX1440">
        <v>0</v>
      </c>
      <c r="AY1440">
        <v>0</v>
      </c>
      <c r="AZ1440">
        <v>0</v>
      </c>
      <c r="BA1440">
        <v>0</v>
      </c>
      <c r="BB1440">
        <v>0</v>
      </c>
      <c r="BC1440">
        <v>0</v>
      </c>
      <c r="BD1440">
        <v>0</v>
      </c>
      <c r="BE1440">
        <v>0</v>
      </c>
      <c r="BF1440">
        <v>0</v>
      </c>
      <c r="BG1440">
        <v>0</v>
      </c>
      <c r="BH1440">
        <v>1</v>
      </c>
      <c r="BI1440">
        <v>6</v>
      </c>
      <c r="BJ1440">
        <v>1.9</v>
      </c>
      <c r="BK1440">
        <v>6</v>
      </c>
      <c r="BL1440">
        <v>214.94</v>
      </c>
      <c r="BM1440">
        <v>32.24</v>
      </c>
      <c r="BN1440">
        <v>247.18</v>
      </c>
      <c r="BO1440">
        <v>247.18</v>
      </c>
      <c r="BQ1440" t="s">
        <v>2141</v>
      </c>
      <c r="BR1440" t="s">
        <v>84</v>
      </c>
      <c r="BS1440" s="3">
        <v>45881</v>
      </c>
      <c r="BT1440" s="4">
        <v>0.37152777777777779</v>
      </c>
      <c r="BU1440" t="s">
        <v>2142</v>
      </c>
      <c r="BV1440" t="s">
        <v>86</v>
      </c>
      <c r="BY1440">
        <v>9576</v>
      </c>
      <c r="CA1440" t="s">
        <v>203</v>
      </c>
      <c r="CC1440" t="s">
        <v>199</v>
      </c>
      <c r="CD1440">
        <v>6001</v>
      </c>
      <c r="CE1440" t="s">
        <v>147</v>
      </c>
      <c r="CF1440" s="3">
        <v>45881</v>
      </c>
      <c r="CI1440">
        <v>1</v>
      </c>
      <c r="CJ1440">
        <v>1</v>
      </c>
      <c r="CK1440">
        <v>21</v>
      </c>
      <c r="CL1440" t="s">
        <v>90</v>
      </c>
    </row>
    <row r="1441" spans="1:90" x14ac:dyDescent="0.3">
      <c r="A1441" t="s">
        <v>72</v>
      </c>
      <c r="B1441" t="s">
        <v>73</v>
      </c>
      <c r="C1441" t="s">
        <v>74</v>
      </c>
      <c r="E1441" t="str">
        <f>"080067161173"</f>
        <v>080067161173</v>
      </c>
      <c r="F1441" s="3">
        <v>45880</v>
      </c>
      <c r="G1441">
        <v>202605</v>
      </c>
      <c r="H1441" t="s">
        <v>75</v>
      </c>
      <c r="I1441" t="s">
        <v>76</v>
      </c>
      <c r="J1441" t="s">
        <v>77</v>
      </c>
      <c r="K1441" t="s">
        <v>78</v>
      </c>
      <c r="L1441" t="s">
        <v>452</v>
      </c>
      <c r="M1441" t="s">
        <v>453</v>
      </c>
      <c r="N1441" t="s">
        <v>1337</v>
      </c>
      <c r="O1441" t="s">
        <v>82</v>
      </c>
      <c r="P1441" t="str">
        <f>"4170054110                    "</f>
        <v xml:space="preserve">4170054110                    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Q1441">
        <v>44.73</v>
      </c>
      <c r="AR1441">
        <v>0</v>
      </c>
      <c r="AS1441">
        <v>0</v>
      </c>
      <c r="AT1441">
        <v>0</v>
      </c>
      <c r="AU1441">
        <v>0</v>
      </c>
      <c r="AV1441">
        <v>0</v>
      </c>
      <c r="AW1441">
        <v>0</v>
      </c>
      <c r="AX1441">
        <v>0</v>
      </c>
      <c r="AY1441">
        <v>0</v>
      </c>
      <c r="AZ1441">
        <v>0</v>
      </c>
      <c r="BA1441">
        <v>0</v>
      </c>
      <c r="BB1441">
        <v>0</v>
      </c>
      <c r="BC1441">
        <v>0</v>
      </c>
      <c r="BD1441">
        <v>0</v>
      </c>
      <c r="BE1441">
        <v>0</v>
      </c>
      <c r="BF1441">
        <v>0</v>
      </c>
      <c r="BG1441">
        <v>0</v>
      </c>
      <c r="BH1441">
        <v>1</v>
      </c>
      <c r="BI1441">
        <v>1</v>
      </c>
      <c r="BJ1441">
        <v>0.2</v>
      </c>
      <c r="BK1441">
        <v>1</v>
      </c>
      <c r="BL1441">
        <v>138.88999999999999</v>
      </c>
      <c r="BM1441">
        <v>20.83</v>
      </c>
      <c r="BN1441">
        <v>159.72</v>
      </c>
      <c r="BO1441">
        <v>159.72</v>
      </c>
      <c r="BQ1441" t="s">
        <v>1338</v>
      </c>
      <c r="BR1441" t="s">
        <v>84</v>
      </c>
      <c r="BS1441" s="3">
        <v>45881</v>
      </c>
      <c r="BT1441" s="4">
        <v>0.42986111111111114</v>
      </c>
      <c r="BU1441" t="s">
        <v>2144</v>
      </c>
      <c r="BV1441" t="s">
        <v>86</v>
      </c>
      <c r="BY1441">
        <v>1200</v>
      </c>
      <c r="CA1441" t="s">
        <v>484</v>
      </c>
      <c r="CC1441" t="s">
        <v>453</v>
      </c>
      <c r="CD1441">
        <v>1947</v>
      </c>
      <c r="CE1441" t="s">
        <v>109</v>
      </c>
      <c r="CF1441" s="3">
        <v>45882</v>
      </c>
      <c r="CI1441">
        <v>1</v>
      </c>
      <c r="CJ1441">
        <v>1</v>
      </c>
      <c r="CK1441">
        <v>23</v>
      </c>
      <c r="CL1441" t="s">
        <v>90</v>
      </c>
    </row>
    <row r="1442" spans="1:90" x14ac:dyDescent="0.3">
      <c r="A1442" t="s">
        <v>72</v>
      </c>
      <c r="B1442" t="s">
        <v>73</v>
      </c>
      <c r="C1442" t="s">
        <v>74</v>
      </c>
      <c r="E1442" t="str">
        <f>"080067161192"</f>
        <v>080067161192</v>
      </c>
      <c r="F1442" s="3">
        <v>45880</v>
      </c>
      <c r="G1442">
        <v>202605</v>
      </c>
      <c r="H1442" t="s">
        <v>75</v>
      </c>
      <c r="I1442" t="s">
        <v>76</v>
      </c>
      <c r="J1442" t="s">
        <v>77</v>
      </c>
      <c r="K1442" t="s">
        <v>78</v>
      </c>
      <c r="L1442" t="s">
        <v>123</v>
      </c>
      <c r="M1442" t="s">
        <v>124</v>
      </c>
      <c r="N1442" t="s">
        <v>2145</v>
      </c>
      <c r="O1442" t="s">
        <v>82</v>
      </c>
      <c r="P1442" t="str">
        <f>"4170054086                    "</f>
        <v xml:space="preserve">4170054086                    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>
        <v>23.09</v>
      </c>
      <c r="AR1442">
        <v>0</v>
      </c>
      <c r="AS1442">
        <v>0</v>
      </c>
      <c r="AT1442">
        <v>0</v>
      </c>
      <c r="AU1442">
        <v>0</v>
      </c>
      <c r="AV1442">
        <v>0</v>
      </c>
      <c r="AW1442">
        <v>0</v>
      </c>
      <c r="AX1442">
        <v>0</v>
      </c>
      <c r="AY1442">
        <v>0</v>
      </c>
      <c r="AZ1442">
        <v>0</v>
      </c>
      <c r="BA1442">
        <v>0</v>
      </c>
      <c r="BB1442">
        <v>0</v>
      </c>
      <c r="BC1442">
        <v>0</v>
      </c>
      <c r="BD1442">
        <v>0</v>
      </c>
      <c r="BE1442">
        <v>0</v>
      </c>
      <c r="BF1442">
        <v>0</v>
      </c>
      <c r="BG1442">
        <v>0</v>
      </c>
      <c r="BH1442">
        <v>1</v>
      </c>
      <c r="BI1442">
        <v>2</v>
      </c>
      <c r="BJ1442">
        <v>1.9</v>
      </c>
      <c r="BK1442">
        <v>2</v>
      </c>
      <c r="BL1442">
        <v>71.69</v>
      </c>
      <c r="BM1442">
        <v>10.75</v>
      </c>
      <c r="BN1442">
        <v>82.44</v>
      </c>
      <c r="BO1442">
        <v>82.44</v>
      </c>
      <c r="BQ1442" t="s">
        <v>2146</v>
      </c>
      <c r="BR1442" t="s">
        <v>84</v>
      </c>
      <c r="BS1442" s="3">
        <v>45881</v>
      </c>
      <c r="BT1442" s="4">
        <v>0.43819444444444444</v>
      </c>
      <c r="BU1442" t="s">
        <v>2147</v>
      </c>
      <c r="BV1442" t="s">
        <v>90</v>
      </c>
      <c r="BW1442" t="s">
        <v>2148</v>
      </c>
      <c r="BX1442" t="s">
        <v>381</v>
      </c>
      <c r="BY1442">
        <v>9600</v>
      </c>
      <c r="CA1442" t="s">
        <v>1229</v>
      </c>
      <c r="CC1442" t="s">
        <v>124</v>
      </c>
      <c r="CD1442">
        <v>7500</v>
      </c>
      <c r="CE1442" t="s">
        <v>147</v>
      </c>
      <c r="CF1442" s="3">
        <v>45882</v>
      </c>
      <c r="CI1442">
        <v>1</v>
      </c>
      <c r="CJ1442">
        <v>1</v>
      </c>
      <c r="CK1442">
        <v>21</v>
      </c>
      <c r="CL1442" t="s">
        <v>90</v>
      </c>
    </row>
    <row r="1443" spans="1:90" x14ac:dyDescent="0.3">
      <c r="A1443" t="s">
        <v>72</v>
      </c>
      <c r="B1443" t="s">
        <v>73</v>
      </c>
      <c r="C1443" t="s">
        <v>74</v>
      </c>
      <c r="E1443" t="str">
        <f>"080067161244"</f>
        <v>080067161244</v>
      </c>
      <c r="F1443" s="3">
        <v>45880</v>
      </c>
      <c r="G1443">
        <v>202605</v>
      </c>
      <c r="H1443" t="s">
        <v>75</v>
      </c>
      <c r="I1443" t="s">
        <v>76</v>
      </c>
      <c r="J1443" t="s">
        <v>77</v>
      </c>
      <c r="K1443" t="s">
        <v>78</v>
      </c>
      <c r="L1443" t="s">
        <v>118</v>
      </c>
      <c r="M1443" t="s">
        <v>118</v>
      </c>
      <c r="N1443" t="s">
        <v>119</v>
      </c>
      <c r="O1443" t="s">
        <v>82</v>
      </c>
      <c r="P1443" t="str">
        <f>"4170054033                    "</f>
        <v xml:space="preserve">4170054033                    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0</v>
      </c>
      <c r="AQ1443">
        <v>44.73</v>
      </c>
      <c r="AR1443">
        <v>0</v>
      </c>
      <c r="AS1443">
        <v>0</v>
      </c>
      <c r="AT1443">
        <v>0</v>
      </c>
      <c r="AU1443">
        <v>0</v>
      </c>
      <c r="AV1443">
        <v>0</v>
      </c>
      <c r="AW1443">
        <v>0</v>
      </c>
      <c r="AX1443">
        <v>0</v>
      </c>
      <c r="AY1443">
        <v>0</v>
      </c>
      <c r="AZ1443">
        <v>0</v>
      </c>
      <c r="BA1443">
        <v>0</v>
      </c>
      <c r="BB1443">
        <v>0</v>
      </c>
      <c r="BC1443">
        <v>0</v>
      </c>
      <c r="BD1443">
        <v>0</v>
      </c>
      <c r="BE1443">
        <v>0</v>
      </c>
      <c r="BF1443">
        <v>0</v>
      </c>
      <c r="BG1443">
        <v>0</v>
      </c>
      <c r="BH1443">
        <v>1</v>
      </c>
      <c r="BI1443">
        <v>1</v>
      </c>
      <c r="BJ1443">
        <v>0.2</v>
      </c>
      <c r="BK1443">
        <v>1</v>
      </c>
      <c r="BL1443">
        <v>138.88999999999999</v>
      </c>
      <c r="BM1443">
        <v>20.83</v>
      </c>
      <c r="BN1443">
        <v>159.72</v>
      </c>
      <c r="BO1443">
        <v>159.72</v>
      </c>
      <c r="BQ1443" t="s">
        <v>120</v>
      </c>
      <c r="BR1443" t="s">
        <v>84</v>
      </c>
      <c r="BS1443" s="3">
        <v>45881</v>
      </c>
      <c r="BT1443" s="4">
        <v>0.54027777777777775</v>
      </c>
      <c r="BU1443" t="s">
        <v>121</v>
      </c>
      <c r="BV1443" t="s">
        <v>86</v>
      </c>
      <c r="BY1443">
        <v>1200</v>
      </c>
      <c r="CA1443" t="s">
        <v>122</v>
      </c>
      <c r="CC1443" t="s">
        <v>118</v>
      </c>
      <c r="CD1443">
        <v>7646</v>
      </c>
      <c r="CE1443" t="s">
        <v>109</v>
      </c>
      <c r="CF1443" s="3">
        <v>45883</v>
      </c>
      <c r="CI1443">
        <v>1</v>
      </c>
      <c r="CJ1443">
        <v>1</v>
      </c>
      <c r="CK1443">
        <v>23</v>
      </c>
      <c r="CL1443" t="s">
        <v>90</v>
      </c>
    </row>
    <row r="1444" spans="1:90" x14ac:dyDescent="0.3">
      <c r="A1444" t="s">
        <v>72</v>
      </c>
      <c r="B1444" t="s">
        <v>73</v>
      </c>
      <c r="C1444" t="s">
        <v>74</v>
      </c>
      <c r="E1444" t="str">
        <f>"080067161282"</f>
        <v>080067161282</v>
      </c>
      <c r="F1444" s="3">
        <v>45880</v>
      </c>
      <c r="G1444">
        <v>202605</v>
      </c>
      <c r="H1444" t="s">
        <v>75</v>
      </c>
      <c r="I1444" t="s">
        <v>76</v>
      </c>
      <c r="J1444" t="s">
        <v>77</v>
      </c>
      <c r="K1444" t="s">
        <v>78</v>
      </c>
      <c r="L1444" t="s">
        <v>229</v>
      </c>
      <c r="M1444" t="s">
        <v>230</v>
      </c>
      <c r="N1444" t="s">
        <v>231</v>
      </c>
      <c r="O1444" t="s">
        <v>82</v>
      </c>
      <c r="P1444" t="str">
        <f>"4170054101                    "</f>
        <v xml:space="preserve">4170054101                    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Q1444">
        <v>44.73</v>
      </c>
      <c r="AR1444">
        <v>0</v>
      </c>
      <c r="AS1444">
        <v>0</v>
      </c>
      <c r="AT1444">
        <v>0</v>
      </c>
      <c r="AU1444">
        <v>0</v>
      </c>
      <c r="AV1444">
        <v>0</v>
      </c>
      <c r="AW1444">
        <v>0</v>
      </c>
      <c r="AX1444">
        <v>0</v>
      </c>
      <c r="AY1444">
        <v>0</v>
      </c>
      <c r="AZ1444">
        <v>0</v>
      </c>
      <c r="BA1444">
        <v>0</v>
      </c>
      <c r="BB1444">
        <v>0</v>
      </c>
      <c r="BC1444">
        <v>0</v>
      </c>
      <c r="BD1444">
        <v>0</v>
      </c>
      <c r="BE1444">
        <v>0</v>
      </c>
      <c r="BF1444">
        <v>0</v>
      </c>
      <c r="BG1444">
        <v>0</v>
      </c>
      <c r="BH1444">
        <v>1</v>
      </c>
      <c r="BI1444">
        <v>1</v>
      </c>
      <c r="BJ1444">
        <v>0.2</v>
      </c>
      <c r="BK1444">
        <v>1</v>
      </c>
      <c r="BL1444">
        <v>138.88999999999999</v>
      </c>
      <c r="BM1444">
        <v>20.83</v>
      </c>
      <c r="BN1444">
        <v>159.72</v>
      </c>
      <c r="BO1444">
        <v>159.72</v>
      </c>
      <c r="BQ1444" t="s">
        <v>232</v>
      </c>
      <c r="BR1444" t="s">
        <v>84</v>
      </c>
      <c r="BS1444" s="3">
        <v>45881</v>
      </c>
      <c r="BT1444" s="4">
        <v>0.32291666666666669</v>
      </c>
      <c r="BU1444" t="s">
        <v>233</v>
      </c>
      <c r="BV1444" t="s">
        <v>86</v>
      </c>
      <c r="BY1444">
        <v>1200</v>
      </c>
      <c r="CC1444" t="s">
        <v>230</v>
      </c>
      <c r="CD1444">
        <v>2740</v>
      </c>
      <c r="CE1444" t="s">
        <v>109</v>
      </c>
      <c r="CF1444" s="3">
        <v>45882</v>
      </c>
      <c r="CI1444">
        <v>1</v>
      </c>
      <c r="CJ1444">
        <v>1</v>
      </c>
      <c r="CK1444">
        <v>23</v>
      </c>
      <c r="CL1444" t="s">
        <v>90</v>
      </c>
    </row>
    <row r="1445" spans="1:90" x14ac:dyDescent="0.3">
      <c r="A1445" t="s">
        <v>72</v>
      </c>
      <c r="B1445" t="s">
        <v>73</v>
      </c>
      <c r="C1445" t="s">
        <v>74</v>
      </c>
      <c r="E1445" t="str">
        <f>"080067161303"</f>
        <v>080067161303</v>
      </c>
      <c r="F1445" s="3">
        <v>45880</v>
      </c>
      <c r="G1445">
        <v>202605</v>
      </c>
      <c r="H1445" t="s">
        <v>75</v>
      </c>
      <c r="I1445" t="s">
        <v>76</v>
      </c>
      <c r="J1445" t="s">
        <v>77</v>
      </c>
      <c r="K1445" t="s">
        <v>78</v>
      </c>
      <c r="L1445" t="s">
        <v>278</v>
      </c>
      <c r="M1445" t="s">
        <v>279</v>
      </c>
      <c r="N1445" t="s">
        <v>928</v>
      </c>
      <c r="O1445" t="s">
        <v>95</v>
      </c>
      <c r="P1445" t="str">
        <f>"4170054113                    "</f>
        <v xml:space="preserve">4170054113                    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Q1445">
        <v>48.33</v>
      </c>
      <c r="AR1445">
        <v>0</v>
      </c>
      <c r="AS1445">
        <v>0</v>
      </c>
      <c r="AT1445">
        <v>0</v>
      </c>
      <c r="AU1445">
        <v>0</v>
      </c>
      <c r="AV1445">
        <v>0</v>
      </c>
      <c r="AW1445">
        <v>0</v>
      </c>
      <c r="AX1445">
        <v>0</v>
      </c>
      <c r="AY1445">
        <v>0</v>
      </c>
      <c r="AZ1445">
        <v>0</v>
      </c>
      <c r="BA1445">
        <v>0</v>
      </c>
      <c r="BB1445">
        <v>0</v>
      </c>
      <c r="BC1445">
        <v>0</v>
      </c>
      <c r="BD1445">
        <v>0</v>
      </c>
      <c r="BE1445">
        <v>0</v>
      </c>
      <c r="BF1445">
        <v>0</v>
      </c>
      <c r="BG1445">
        <v>0</v>
      </c>
      <c r="BH1445">
        <v>1</v>
      </c>
      <c r="BI1445">
        <v>16</v>
      </c>
      <c r="BJ1445">
        <v>16.3</v>
      </c>
      <c r="BK1445">
        <v>17</v>
      </c>
      <c r="BL1445">
        <v>155.94</v>
      </c>
      <c r="BM1445">
        <v>23.39</v>
      </c>
      <c r="BN1445">
        <v>179.33</v>
      </c>
      <c r="BO1445">
        <v>179.33</v>
      </c>
      <c r="BQ1445" t="s">
        <v>929</v>
      </c>
      <c r="BR1445" t="s">
        <v>84</v>
      </c>
      <c r="BS1445" s="3">
        <v>45881</v>
      </c>
      <c r="BT1445" s="4">
        <v>0.38819444444444445</v>
      </c>
      <c r="BU1445" t="s">
        <v>1230</v>
      </c>
      <c r="BV1445" t="s">
        <v>86</v>
      </c>
      <c r="BY1445">
        <v>81675</v>
      </c>
      <c r="CA1445" t="s">
        <v>511</v>
      </c>
      <c r="CC1445" t="s">
        <v>279</v>
      </c>
      <c r="CD1445" s="5" t="s">
        <v>512</v>
      </c>
      <c r="CE1445" t="s">
        <v>1204</v>
      </c>
      <c r="CF1445" s="3">
        <v>45881</v>
      </c>
      <c r="CI1445">
        <v>1</v>
      </c>
      <c r="CJ1445">
        <v>1</v>
      </c>
      <c r="CK1445">
        <v>41</v>
      </c>
      <c r="CL1445" t="s">
        <v>90</v>
      </c>
    </row>
    <row r="1446" spans="1:90" x14ac:dyDescent="0.3">
      <c r="A1446" t="s">
        <v>72</v>
      </c>
      <c r="B1446" t="s">
        <v>73</v>
      </c>
      <c r="C1446" t="s">
        <v>74</v>
      </c>
      <c r="E1446" t="str">
        <f>"080067161339"</f>
        <v>080067161339</v>
      </c>
      <c r="F1446" s="3">
        <v>45880</v>
      </c>
      <c r="G1446">
        <v>202605</v>
      </c>
      <c r="H1446" t="s">
        <v>75</v>
      </c>
      <c r="I1446" t="s">
        <v>76</v>
      </c>
      <c r="J1446" t="s">
        <v>77</v>
      </c>
      <c r="K1446" t="s">
        <v>78</v>
      </c>
      <c r="L1446" t="s">
        <v>118</v>
      </c>
      <c r="M1446" t="s">
        <v>118</v>
      </c>
      <c r="N1446" t="s">
        <v>1820</v>
      </c>
      <c r="O1446" t="s">
        <v>82</v>
      </c>
      <c r="P1446" t="str">
        <f>"4170054029                    "</f>
        <v xml:space="preserve">4170054029                    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Q1446">
        <v>44.73</v>
      </c>
      <c r="AR1446">
        <v>0</v>
      </c>
      <c r="AS1446">
        <v>0</v>
      </c>
      <c r="AT1446">
        <v>0</v>
      </c>
      <c r="AU1446">
        <v>0</v>
      </c>
      <c r="AV1446">
        <v>0</v>
      </c>
      <c r="AW1446">
        <v>0</v>
      </c>
      <c r="AX1446">
        <v>0</v>
      </c>
      <c r="AY1446">
        <v>0</v>
      </c>
      <c r="AZ1446">
        <v>0</v>
      </c>
      <c r="BA1446">
        <v>0</v>
      </c>
      <c r="BB1446">
        <v>0</v>
      </c>
      <c r="BC1446">
        <v>0</v>
      </c>
      <c r="BD1446">
        <v>0</v>
      </c>
      <c r="BE1446">
        <v>0</v>
      </c>
      <c r="BF1446">
        <v>0</v>
      </c>
      <c r="BG1446">
        <v>0</v>
      </c>
      <c r="BH1446">
        <v>1</v>
      </c>
      <c r="BI1446">
        <v>1</v>
      </c>
      <c r="BJ1446">
        <v>0.2</v>
      </c>
      <c r="BK1446">
        <v>1</v>
      </c>
      <c r="BL1446">
        <v>138.88999999999999</v>
      </c>
      <c r="BM1446">
        <v>20.83</v>
      </c>
      <c r="BN1446">
        <v>159.72</v>
      </c>
      <c r="BO1446">
        <v>159.72</v>
      </c>
      <c r="BQ1446" t="s">
        <v>1821</v>
      </c>
      <c r="BR1446" t="s">
        <v>84</v>
      </c>
      <c r="BS1446" s="3">
        <v>45881</v>
      </c>
      <c r="BT1446" s="4">
        <v>0.43055555555555558</v>
      </c>
      <c r="BU1446" t="s">
        <v>2149</v>
      </c>
      <c r="BV1446" t="s">
        <v>86</v>
      </c>
      <c r="BY1446">
        <v>1200</v>
      </c>
      <c r="CA1446" t="s">
        <v>1823</v>
      </c>
      <c r="CC1446" t="s">
        <v>118</v>
      </c>
      <c r="CD1446">
        <v>7646</v>
      </c>
      <c r="CE1446" t="s">
        <v>109</v>
      </c>
      <c r="CF1446" s="3">
        <v>45882</v>
      </c>
      <c r="CI1446">
        <v>1</v>
      </c>
      <c r="CJ1446">
        <v>1</v>
      </c>
      <c r="CK1446">
        <v>23</v>
      </c>
      <c r="CL1446" t="s">
        <v>90</v>
      </c>
    </row>
    <row r="1447" spans="1:90" x14ac:dyDescent="0.3">
      <c r="A1447" t="s">
        <v>72</v>
      </c>
      <c r="B1447" t="s">
        <v>73</v>
      </c>
      <c r="C1447" t="s">
        <v>74</v>
      </c>
      <c r="E1447" t="str">
        <f>"080067161365"</f>
        <v>080067161365</v>
      </c>
      <c r="F1447" s="3">
        <v>45880</v>
      </c>
      <c r="G1447">
        <v>202605</v>
      </c>
      <c r="H1447" t="s">
        <v>75</v>
      </c>
      <c r="I1447" t="s">
        <v>76</v>
      </c>
      <c r="J1447" t="s">
        <v>77</v>
      </c>
      <c r="K1447" t="s">
        <v>78</v>
      </c>
      <c r="L1447" t="s">
        <v>162</v>
      </c>
      <c r="M1447" t="s">
        <v>163</v>
      </c>
      <c r="N1447" t="s">
        <v>164</v>
      </c>
      <c r="O1447" t="s">
        <v>82</v>
      </c>
      <c r="P1447" t="str">
        <f>"4170054036                    "</f>
        <v xml:space="preserve">4170054036                    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0</v>
      </c>
      <c r="AQ1447">
        <v>34.619999999999997</v>
      </c>
      <c r="AR1447">
        <v>0</v>
      </c>
      <c r="AS1447">
        <v>0</v>
      </c>
      <c r="AT1447">
        <v>0</v>
      </c>
      <c r="AU1447">
        <v>0</v>
      </c>
      <c r="AV1447">
        <v>0</v>
      </c>
      <c r="AW1447">
        <v>0</v>
      </c>
      <c r="AX1447">
        <v>0</v>
      </c>
      <c r="AY1447">
        <v>0</v>
      </c>
      <c r="AZ1447">
        <v>0</v>
      </c>
      <c r="BA1447">
        <v>0</v>
      </c>
      <c r="BB1447">
        <v>0</v>
      </c>
      <c r="BC1447">
        <v>0</v>
      </c>
      <c r="BD1447">
        <v>0</v>
      </c>
      <c r="BE1447">
        <v>0</v>
      </c>
      <c r="BF1447">
        <v>0</v>
      </c>
      <c r="BG1447">
        <v>0</v>
      </c>
      <c r="BH1447">
        <v>1</v>
      </c>
      <c r="BI1447">
        <v>3</v>
      </c>
      <c r="BJ1447">
        <v>1.7</v>
      </c>
      <c r="BK1447">
        <v>3</v>
      </c>
      <c r="BL1447">
        <v>107.5</v>
      </c>
      <c r="BM1447">
        <v>16.13</v>
      </c>
      <c r="BN1447">
        <v>123.63</v>
      </c>
      <c r="BO1447">
        <v>123.63</v>
      </c>
      <c r="BQ1447" t="s">
        <v>165</v>
      </c>
      <c r="BR1447" t="s">
        <v>84</v>
      </c>
      <c r="BS1447" s="3">
        <v>45881</v>
      </c>
      <c r="BT1447" s="4">
        <v>0.41666666666666669</v>
      </c>
      <c r="BU1447" t="s">
        <v>166</v>
      </c>
      <c r="BV1447" t="s">
        <v>86</v>
      </c>
      <c r="BY1447">
        <v>8512</v>
      </c>
      <c r="CA1447" t="s">
        <v>167</v>
      </c>
      <c r="CC1447" t="s">
        <v>163</v>
      </c>
      <c r="CD1447">
        <v>3212</v>
      </c>
      <c r="CE1447" t="s">
        <v>147</v>
      </c>
      <c r="CF1447" s="3">
        <v>45882</v>
      </c>
      <c r="CI1447">
        <v>2</v>
      </c>
      <c r="CJ1447">
        <v>1</v>
      </c>
      <c r="CK1447">
        <v>21</v>
      </c>
      <c r="CL1447" t="s">
        <v>90</v>
      </c>
    </row>
    <row r="1448" spans="1:90" x14ac:dyDescent="0.3">
      <c r="A1448" t="s">
        <v>72</v>
      </c>
      <c r="B1448" t="s">
        <v>73</v>
      </c>
      <c r="C1448" t="s">
        <v>74</v>
      </c>
      <c r="E1448" t="str">
        <f>"080067161385"</f>
        <v>080067161385</v>
      </c>
      <c r="F1448" s="3">
        <v>45880</v>
      </c>
      <c r="G1448">
        <v>202605</v>
      </c>
      <c r="H1448" t="s">
        <v>75</v>
      </c>
      <c r="I1448" t="s">
        <v>76</v>
      </c>
      <c r="J1448" t="s">
        <v>77</v>
      </c>
      <c r="K1448" t="s">
        <v>78</v>
      </c>
      <c r="L1448" t="s">
        <v>325</v>
      </c>
      <c r="M1448" t="s">
        <v>326</v>
      </c>
      <c r="N1448" t="s">
        <v>616</v>
      </c>
      <c r="O1448" t="s">
        <v>82</v>
      </c>
      <c r="P1448" t="str">
        <f>"4170054121                    "</f>
        <v xml:space="preserve">4170054121                    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Q1448">
        <v>18.03</v>
      </c>
      <c r="AR1448">
        <v>0</v>
      </c>
      <c r="AS1448">
        <v>0</v>
      </c>
      <c r="AT1448">
        <v>0</v>
      </c>
      <c r="AU1448">
        <v>0</v>
      </c>
      <c r="AV1448">
        <v>0</v>
      </c>
      <c r="AW1448">
        <v>0</v>
      </c>
      <c r="AX1448">
        <v>0</v>
      </c>
      <c r="AY1448">
        <v>0</v>
      </c>
      <c r="AZ1448">
        <v>0</v>
      </c>
      <c r="BA1448">
        <v>0</v>
      </c>
      <c r="BB1448">
        <v>0</v>
      </c>
      <c r="BC1448">
        <v>0</v>
      </c>
      <c r="BD1448">
        <v>0</v>
      </c>
      <c r="BE1448">
        <v>0</v>
      </c>
      <c r="BF1448">
        <v>0</v>
      </c>
      <c r="BG1448">
        <v>0</v>
      </c>
      <c r="BH1448">
        <v>1</v>
      </c>
      <c r="BI1448">
        <v>1</v>
      </c>
      <c r="BJ1448">
        <v>0.2</v>
      </c>
      <c r="BK1448">
        <v>1</v>
      </c>
      <c r="BL1448">
        <v>55.99</v>
      </c>
      <c r="BM1448">
        <v>8.4</v>
      </c>
      <c r="BN1448">
        <v>64.39</v>
      </c>
      <c r="BO1448">
        <v>64.39</v>
      </c>
      <c r="BQ1448" t="s">
        <v>617</v>
      </c>
      <c r="BR1448" t="s">
        <v>84</v>
      </c>
      <c r="BS1448" s="3">
        <v>45881</v>
      </c>
      <c r="BT1448" s="4">
        <v>0.43402777777777779</v>
      </c>
      <c r="BU1448" t="s">
        <v>2150</v>
      </c>
      <c r="BV1448" t="s">
        <v>86</v>
      </c>
      <c r="BY1448">
        <v>1200</v>
      </c>
      <c r="CA1448" t="s">
        <v>619</v>
      </c>
      <c r="CC1448" t="s">
        <v>326</v>
      </c>
      <c r="CD1448">
        <v>2169</v>
      </c>
      <c r="CE1448" t="s">
        <v>109</v>
      </c>
      <c r="CF1448" s="3">
        <v>45882</v>
      </c>
      <c r="CI1448">
        <v>1</v>
      </c>
      <c r="CJ1448">
        <v>1</v>
      </c>
      <c r="CK1448">
        <v>22</v>
      </c>
      <c r="CL1448" t="s">
        <v>90</v>
      </c>
    </row>
    <row r="1449" spans="1:90" x14ac:dyDescent="0.3">
      <c r="A1449" t="s">
        <v>72</v>
      </c>
      <c r="B1449" t="s">
        <v>73</v>
      </c>
      <c r="C1449" t="s">
        <v>74</v>
      </c>
      <c r="E1449" t="str">
        <f>"080067161428"</f>
        <v>080067161428</v>
      </c>
      <c r="F1449" s="3">
        <v>45880</v>
      </c>
      <c r="G1449">
        <v>202605</v>
      </c>
      <c r="H1449" t="s">
        <v>75</v>
      </c>
      <c r="I1449" t="s">
        <v>76</v>
      </c>
      <c r="J1449" t="s">
        <v>77</v>
      </c>
      <c r="K1449" t="s">
        <v>78</v>
      </c>
      <c r="L1449" t="s">
        <v>385</v>
      </c>
      <c r="M1449" t="s">
        <v>386</v>
      </c>
      <c r="N1449" t="s">
        <v>387</v>
      </c>
      <c r="O1449" t="s">
        <v>82</v>
      </c>
      <c r="P1449" t="str">
        <f>"4170053996                    "</f>
        <v xml:space="preserve">4170053996                    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Q1449">
        <v>18.03</v>
      </c>
      <c r="AR1449">
        <v>0</v>
      </c>
      <c r="AS1449">
        <v>0</v>
      </c>
      <c r="AT1449">
        <v>0</v>
      </c>
      <c r="AU1449">
        <v>0</v>
      </c>
      <c r="AV1449">
        <v>0</v>
      </c>
      <c r="AW1449">
        <v>0</v>
      </c>
      <c r="AX1449">
        <v>0</v>
      </c>
      <c r="AY1449">
        <v>0</v>
      </c>
      <c r="AZ1449">
        <v>0</v>
      </c>
      <c r="BA1449">
        <v>0</v>
      </c>
      <c r="BB1449">
        <v>0</v>
      </c>
      <c r="BC1449">
        <v>0</v>
      </c>
      <c r="BD1449">
        <v>0</v>
      </c>
      <c r="BE1449">
        <v>0</v>
      </c>
      <c r="BF1449">
        <v>0</v>
      </c>
      <c r="BG1449">
        <v>0</v>
      </c>
      <c r="BH1449">
        <v>1</v>
      </c>
      <c r="BI1449">
        <v>1</v>
      </c>
      <c r="BJ1449">
        <v>1.1000000000000001</v>
      </c>
      <c r="BK1449">
        <v>2</v>
      </c>
      <c r="BL1449">
        <v>55.99</v>
      </c>
      <c r="BM1449">
        <v>8.4</v>
      </c>
      <c r="BN1449">
        <v>64.39</v>
      </c>
      <c r="BO1449">
        <v>64.39</v>
      </c>
      <c r="BQ1449" t="s">
        <v>388</v>
      </c>
      <c r="BR1449" t="s">
        <v>84</v>
      </c>
      <c r="BS1449" s="3">
        <v>45881</v>
      </c>
      <c r="BT1449" s="4">
        <v>0.37430555555555556</v>
      </c>
      <c r="BU1449" t="s">
        <v>1455</v>
      </c>
      <c r="BV1449" t="s">
        <v>86</v>
      </c>
      <c r="BY1449">
        <v>5320</v>
      </c>
      <c r="CA1449" t="s">
        <v>542</v>
      </c>
      <c r="CC1449" t="s">
        <v>386</v>
      </c>
      <c r="CD1449">
        <v>1559</v>
      </c>
      <c r="CE1449" t="s">
        <v>147</v>
      </c>
      <c r="CF1449" s="3">
        <v>45881</v>
      </c>
      <c r="CI1449">
        <v>1</v>
      </c>
      <c r="CJ1449">
        <v>1</v>
      </c>
      <c r="CK1449">
        <v>22</v>
      </c>
      <c r="CL1449" t="s">
        <v>90</v>
      </c>
    </row>
    <row r="1450" spans="1:90" x14ac:dyDescent="0.3">
      <c r="A1450" t="s">
        <v>72</v>
      </c>
      <c r="B1450" t="s">
        <v>73</v>
      </c>
      <c r="C1450" t="s">
        <v>74</v>
      </c>
      <c r="E1450" t="str">
        <f>"080067161441"</f>
        <v>080067161441</v>
      </c>
      <c r="F1450" s="3">
        <v>45880</v>
      </c>
      <c r="G1450">
        <v>202605</v>
      </c>
      <c r="H1450" t="s">
        <v>75</v>
      </c>
      <c r="I1450" t="s">
        <v>76</v>
      </c>
      <c r="J1450" t="s">
        <v>77</v>
      </c>
      <c r="K1450" t="s">
        <v>78</v>
      </c>
      <c r="L1450" t="s">
        <v>198</v>
      </c>
      <c r="M1450" t="s">
        <v>199</v>
      </c>
      <c r="N1450" t="s">
        <v>2151</v>
      </c>
      <c r="O1450" t="s">
        <v>82</v>
      </c>
      <c r="P1450" t="str">
        <f>"4170054123                    "</f>
        <v xml:space="preserve">4170054123                    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>
        <v>23.09</v>
      </c>
      <c r="AR1450">
        <v>0</v>
      </c>
      <c r="AS1450">
        <v>0</v>
      </c>
      <c r="AT1450">
        <v>0</v>
      </c>
      <c r="AU1450">
        <v>0</v>
      </c>
      <c r="AV1450">
        <v>0</v>
      </c>
      <c r="AW1450">
        <v>0</v>
      </c>
      <c r="AX1450">
        <v>0</v>
      </c>
      <c r="AY1450">
        <v>0</v>
      </c>
      <c r="AZ1450">
        <v>0</v>
      </c>
      <c r="BA1450">
        <v>0</v>
      </c>
      <c r="BB1450">
        <v>0</v>
      </c>
      <c r="BC1450">
        <v>0</v>
      </c>
      <c r="BD1450">
        <v>0</v>
      </c>
      <c r="BE1450">
        <v>0</v>
      </c>
      <c r="BF1450">
        <v>0</v>
      </c>
      <c r="BG1450">
        <v>0</v>
      </c>
      <c r="BH1450">
        <v>1</v>
      </c>
      <c r="BI1450">
        <v>1</v>
      </c>
      <c r="BJ1450">
        <v>0.2</v>
      </c>
      <c r="BK1450">
        <v>1</v>
      </c>
      <c r="BL1450">
        <v>71.69</v>
      </c>
      <c r="BM1450">
        <v>10.75</v>
      </c>
      <c r="BN1450">
        <v>82.44</v>
      </c>
      <c r="BO1450">
        <v>82.44</v>
      </c>
      <c r="BQ1450" t="s">
        <v>2152</v>
      </c>
      <c r="BR1450" t="s">
        <v>84</v>
      </c>
      <c r="BS1450" s="3">
        <v>45881</v>
      </c>
      <c r="BT1450" s="4">
        <v>0.38333333333333336</v>
      </c>
      <c r="BU1450" t="s">
        <v>2153</v>
      </c>
      <c r="BV1450" t="s">
        <v>86</v>
      </c>
      <c r="BY1450">
        <v>1200</v>
      </c>
      <c r="CA1450" t="s">
        <v>2154</v>
      </c>
      <c r="CC1450" t="s">
        <v>199</v>
      </c>
      <c r="CD1450">
        <v>6001</v>
      </c>
      <c r="CE1450" t="s">
        <v>109</v>
      </c>
      <c r="CF1450" s="3">
        <v>45881</v>
      </c>
      <c r="CI1450">
        <v>1</v>
      </c>
      <c r="CJ1450">
        <v>1</v>
      </c>
      <c r="CK1450">
        <v>21</v>
      </c>
      <c r="CL1450" t="s">
        <v>90</v>
      </c>
    </row>
    <row r="1451" spans="1:90" x14ac:dyDescent="0.3">
      <c r="A1451" t="s">
        <v>72</v>
      </c>
      <c r="B1451" t="s">
        <v>73</v>
      </c>
      <c r="C1451" t="s">
        <v>74</v>
      </c>
      <c r="E1451" t="str">
        <f>"080067161485"</f>
        <v>080067161485</v>
      </c>
      <c r="F1451" s="3">
        <v>45880</v>
      </c>
      <c r="G1451">
        <v>202605</v>
      </c>
      <c r="H1451" t="s">
        <v>75</v>
      </c>
      <c r="I1451" t="s">
        <v>76</v>
      </c>
      <c r="J1451" t="s">
        <v>77</v>
      </c>
      <c r="K1451" t="s">
        <v>78</v>
      </c>
      <c r="L1451" t="s">
        <v>303</v>
      </c>
      <c r="M1451" t="s">
        <v>304</v>
      </c>
      <c r="N1451" t="s">
        <v>840</v>
      </c>
      <c r="O1451" t="s">
        <v>82</v>
      </c>
      <c r="P1451" t="str">
        <f>"4170054002                    "</f>
        <v xml:space="preserve">4170054002                    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Q1451">
        <v>85.12</v>
      </c>
      <c r="AR1451">
        <v>0</v>
      </c>
      <c r="AS1451">
        <v>0</v>
      </c>
      <c r="AT1451">
        <v>0</v>
      </c>
      <c r="AU1451">
        <v>0</v>
      </c>
      <c r="AV1451">
        <v>0</v>
      </c>
      <c r="AW1451">
        <v>0</v>
      </c>
      <c r="AX1451">
        <v>0</v>
      </c>
      <c r="AY1451">
        <v>0</v>
      </c>
      <c r="AZ1451">
        <v>0</v>
      </c>
      <c r="BA1451">
        <v>0</v>
      </c>
      <c r="BB1451">
        <v>0</v>
      </c>
      <c r="BC1451">
        <v>0</v>
      </c>
      <c r="BD1451">
        <v>0</v>
      </c>
      <c r="BE1451">
        <v>0</v>
      </c>
      <c r="BF1451">
        <v>0</v>
      </c>
      <c r="BG1451">
        <v>0</v>
      </c>
      <c r="BH1451">
        <v>1</v>
      </c>
      <c r="BI1451">
        <v>4</v>
      </c>
      <c r="BJ1451">
        <v>1.9</v>
      </c>
      <c r="BK1451">
        <v>4</v>
      </c>
      <c r="BL1451">
        <v>264.32</v>
      </c>
      <c r="BM1451">
        <v>39.65</v>
      </c>
      <c r="BN1451">
        <v>303.97000000000003</v>
      </c>
      <c r="BO1451">
        <v>303.97000000000003</v>
      </c>
      <c r="BQ1451" t="s">
        <v>841</v>
      </c>
      <c r="BR1451" t="s">
        <v>84</v>
      </c>
      <c r="BS1451" s="3">
        <v>45881</v>
      </c>
      <c r="BT1451" s="4">
        <v>0.49444444444444446</v>
      </c>
      <c r="BU1451" t="s">
        <v>2078</v>
      </c>
      <c r="BV1451" t="s">
        <v>86</v>
      </c>
      <c r="BY1451">
        <v>9600</v>
      </c>
      <c r="CA1451" t="s">
        <v>308</v>
      </c>
      <c r="CC1451" t="s">
        <v>304</v>
      </c>
      <c r="CD1451">
        <v>7130</v>
      </c>
      <c r="CE1451" t="s">
        <v>147</v>
      </c>
      <c r="CF1451" s="3">
        <v>45882</v>
      </c>
      <c r="CI1451">
        <v>1</v>
      </c>
      <c r="CJ1451">
        <v>1</v>
      </c>
      <c r="CK1451">
        <v>23</v>
      </c>
      <c r="CL1451" t="s">
        <v>90</v>
      </c>
    </row>
    <row r="1452" spans="1:90" x14ac:dyDescent="0.3">
      <c r="A1452" t="s">
        <v>72</v>
      </c>
      <c r="B1452" t="s">
        <v>73</v>
      </c>
      <c r="C1452" t="s">
        <v>74</v>
      </c>
      <c r="E1452" t="str">
        <f>"080067161489"</f>
        <v>080067161489</v>
      </c>
      <c r="F1452" s="3">
        <v>45880</v>
      </c>
      <c r="G1452">
        <v>202605</v>
      </c>
      <c r="H1452" t="s">
        <v>75</v>
      </c>
      <c r="I1452" t="s">
        <v>76</v>
      </c>
      <c r="J1452" t="s">
        <v>77</v>
      </c>
      <c r="K1452" t="s">
        <v>78</v>
      </c>
      <c r="L1452" t="s">
        <v>278</v>
      </c>
      <c r="M1452" t="s">
        <v>279</v>
      </c>
      <c r="N1452" t="s">
        <v>131</v>
      </c>
      <c r="O1452" t="s">
        <v>82</v>
      </c>
      <c r="P1452" t="str">
        <f>"4170054109                    "</f>
        <v xml:space="preserve">4170054109                    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>
        <v>23.09</v>
      </c>
      <c r="AR1452">
        <v>0</v>
      </c>
      <c r="AS1452">
        <v>0</v>
      </c>
      <c r="AT1452">
        <v>0</v>
      </c>
      <c r="AU1452">
        <v>0</v>
      </c>
      <c r="AV1452">
        <v>0</v>
      </c>
      <c r="AW1452">
        <v>0</v>
      </c>
      <c r="AX1452">
        <v>0</v>
      </c>
      <c r="AY1452">
        <v>0</v>
      </c>
      <c r="AZ1452">
        <v>0</v>
      </c>
      <c r="BA1452">
        <v>0</v>
      </c>
      <c r="BB1452">
        <v>0</v>
      </c>
      <c r="BC1452">
        <v>0</v>
      </c>
      <c r="BD1452">
        <v>0</v>
      </c>
      <c r="BE1452">
        <v>0</v>
      </c>
      <c r="BF1452">
        <v>0</v>
      </c>
      <c r="BG1452">
        <v>0</v>
      </c>
      <c r="BH1452">
        <v>1</v>
      </c>
      <c r="BI1452">
        <v>1</v>
      </c>
      <c r="BJ1452">
        <v>0.2</v>
      </c>
      <c r="BK1452">
        <v>1</v>
      </c>
      <c r="BL1452">
        <v>71.69</v>
      </c>
      <c r="BM1452">
        <v>10.75</v>
      </c>
      <c r="BN1452">
        <v>82.44</v>
      </c>
      <c r="BO1452">
        <v>82.44</v>
      </c>
      <c r="BQ1452" t="s">
        <v>132</v>
      </c>
      <c r="BR1452" t="s">
        <v>84</v>
      </c>
      <c r="BS1452" s="3">
        <v>45881</v>
      </c>
      <c r="BT1452" s="4">
        <v>0.4284722222222222</v>
      </c>
      <c r="BU1452" t="s">
        <v>531</v>
      </c>
      <c r="BV1452" t="s">
        <v>86</v>
      </c>
      <c r="BY1452">
        <v>1200</v>
      </c>
      <c r="CA1452" t="s">
        <v>532</v>
      </c>
      <c r="CC1452" t="s">
        <v>279</v>
      </c>
      <c r="CD1452" s="5" t="s">
        <v>533</v>
      </c>
      <c r="CE1452" t="s">
        <v>109</v>
      </c>
      <c r="CF1452" s="3">
        <v>45881</v>
      </c>
      <c r="CI1452">
        <v>1</v>
      </c>
      <c r="CJ1452">
        <v>1</v>
      </c>
      <c r="CK1452">
        <v>21</v>
      </c>
      <c r="CL1452" t="s">
        <v>90</v>
      </c>
    </row>
    <row r="1453" spans="1:90" x14ac:dyDescent="0.3">
      <c r="A1453" t="s">
        <v>72</v>
      </c>
      <c r="B1453" t="s">
        <v>73</v>
      </c>
      <c r="C1453" t="s">
        <v>74</v>
      </c>
      <c r="E1453" t="str">
        <f>"080067161536"</f>
        <v>080067161536</v>
      </c>
      <c r="F1453" s="3">
        <v>45880</v>
      </c>
      <c r="G1453">
        <v>202605</v>
      </c>
      <c r="H1453" t="s">
        <v>75</v>
      </c>
      <c r="I1453" t="s">
        <v>76</v>
      </c>
      <c r="J1453" t="s">
        <v>77</v>
      </c>
      <c r="K1453" t="s">
        <v>78</v>
      </c>
      <c r="L1453" t="s">
        <v>303</v>
      </c>
      <c r="M1453" t="s">
        <v>304</v>
      </c>
      <c r="N1453" t="s">
        <v>840</v>
      </c>
      <c r="O1453" t="s">
        <v>82</v>
      </c>
      <c r="P1453" t="str">
        <f>"4170054007                    "</f>
        <v xml:space="preserve">4170054007                    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>
        <v>44.73</v>
      </c>
      <c r="AR1453">
        <v>0</v>
      </c>
      <c r="AS1453">
        <v>0</v>
      </c>
      <c r="AT1453">
        <v>0</v>
      </c>
      <c r="AU1453">
        <v>0</v>
      </c>
      <c r="AV1453">
        <v>0</v>
      </c>
      <c r="AW1453">
        <v>0</v>
      </c>
      <c r="AX1453">
        <v>0</v>
      </c>
      <c r="AY1453">
        <v>0</v>
      </c>
      <c r="AZ1453">
        <v>0</v>
      </c>
      <c r="BA1453">
        <v>0</v>
      </c>
      <c r="BB1453">
        <v>0</v>
      </c>
      <c r="BC1453">
        <v>0</v>
      </c>
      <c r="BD1453">
        <v>0</v>
      </c>
      <c r="BE1453">
        <v>0</v>
      </c>
      <c r="BF1453">
        <v>0</v>
      </c>
      <c r="BG1453">
        <v>0</v>
      </c>
      <c r="BH1453">
        <v>1</v>
      </c>
      <c r="BI1453">
        <v>1</v>
      </c>
      <c r="BJ1453">
        <v>0.2</v>
      </c>
      <c r="BK1453">
        <v>1</v>
      </c>
      <c r="BL1453">
        <v>138.88999999999999</v>
      </c>
      <c r="BM1453">
        <v>20.83</v>
      </c>
      <c r="BN1453">
        <v>159.72</v>
      </c>
      <c r="BO1453">
        <v>159.72</v>
      </c>
      <c r="BQ1453" t="s">
        <v>841</v>
      </c>
      <c r="BR1453" t="s">
        <v>84</v>
      </c>
      <c r="BS1453" s="3">
        <v>45881</v>
      </c>
      <c r="BT1453" s="4">
        <v>0.49444444444444446</v>
      </c>
      <c r="BU1453" t="s">
        <v>2078</v>
      </c>
      <c r="BV1453" t="s">
        <v>86</v>
      </c>
      <c r="BY1453">
        <v>1200</v>
      </c>
      <c r="CA1453" t="s">
        <v>308</v>
      </c>
      <c r="CC1453" t="s">
        <v>304</v>
      </c>
      <c r="CD1453">
        <v>7130</v>
      </c>
      <c r="CE1453" t="s">
        <v>109</v>
      </c>
      <c r="CF1453" s="3">
        <v>45882</v>
      </c>
      <c r="CI1453">
        <v>1</v>
      </c>
      <c r="CJ1453">
        <v>1</v>
      </c>
      <c r="CK1453">
        <v>23</v>
      </c>
      <c r="CL1453" t="s">
        <v>90</v>
      </c>
    </row>
    <row r="1454" spans="1:90" x14ac:dyDescent="0.3">
      <c r="A1454" t="s">
        <v>72</v>
      </c>
      <c r="B1454" t="s">
        <v>73</v>
      </c>
      <c r="C1454" t="s">
        <v>74</v>
      </c>
      <c r="E1454" t="str">
        <f>"080067161581"</f>
        <v>080067161581</v>
      </c>
      <c r="F1454" s="3">
        <v>45880</v>
      </c>
      <c r="G1454">
        <v>202605</v>
      </c>
      <c r="H1454" t="s">
        <v>75</v>
      </c>
      <c r="I1454" t="s">
        <v>76</v>
      </c>
      <c r="J1454" t="s">
        <v>77</v>
      </c>
      <c r="K1454" t="s">
        <v>78</v>
      </c>
      <c r="L1454" t="s">
        <v>123</v>
      </c>
      <c r="M1454" t="s">
        <v>124</v>
      </c>
      <c r="N1454" t="s">
        <v>406</v>
      </c>
      <c r="O1454" t="s">
        <v>82</v>
      </c>
      <c r="P1454" t="str">
        <f>"4170054142                    "</f>
        <v xml:space="preserve">4170054142                    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>
        <v>23.09</v>
      </c>
      <c r="AR1454">
        <v>0</v>
      </c>
      <c r="AS1454">
        <v>0</v>
      </c>
      <c r="AT1454">
        <v>0</v>
      </c>
      <c r="AU1454">
        <v>0</v>
      </c>
      <c r="AV1454">
        <v>0</v>
      </c>
      <c r="AW1454">
        <v>0</v>
      </c>
      <c r="AX1454">
        <v>0</v>
      </c>
      <c r="AY1454">
        <v>0</v>
      </c>
      <c r="AZ1454">
        <v>0</v>
      </c>
      <c r="BA1454">
        <v>0</v>
      </c>
      <c r="BB1454">
        <v>0</v>
      </c>
      <c r="BC1454">
        <v>0</v>
      </c>
      <c r="BD1454">
        <v>0</v>
      </c>
      <c r="BE1454">
        <v>0</v>
      </c>
      <c r="BF1454">
        <v>0</v>
      </c>
      <c r="BG1454">
        <v>0</v>
      </c>
      <c r="BH1454">
        <v>1</v>
      </c>
      <c r="BI1454">
        <v>1</v>
      </c>
      <c r="BJ1454">
        <v>0.2</v>
      </c>
      <c r="BK1454">
        <v>1</v>
      </c>
      <c r="BL1454">
        <v>71.69</v>
      </c>
      <c r="BM1454">
        <v>10.75</v>
      </c>
      <c r="BN1454">
        <v>82.44</v>
      </c>
      <c r="BO1454">
        <v>82.44</v>
      </c>
      <c r="BQ1454" t="s">
        <v>407</v>
      </c>
      <c r="BR1454" t="s">
        <v>84</v>
      </c>
      <c r="BS1454" s="3">
        <v>45881</v>
      </c>
      <c r="BT1454" s="4">
        <v>0.40972222222222221</v>
      </c>
      <c r="BU1454" t="s">
        <v>408</v>
      </c>
      <c r="BV1454" t="s">
        <v>86</v>
      </c>
      <c r="BY1454">
        <v>1200</v>
      </c>
      <c r="CA1454" t="s">
        <v>192</v>
      </c>
      <c r="CC1454" t="s">
        <v>124</v>
      </c>
      <c r="CD1454">
        <v>7441</v>
      </c>
      <c r="CE1454" t="s">
        <v>109</v>
      </c>
      <c r="CF1454" s="3">
        <v>45882</v>
      </c>
      <c r="CI1454">
        <v>1</v>
      </c>
      <c r="CJ1454">
        <v>1</v>
      </c>
      <c r="CK1454">
        <v>21</v>
      </c>
      <c r="CL1454" t="s">
        <v>90</v>
      </c>
    </row>
    <row r="1455" spans="1:90" x14ac:dyDescent="0.3">
      <c r="A1455" t="s">
        <v>72</v>
      </c>
      <c r="B1455" t="s">
        <v>73</v>
      </c>
      <c r="C1455" t="s">
        <v>74</v>
      </c>
      <c r="E1455" t="str">
        <f>"080067161632"</f>
        <v>080067161632</v>
      </c>
      <c r="F1455" s="3">
        <v>45880</v>
      </c>
      <c r="G1455">
        <v>202605</v>
      </c>
      <c r="H1455" t="s">
        <v>75</v>
      </c>
      <c r="I1455" t="s">
        <v>76</v>
      </c>
      <c r="J1455" t="s">
        <v>77</v>
      </c>
      <c r="K1455" t="s">
        <v>78</v>
      </c>
      <c r="L1455" t="s">
        <v>118</v>
      </c>
      <c r="M1455" t="s">
        <v>118</v>
      </c>
      <c r="N1455" t="s">
        <v>669</v>
      </c>
      <c r="O1455" t="s">
        <v>82</v>
      </c>
      <c r="P1455" t="str">
        <f>"4170054139                    "</f>
        <v xml:space="preserve">4170054139                    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Q1455">
        <v>44.73</v>
      </c>
      <c r="AR1455">
        <v>0</v>
      </c>
      <c r="AS1455">
        <v>0</v>
      </c>
      <c r="AT1455">
        <v>0</v>
      </c>
      <c r="AU1455">
        <v>0</v>
      </c>
      <c r="AV1455">
        <v>0</v>
      </c>
      <c r="AW1455">
        <v>0</v>
      </c>
      <c r="AX1455">
        <v>0</v>
      </c>
      <c r="AY1455">
        <v>0</v>
      </c>
      <c r="AZ1455">
        <v>0</v>
      </c>
      <c r="BA1455">
        <v>0</v>
      </c>
      <c r="BB1455">
        <v>0</v>
      </c>
      <c r="BC1455">
        <v>0</v>
      </c>
      <c r="BD1455">
        <v>0</v>
      </c>
      <c r="BE1455">
        <v>0</v>
      </c>
      <c r="BF1455">
        <v>0</v>
      </c>
      <c r="BG1455">
        <v>0</v>
      </c>
      <c r="BH1455">
        <v>1</v>
      </c>
      <c r="BI1455">
        <v>1</v>
      </c>
      <c r="BJ1455">
        <v>0.2</v>
      </c>
      <c r="BK1455">
        <v>1</v>
      </c>
      <c r="BL1455">
        <v>138.88999999999999</v>
      </c>
      <c r="BM1455">
        <v>20.83</v>
      </c>
      <c r="BN1455">
        <v>159.72</v>
      </c>
      <c r="BO1455">
        <v>159.72</v>
      </c>
      <c r="BQ1455" t="s">
        <v>670</v>
      </c>
      <c r="BR1455" t="s">
        <v>84</v>
      </c>
      <c r="BS1455" s="3">
        <v>45881</v>
      </c>
      <c r="BT1455" s="4">
        <v>0.54027777777777775</v>
      </c>
      <c r="BU1455" t="s">
        <v>2155</v>
      </c>
      <c r="BV1455" t="s">
        <v>86</v>
      </c>
      <c r="BY1455">
        <v>1200</v>
      </c>
      <c r="CA1455" t="s">
        <v>122</v>
      </c>
      <c r="CC1455" t="s">
        <v>118</v>
      </c>
      <c r="CD1455">
        <v>7646</v>
      </c>
      <c r="CE1455" t="s">
        <v>109</v>
      </c>
      <c r="CF1455" s="3">
        <v>45883</v>
      </c>
      <c r="CI1455">
        <v>1</v>
      </c>
      <c r="CJ1455">
        <v>1</v>
      </c>
      <c r="CK1455">
        <v>23</v>
      </c>
      <c r="CL1455" t="s">
        <v>90</v>
      </c>
    </row>
    <row r="1456" spans="1:90" x14ac:dyDescent="0.3">
      <c r="A1456" t="s">
        <v>72</v>
      </c>
      <c r="B1456" t="s">
        <v>73</v>
      </c>
      <c r="C1456" t="s">
        <v>74</v>
      </c>
      <c r="E1456" t="str">
        <f>"080067162047"</f>
        <v>080067162047</v>
      </c>
      <c r="F1456" s="3">
        <v>45880</v>
      </c>
      <c r="G1456">
        <v>202605</v>
      </c>
      <c r="H1456" t="s">
        <v>75</v>
      </c>
      <c r="I1456" t="s">
        <v>76</v>
      </c>
      <c r="J1456" t="s">
        <v>77</v>
      </c>
      <c r="K1456" t="s">
        <v>78</v>
      </c>
      <c r="L1456" t="s">
        <v>229</v>
      </c>
      <c r="M1456" t="s">
        <v>230</v>
      </c>
      <c r="N1456" t="s">
        <v>231</v>
      </c>
      <c r="O1456" t="s">
        <v>82</v>
      </c>
      <c r="P1456" t="str">
        <f>"4170054134                    "</f>
        <v xml:space="preserve">4170054134                    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Q1456">
        <v>307.29000000000002</v>
      </c>
      <c r="AR1456">
        <v>0</v>
      </c>
      <c r="AS1456">
        <v>0</v>
      </c>
      <c r="AT1456">
        <v>0</v>
      </c>
      <c r="AU1456">
        <v>0</v>
      </c>
      <c r="AV1456">
        <v>0</v>
      </c>
      <c r="AW1456">
        <v>0</v>
      </c>
      <c r="AX1456">
        <v>0</v>
      </c>
      <c r="AY1456">
        <v>0</v>
      </c>
      <c r="AZ1456">
        <v>0</v>
      </c>
      <c r="BA1456">
        <v>0</v>
      </c>
      <c r="BB1456">
        <v>0</v>
      </c>
      <c r="BC1456">
        <v>0</v>
      </c>
      <c r="BD1456">
        <v>0</v>
      </c>
      <c r="BE1456">
        <v>0</v>
      </c>
      <c r="BF1456">
        <v>0</v>
      </c>
      <c r="BG1456">
        <v>0</v>
      </c>
      <c r="BH1456">
        <v>1</v>
      </c>
      <c r="BI1456">
        <v>10</v>
      </c>
      <c r="BJ1456">
        <v>14.7</v>
      </c>
      <c r="BK1456">
        <v>15</v>
      </c>
      <c r="BL1456">
        <v>954.21</v>
      </c>
      <c r="BM1456">
        <v>143.13</v>
      </c>
      <c r="BN1456">
        <v>1097.3399999999999</v>
      </c>
      <c r="BO1456">
        <v>1097.3399999999999</v>
      </c>
      <c r="BQ1456" t="s">
        <v>232</v>
      </c>
      <c r="BR1456" t="s">
        <v>84</v>
      </c>
      <c r="BS1456" s="3">
        <v>45881</v>
      </c>
      <c r="BT1456" s="4">
        <v>0.32291666666666669</v>
      </c>
      <c r="BU1456" t="s">
        <v>233</v>
      </c>
      <c r="BV1456" t="s">
        <v>86</v>
      </c>
      <c r="BY1456">
        <v>73470</v>
      </c>
      <c r="CC1456" t="s">
        <v>230</v>
      </c>
      <c r="CD1456">
        <v>2740</v>
      </c>
      <c r="CE1456" t="s">
        <v>147</v>
      </c>
      <c r="CF1456" s="3">
        <v>45882</v>
      </c>
      <c r="CI1456">
        <v>1</v>
      </c>
      <c r="CJ1456">
        <v>1</v>
      </c>
      <c r="CK1456">
        <v>23</v>
      </c>
      <c r="CL1456" t="s">
        <v>90</v>
      </c>
    </row>
    <row r="1457" spans="1:90" x14ac:dyDescent="0.3">
      <c r="A1457" t="s">
        <v>72</v>
      </c>
      <c r="B1457" t="s">
        <v>73</v>
      </c>
      <c r="C1457" t="s">
        <v>74</v>
      </c>
      <c r="E1457" t="str">
        <f>"080067162076"</f>
        <v>080067162076</v>
      </c>
      <c r="F1457" s="3">
        <v>45880</v>
      </c>
      <c r="G1457">
        <v>202605</v>
      </c>
      <c r="H1457" t="s">
        <v>75</v>
      </c>
      <c r="I1457" t="s">
        <v>76</v>
      </c>
      <c r="J1457" t="s">
        <v>77</v>
      </c>
      <c r="K1457" t="s">
        <v>78</v>
      </c>
      <c r="L1457" t="s">
        <v>241</v>
      </c>
      <c r="M1457" t="s">
        <v>242</v>
      </c>
      <c r="N1457" t="s">
        <v>2156</v>
      </c>
      <c r="O1457" t="s">
        <v>82</v>
      </c>
      <c r="P1457" t="str">
        <f>"4170054154                    "</f>
        <v xml:space="preserve">4170054154                    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>
        <v>18.03</v>
      </c>
      <c r="AR1457">
        <v>0</v>
      </c>
      <c r="AS1457">
        <v>0</v>
      </c>
      <c r="AT1457">
        <v>0</v>
      </c>
      <c r="AU1457">
        <v>0</v>
      </c>
      <c r="AV1457">
        <v>0</v>
      </c>
      <c r="AW1457">
        <v>0</v>
      </c>
      <c r="AX1457">
        <v>0</v>
      </c>
      <c r="AY1457">
        <v>0</v>
      </c>
      <c r="AZ1457">
        <v>0</v>
      </c>
      <c r="BA1457">
        <v>0</v>
      </c>
      <c r="BB1457">
        <v>0</v>
      </c>
      <c r="BC1457">
        <v>0</v>
      </c>
      <c r="BD1457">
        <v>0</v>
      </c>
      <c r="BE1457">
        <v>0</v>
      </c>
      <c r="BF1457">
        <v>0</v>
      </c>
      <c r="BG1457">
        <v>0</v>
      </c>
      <c r="BH1457">
        <v>1</v>
      </c>
      <c r="BI1457">
        <v>1</v>
      </c>
      <c r="BJ1457">
        <v>0.2</v>
      </c>
      <c r="BK1457">
        <v>1</v>
      </c>
      <c r="BL1457">
        <v>55.99</v>
      </c>
      <c r="BM1457">
        <v>8.4</v>
      </c>
      <c r="BN1457">
        <v>64.39</v>
      </c>
      <c r="BO1457">
        <v>64.39</v>
      </c>
      <c r="BQ1457" t="s">
        <v>2157</v>
      </c>
      <c r="BR1457" t="s">
        <v>84</v>
      </c>
      <c r="BS1457" s="3">
        <v>45881</v>
      </c>
      <c r="BT1457" s="4">
        <v>0.41805555555555557</v>
      </c>
      <c r="BU1457" t="s">
        <v>2158</v>
      </c>
      <c r="BV1457" t="s">
        <v>86</v>
      </c>
      <c r="BY1457">
        <v>1200</v>
      </c>
      <c r="CA1457" t="s">
        <v>623</v>
      </c>
      <c r="CC1457" t="s">
        <v>242</v>
      </c>
      <c r="CD1457">
        <v>1459</v>
      </c>
      <c r="CE1457" t="s">
        <v>109</v>
      </c>
      <c r="CF1457" s="3">
        <v>45882</v>
      </c>
      <c r="CI1457">
        <v>1</v>
      </c>
      <c r="CJ1457">
        <v>1</v>
      </c>
      <c r="CK1457">
        <v>22</v>
      </c>
      <c r="CL1457" t="s">
        <v>90</v>
      </c>
    </row>
    <row r="1458" spans="1:90" x14ac:dyDescent="0.3">
      <c r="A1458" t="s">
        <v>72</v>
      </c>
      <c r="B1458" t="s">
        <v>73</v>
      </c>
      <c r="C1458" t="s">
        <v>74</v>
      </c>
      <c r="E1458" t="str">
        <f>"080067162108"</f>
        <v>080067162108</v>
      </c>
      <c r="F1458" s="3">
        <v>45880</v>
      </c>
      <c r="G1458">
        <v>202605</v>
      </c>
      <c r="H1458" t="s">
        <v>75</v>
      </c>
      <c r="I1458" t="s">
        <v>76</v>
      </c>
      <c r="J1458" t="s">
        <v>77</v>
      </c>
      <c r="K1458" t="s">
        <v>78</v>
      </c>
      <c r="L1458" t="s">
        <v>303</v>
      </c>
      <c r="M1458" t="s">
        <v>304</v>
      </c>
      <c r="N1458" t="s">
        <v>840</v>
      </c>
      <c r="O1458" t="s">
        <v>82</v>
      </c>
      <c r="P1458" t="str">
        <f>"4170054001                    "</f>
        <v xml:space="preserve">4170054001                    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>
        <v>165.91</v>
      </c>
      <c r="AR1458">
        <v>0</v>
      </c>
      <c r="AS1458">
        <v>0</v>
      </c>
      <c r="AT1458">
        <v>0</v>
      </c>
      <c r="AU1458">
        <v>0</v>
      </c>
      <c r="AV1458">
        <v>0</v>
      </c>
      <c r="AW1458">
        <v>0</v>
      </c>
      <c r="AX1458">
        <v>0</v>
      </c>
      <c r="AY1458">
        <v>0</v>
      </c>
      <c r="AZ1458">
        <v>0</v>
      </c>
      <c r="BA1458">
        <v>0</v>
      </c>
      <c r="BB1458">
        <v>0</v>
      </c>
      <c r="BC1458">
        <v>0</v>
      </c>
      <c r="BD1458">
        <v>0</v>
      </c>
      <c r="BE1458">
        <v>0</v>
      </c>
      <c r="BF1458">
        <v>0</v>
      </c>
      <c r="BG1458">
        <v>0</v>
      </c>
      <c r="BH1458">
        <v>1</v>
      </c>
      <c r="BI1458">
        <v>8</v>
      </c>
      <c r="BJ1458">
        <v>3.2</v>
      </c>
      <c r="BK1458">
        <v>8</v>
      </c>
      <c r="BL1458">
        <v>515.19000000000005</v>
      </c>
      <c r="BM1458">
        <v>77.28</v>
      </c>
      <c r="BN1458">
        <v>592.47</v>
      </c>
      <c r="BO1458">
        <v>592.47</v>
      </c>
      <c r="BQ1458" t="s">
        <v>841</v>
      </c>
      <c r="BR1458" t="s">
        <v>84</v>
      </c>
      <c r="BS1458" s="3">
        <v>45881</v>
      </c>
      <c r="BT1458" s="4">
        <v>0.49444444444444446</v>
      </c>
      <c r="BU1458" t="s">
        <v>2078</v>
      </c>
      <c r="BV1458" t="s">
        <v>86</v>
      </c>
      <c r="BY1458">
        <v>16128</v>
      </c>
      <c r="CA1458" t="s">
        <v>308</v>
      </c>
      <c r="CC1458" t="s">
        <v>304</v>
      </c>
      <c r="CD1458">
        <v>7130</v>
      </c>
      <c r="CE1458" t="s">
        <v>147</v>
      </c>
      <c r="CF1458" s="3">
        <v>45882</v>
      </c>
      <c r="CI1458">
        <v>1</v>
      </c>
      <c r="CJ1458">
        <v>1</v>
      </c>
      <c r="CK1458">
        <v>23</v>
      </c>
      <c r="CL1458" t="s">
        <v>90</v>
      </c>
    </row>
    <row r="1459" spans="1:90" x14ac:dyDescent="0.3">
      <c r="A1459" t="s">
        <v>72</v>
      </c>
      <c r="B1459" t="s">
        <v>73</v>
      </c>
      <c r="C1459" t="s">
        <v>74</v>
      </c>
      <c r="E1459" t="str">
        <f>"080067162115"</f>
        <v>080067162115</v>
      </c>
      <c r="F1459" s="3">
        <v>45880</v>
      </c>
      <c r="G1459">
        <v>202605</v>
      </c>
      <c r="H1459" t="s">
        <v>75</v>
      </c>
      <c r="I1459" t="s">
        <v>76</v>
      </c>
      <c r="J1459" t="s">
        <v>77</v>
      </c>
      <c r="K1459" t="s">
        <v>78</v>
      </c>
      <c r="L1459" t="s">
        <v>75</v>
      </c>
      <c r="M1459" t="s">
        <v>76</v>
      </c>
      <c r="N1459" t="s">
        <v>2159</v>
      </c>
      <c r="O1459" t="s">
        <v>82</v>
      </c>
      <c r="P1459" t="str">
        <f>"4170054017                    "</f>
        <v xml:space="preserve">4170054017                    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>
        <v>18.03</v>
      </c>
      <c r="AR1459">
        <v>0</v>
      </c>
      <c r="AS1459">
        <v>0</v>
      </c>
      <c r="AT1459">
        <v>0</v>
      </c>
      <c r="AU1459">
        <v>0</v>
      </c>
      <c r="AV1459">
        <v>0</v>
      </c>
      <c r="AW1459">
        <v>0</v>
      </c>
      <c r="AX1459">
        <v>0</v>
      </c>
      <c r="AY1459">
        <v>0</v>
      </c>
      <c r="AZ1459">
        <v>0</v>
      </c>
      <c r="BA1459">
        <v>0</v>
      </c>
      <c r="BB1459">
        <v>0</v>
      </c>
      <c r="BC1459">
        <v>0</v>
      </c>
      <c r="BD1459">
        <v>0</v>
      </c>
      <c r="BE1459">
        <v>0</v>
      </c>
      <c r="BF1459">
        <v>0</v>
      </c>
      <c r="BG1459">
        <v>0</v>
      </c>
      <c r="BH1459">
        <v>1</v>
      </c>
      <c r="BI1459">
        <v>1</v>
      </c>
      <c r="BJ1459">
        <v>0.2</v>
      </c>
      <c r="BK1459">
        <v>1</v>
      </c>
      <c r="BL1459">
        <v>55.99</v>
      </c>
      <c r="BM1459">
        <v>8.4</v>
      </c>
      <c r="BN1459">
        <v>64.39</v>
      </c>
      <c r="BO1459">
        <v>64.39</v>
      </c>
      <c r="BQ1459" t="s">
        <v>2160</v>
      </c>
      <c r="BR1459" t="s">
        <v>84</v>
      </c>
      <c r="BS1459" s="3">
        <v>45881</v>
      </c>
      <c r="BT1459" s="4">
        <v>0.30625000000000002</v>
      </c>
      <c r="BU1459" t="s">
        <v>2161</v>
      </c>
      <c r="BV1459" t="s">
        <v>86</v>
      </c>
      <c r="BY1459">
        <v>1200</v>
      </c>
      <c r="CA1459" t="s">
        <v>1327</v>
      </c>
      <c r="CC1459" t="s">
        <v>76</v>
      </c>
      <c r="CD1459">
        <v>1668</v>
      </c>
      <c r="CE1459" t="s">
        <v>109</v>
      </c>
      <c r="CF1459" s="3">
        <v>45882</v>
      </c>
      <c r="CI1459">
        <v>1</v>
      </c>
      <c r="CJ1459">
        <v>1</v>
      </c>
      <c r="CK1459">
        <v>22</v>
      </c>
      <c r="CL1459" t="s">
        <v>90</v>
      </c>
    </row>
    <row r="1460" spans="1:90" x14ac:dyDescent="0.3">
      <c r="A1460" t="s">
        <v>72</v>
      </c>
      <c r="B1460" t="s">
        <v>73</v>
      </c>
      <c r="C1460" t="s">
        <v>74</v>
      </c>
      <c r="E1460" t="str">
        <f>"080067162177"</f>
        <v>080067162177</v>
      </c>
      <c r="F1460" s="3">
        <v>45880</v>
      </c>
      <c r="G1460">
        <v>202605</v>
      </c>
      <c r="H1460" t="s">
        <v>75</v>
      </c>
      <c r="I1460" t="s">
        <v>76</v>
      </c>
      <c r="J1460" t="s">
        <v>77</v>
      </c>
      <c r="K1460" t="s">
        <v>78</v>
      </c>
      <c r="L1460" t="s">
        <v>118</v>
      </c>
      <c r="M1460" t="s">
        <v>118</v>
      </c>
      <c r="N1460" t="s">
        <v>213</v>
      </c>
      <c r="O1460" t="s">
        <v>82</v>
      </c>
      <c r="P1460" t="str">
        <f>"4170054107                    "</f>
        <v xml:space="preserve">4170054107                    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>
        <v>44.73</v>
      </c>
      <c r="AR1460">
        <v>0</v>
      </c>
      <c r="AS1460">
        <v>0</v>
      </c>
      <c r="AT1460">
        <v>0</v>
      </c>
      <c r="AU1460">
        <v>0</v>
      </c>
      <c r="AV1460">
        <v>0</v>
      </c>
      <c r="AW1460">
        <v>0</v>
      </c>
      <c r="AX1460">
        <v>0</v>
      </c>
      <c r="AY1460">
        <v>0</v>
      </c>
      <c r="AZ1460">
        <v>0</v>
      </c>
      <c r="BA1460">
        <v>0</v>
      </c>
      <c r="BB1460">
        <v>0</v>
      </c>
      <c r="BC1460">
        <v>0</v>
      </c>
      <c r="BD1460">
        <v>0</v>
      </c>
      <c r="BE1460">
        <v>0</v>
      </c>
      <c r="BF1460">
        <v>0</v>
      </c>
      <c r="BG1460">
        <v>0</v>
      </c>
      <c r="BH1460">
        <v>1</v>
      </c>
      <c r="BI1460">
        <v>1</v>
      </c>
      <c r="BJ1460">
        <v>0.2</v>
      </c>
      <c r="BK1460">
        <v>1</v>
      </c>
      <c r="BL1460">
        <v>138.88999999999999</v>
      </c>
      <c r="BM1460">
        <v>20.83</v>
      </c>
      <c r="BN1460">
        <v>159.72</v>
      </c>
      <c r="BO1460">
        <v>159.72</v>
      </c>
      <c r="BQ1460" t="s">
        <v>214</v>
      </c>
      <c r="BR1460" t="s">
        <v>84</v>
      </c>
      <c r="BS1460" s="3">
        <v>45881</v>
      </c>
      <c r="BT1460" s="4">
        <v>0.54166666666666663</v>
      </c>
      <c r="BU1460" t="s">
        <v>2162</v>
      </c>
      <c r="BV1460" t="s">
        <v>86</v>
      </c>
      <c r="BY1460">
        <v>1200</v>
      </c>
      <c r="BZ1460" t="s">
        <v>330</v>
      </c>
      <c r="CA1460" t="s">
        <v>122</v>
      </c>
      <c r="CC1460" t="s">
        <v>118</v>
      </c>
      <c r="CD1460">
        <v>7654</v>
      </c>
      <c r="CE1460" t="s">
        <v>109</v>
      </c>
      <c r="CF1460" s="3">
        <v>45883</v>
      </c>
      <c r="CI1460">
        <v>1</v>
      </c>
      <c r="CJ1460">
        <v>1</v>
      </c>
      <c r="CK1460">
        <v>23</v>
      </c>
      <c r="CL1460" t="s">
        <v>90</v>
      </c>
    </row>
    <row r="1461" spans="1:90" x14ac:dyDescent="0.3">
      <c r="A1461" t="s">
        <v>72</v>
      </c>
      <c r="B1461" t="s">
        <v>73</v>
      </c>
      <c r="C1461" t="s">
        <v>74</v>
      </c>
      <c r="E1461" t="str">
        <f>"080067162191"</f>
        <v>080067162191</v>
      </c>
      <c r="F1461" s="3">
        <v>45880</v>
      </c>
      <c r="G1461">
        <v>202605</v>
      </c>
      <c r="H1461" t="s">
        <v>75</v>
      </c>
      <c r="I1461" t="s">
        <v>76</v>
      </c>
      <c r="J1461" t="s">
        <v>77</v>
      </c>
      <c r="K1461" t="s">
        <v>78</v>
      </c>
      <c r="L1461" t="s">
        <v>79</v>
      </c>
      <c r="M1461" t="s">
        <v>80</v>
      </c>
      <c r="N1461" t="s">
        <v>2163</v>
      </c>
      <c r="O1461" t="s">
        <v>82</v>
      </c>
      <c r="P1461" t="str">
        <f>"4170054136                    "</f>
        <v xml:space="preserve">4170054136                    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Q1461">
        <v>18.03</v>
      </c>
      <c r="AR1461">
        <v>0</v>
      </c>
      <c r="AS1461">
        <v>0</v>
      </c>
      <c r="AT1461">
        <v>0</v>
      </c>
      <c r="AU1461">
        <v>0</v>
      </c>
      <c r="AV1461">
        <v>0</v>
      </c>
      <c r="AW1461">
        <v>0</v>
      </c>
      <c r="AX1461">
        <v>0</v>
      </c>
      <c r="AY1461">
        <v>0</v>
      </c>
      <c r="AZ1461">
        <v>0</v>
      </c>
      <c r="BA1461">
        <v>0</v>
      </c>
      <c r="BB1461">
        <v>0</v>
      </c>
      <c r="BC1461">
        <v>0</v>
      </c>
      <c r="BD1461">
        <v>0</v>
      </c>
      <c r="BE1461">
        <v>0</v>
      </c>
      <c r="BF1461">
        <v>0</v>
      </c>
      <c r="BG1461">
        <v>0</v>
      </c>
      <c r="BH1461">
        <v>1</v>
      </c>
      <c r="BI1461">
        <v>1</v>
      </c>
      <c r="BJ1461">
        <v>1.1000000000000001</v>
      </c>
      <c r="BK1461">
        <v>2</v>
      </c>
      <c r="BL1461">
        <v>55.99</v>
      </c>
      <c r="BM1461">
        <v>8.4</v>
      </c>
      <c r="BN1461">
        <v>64.39</v>
      </c>
      <c r="BO1461">
        <v>64.39</v>
      </c>
      <c r="BQ1461" t="s">
        <v>2164</v>
      </c>
      <c r="BR1461" t="s">
        <v>84</v>
      </c>
      <c r="BS1461" s="3">
        <v>45881</v>
      </c>
      <c r="BT1461" s="4">
        <v>0.3659722222222222</v>
      </c>
      <c r="BU1461" t="s">
        <v>2165</v>
      </c>
      <c r="BV1461" t="s">
        <v>86</v>
      </c>
      <c r="BY1461">
        <v>5320</v>
      </c>
      <c r="BZ1461" t="s">
        <v>330</v>
      </c>
      <c r="CA1461" t="s">
        <v>188</v>
      </c>
      <c r="CC1461" t="s">
        <v>80</v>
      </c>
      <c r="CD1461">
        <v>1401</v>
      </c>
      <c r="CE1461" t="s">
        <v>147</v>
      </c>
      <c r="CF1461" s="3">
        <v>45881</v>
      </c>
      <c r="CI1461">
        <v>1</v>
      </c>
      <c r="CJ1461">
        <v>1</v>
      </c>
      <c r="CK1461">
        <v>22</v>
      </c>
      <c r="CL1461" t="s">
        <v>90</v>
      </c>
    </row>
    <row r="1462" spans="1:90" x14ac:dyDescent="0.3">
      <c r="A1462" t="s">
        <v>72</v>
      </c>
      <c r="B1462" t="s">
        <v>73</v>
      </c>
      <c r="C1462" t="s">
        <v>74</v>
      </c>
      <c r="E1462" t="str">
        <f>"080067162215"</f>
        <v>080067162215</v>
      </c>
      <c r="F1462" s="3">
        <v>45880</v>
      </c>
      <c r="G1462">
        <v>202605</v>
      </c>
      <c r="H1462" t="s">
        <v>75</v>
      </c>
      <c r="I1462" t="s">
        <v>76</v>
      </c>
      <c r="J1462" t="s">
        <v>77</v>
      </c>
      <c r="K1462" t="s">
        <v>78</v>
      </c>
      <c r="L1462" t="s">
        <v>198</v>
      </c>
      <c r="M1462" t="s">
        <v>199</v>
      </c>
      <c r="N1462" t="s">
        <v>342</v>
      </c>
      <c r="O1462" t="s">
        <v>82</v>
      </c>
      <c r="P1462" t="str">
        <f>"4170054147                    "</f>
        <v xml:space="preserve">4170054147                    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Q1462">
        <v>23.09</v>
      </c>
      <c r="AR1462">
        <v>0</v>
      </c>
      <c r="AS1462">
        <v>0</v>
      </c>
      <c r="AT1462">
        <v>0</v>
      </c>
      <c r="AU1462">
        <v>0</v>
      </c>
      <c r="AV1462">
        <v>0</v>
      </c>
      <c r="AW1462">
        <v>0</v>
      </c>
      <c r="AX1462">
        <v>0</v>
      </c>
      <c r="AY1462">
        <v>0</v>
      </c>
      <c r="AZ1462">
        <v>0</v>
      </c>
      <c r="BA1462">
        <v>0</v>
      </c>
      <c r="BB1462">
        <v>0</v>
      </c>
      <c r="BC1462">
        <v>0</v>
      </c>
      <c r="BD1462">
        <v>0</v>
      </c>
      <c r="BE1462">
        <v>0</v>
      </c>
      <c r="BF1462">
        <v>0</v>
      </c>
      <c r="BG1462">
        <v>0</v>
      </c>
      <c r="BH1462">
        <v>1</v>
      </c>
      <c r="BI1462">
        <v>1</v>
      </c>
      <c r="BJ1462">
        <v>0.2</v>
      </c>
      <c r="BK1462">
        <v>1</v>
      </c>
      <c r="BL1462">
        <v>71.69</v>
      </c>
      <c r="BM1462">
        <v>10.75</v>
      </c>
      <c r="BN1462">
        <v>82.44</v>
      </c>
      <c r="BO1462">
        <v>82.44</v>
      </c>
      <c r="BQ1462" t="s">
        <v>343</v>
      </c>
      <c r="BR1462" t="s">
        <v>84</v>
      </c>
      <c r="BS1462" s="3">
        <v>45881</v>
      </c>
      <c r="BT1462" s="4">
        <v>0.40277777777777779</v>
      </c>
      <c r="BU1462" t="s">
        <v>1968</v>
      </c>
      <c r="BV1462" t="s">
        <v>86</v>
      </c>
      <c r="BY1462">
        <v>1200</v>
      </c>
      <c r="CA1462" t="s">
        <v>1570</v>
      </c>
      <c r="CC1462" t="s">
        <v>199</v>
      </c>
      <c r="CD1462">
        <v>6001</v>
      </c>
      <c r="CE1462" t="s">
        <v>109</v>
      </c>
      <c r="CF1462" s="3">
        <v>45881</v>
      </c>
      <c r="CI1462">
        <v>1</v>
      </c>
      <c r="CJ1462">
        <v>1</v>
      </c>
      <c r="CK1462">
        <v>21</v>
      </c>
      <c r="CL1462" t="s">
        <v>90</v>
      </c>
    </row>
    <row r="1463" spans="1:90" x14ac:dyDescent="0.3">
      <c r="A1463" t="s">
        <v>72</v>
      </c>
      <c r="B1463" t="s">
        <v>73</v>
      </c>
      <c r="C1463" t="s">
        <v>74</v>
      </c>
      <c r="E1463" t="str">
        <f>"080067162265"</f>
        <v>080067162265</v>
      </c>
      <c r="F1463" s="3">
        <v>45880</v>
      </c>
      <c r="G1463">
        <v>202605</v>
      </c>
      <c r="H1463" t="s">
        <v>75</v>
      </c>
      <c r="I1463" t="s">
        <v>76</v>
      </c>
      <c r="J1463" t="s">
        <v>77</v>
      </c>
      <c r="K1463" t="s">
        <v>78</v>
      </c>
      <c r="L1463" t="s">
        <v>297</v>
      </c>
      <c r="M1463" t="s">
        <v>298</v>
      </c>
      <c r="N1463" t="s">
        <v>299</v>
      </c>
      <c r="O1463" t="s">
        <v>82</v>
      </c>
      <c r="P1463" t="str">
        <f>"4170054004                    "</f>
        <v xml:space="preserve">4170054004                    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Q1463">
        <v>23.09</v>
      </c>
      <c r="AR1463">
        <v>0</v>
      </c>
      <c r="AS1463">
        <v>0</v>
      </c>
      <c r="AT1463">
        <v>0</v>
      </c>
      <c r="AU1463">
        <v>0</v>
      </c>
      <c r="AV1463">
        <v>0</v>
      </c>
      <c r="AW1463">
        <v>0</v>
      </c>
      <c r="AX1463">
        <v>0</v>
      </c>
      <c r="AY1463">
        <v>0</v>
      </c>
      <c r="AZ1463">
        <v>0</v>
      </c>
      <c r="BA1463">
        <v>0</v>
      </c>
      <c r="BB1463">
        <v>0</v>
      </c>
      <c r="BC1463">
        <v>0</v>
      </c>
      <c r="BD1463">
        <v>0</v>
      </c>
      <c r="BE1463">
        <v>0</v>
      </c>
      <c r="BF1463">
        <v>0</v>
      </c>
      <c r="BG1463">
        <v>0</v>
      </c>
      <c r="BH1463">
        <v>1</v>
      </c>
      <c r="BI1463">
        <v>1</v>
      </c>
      <c r="BJ1463">
        <v>0.2</v>
      </c>
      <c r="BK1463">
        <v>1</v>
      </c>
      <c r="BL1463">
        <v>71.69</v>
      </c>
      <c r="BM1463">
        <v>10.75</v>
      </c>
      <c r="BN1463">
        <v>82.44</v>
      </c>
      <c r="BO1463">
        <v>82.44</v>
      </c>
      <c r="BQ1463" t="s">
        <v>300</v>
      </c>
      <c r="BR1463" t="s">
        <v>84</v>
      </c>
      <c r="BS1463" s="3">
        <v>45881</v>
      </c>
      <c r="BT1463" s="4">
        <v>0.46319444444444446</v>
      </c>
      <c r="BU1463" t="s">
        <v>301</v>
      </c>
      <c r="BV1463" t="s">
        <v>90</v>
      </c>
      <c r="BW1463" t="s">
        <v>134</v>
      </c>
      <c r="BX1463" t="s">
        <v>135</v>
      </c>
      <c r="BY1463">
        <v>1200</v>
      </c>
      <c r="CA1463" t="s">
        <v>302</v>
      </c>
      <c r="CC1463" t="s">
        <v>298</v>
      </c>
      <c r="CD1463">
        <v>4302</v>
      </c>
      <c r="CE1463" t="s">
        <v>109</v>
      </c>
      <c r="CF1463" s="3">
        <v>45881</v>
      </c>
      <c r="CI1463">
        <v>1</v>
      </c>
      <c r="CJ1463">
        <v>1</v>
      </c>
      <c r="CK1463">
        <v>21</v>
      </c>
      <c r="CL1463" t="s">
        <v>90</v>
      </c>
    </row>
    <row r="1464" spans="1:90" x14ac:dyDescent="0.3">
      <c r="A1464" t="s">
        <v>72</v>
      </c>
      <c r="B1464" t="s">
        <v>73</v>
      </c>
      <c r="C1464" t="s">
        <v>74</v>
      </c>
      <c r="E1464" t="str">
        <f>"080067162279"</f>
        <v>080067162279</v>
      </c>
      <c r="F1464" s="3">
        <v>45880</v>
      </c>
      <c r="G1464">
        <v>202605</v>
      </c>
      <c r="H1464" t="s">
        <v>75</v>
      </c>
      <c r="I1464" t="s">
        <v>76</v>
      </c>
      <c r="J1464" t="s">
        <v>77</v>
      </c>
      <c r="K1464" t="s">
        <v>78</v>
      </c>
      <c r="L1464" t="s">
        <v>359</v>
      </c>
      <c r="M1464" t="s">
        <v>360</v>
      </c>
      <c r="N1464" t="s">
        <v>361</v>
      </c>
      <c r="O1464" t="s">
        <v>82</v>
      </c>
      <c r="P1464" t="str">
        <f>"4170054108                    "</f>
        <v xml:space="preserve">4170054108                    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0</v>
      </c>
      <c r="AP1464">
        <v>0</v>
      </c>
      <c r="AQ1464">
        <v>125.51</v>
      </c>
      <c r="AR1464">
        <v>0</v>
      </c>
      <c r="AS1464">
        <v>0</v>
      </c>
      <c r="AT1464">
        <v>0</v>
      </c>
      <c r="AU1464">
        <v>0</v>
      </c>
      <c r="AV1464">
        <v>0</v>
      </c>
      <c r="AW1464">
        <v>0</v>
      </c>
      <c r="AX1464">
        <v>0</v>
      </c>
      <c r="AY1464">
        <v>0</v>
      </c>
      <c r="AZ1464">
        <v>0</v>
      </c>
      <c r="BA1464">
        <v>0</v>
      </c>
      <c r="BB1464">
        <v>0</v>
      </c>
      <c r="BC1464">
        <v>0</v>
      </c>
      <c r="BD1464">
        <v>0</v>
      </c>
      <c r="BE1464">
        <v>0</v>
      </c>
      <c r="BF1464">
        <v>0</v>
      </c>
      <c r="BG1464">
        <v>0</v>
      </c>
      <c r="BH1464">
        <v>1</v>
      </c>
      <c r="BI1464">
        <v>6</v>
      </c>
      <c r="BJ1464">
        <v>5.3</v>
      </c>
      <c r="BK1464">
        <v>6</v>
      </c>
      <c r="BL1464">
        <v>389.75</v>
      </c>
      <c r="BM1464">
        <v>58.46</v>
      </c>
      <c r="BN1464">
        <v>448.21</v>
      </c>
      <c r="BO1464">
        <v>448.21</v>
      </c>
      <c r="BQ1464" t="s">
        <v>362</v>
      </c>
      <c r="BR1464" t="s">
        <v>84</v>
      </c>
      <c r="BS1464" s="3">
        <v>45881</v>
      </c>
      <c r="BT1464" s="4">
        <v>0.56527777777777777</v>
      </c>
      <c r="BU1464" t="s">
        <v>2166</v>
      </c>
      <c r="BV1464" t="s">
        <v>90</v>
      </c>
      <c r="BW1464" t="s">
        <v>364</v>
      </c>
      <c r="BX1464" t="s">
        <v>365</v>
      </c>
      <c r="BY1464">
        <v>26368</v>
      </c>
      <c r="CA1464" t="s">
        <v>1631</v>
      </c>
      <c r="CC1464" t="s">
        <v>360</v>
      </c>
      <c r="CD1464" s="5" t="s">
        <v>367</v>
      </c>
      <c r="CE1464" t="s">
        <v>117</v>
      </c>
      <c r="CF1464" s="3">
        <v>45882</v>
      </c>
      <c r="CI1464">
        <v>1</v>
      </c>
      <c r="CJ1464">
        <v>1</v>
      </c>
      <c r="CK1464">
        <v>23</v>
      </c>
      <c r="CL1464" t="s">
        <v>90</v>
      </c>
    </row>
    <row r="1465" spans="1:90" x14ac:dyDescent="0.3">
      <c r="A1465" t="s">
        <v>72</v>
      </c>
      <c r="B1465" t="s">
        <v>73</v>
      </c>
      <c r="C1465" t="s">
        <v>74</v>
      </c>
      <c r="E1465" t="str">
        <f>"080067162325"</f>
        <v>080067162325</v>
      </c>
      <c r="F1465" s="3">
        <v>45880</v>
      </c>
      <c r="G1465">
        <v>202605</v>
      </c>
      <c r="H1465" t="s">
        <v>75</v>
      </c>
      <c r="I1465" t="s">
        <v>76</v>
      </c>
      <c r="J1465" t="s">
        <v>77</v>
      </c>
      <c r="K1465" t="s">
        <v>78</v>
      </c>
      <c r="L1465" t="s">
        <v>123</v>
      </c>
      <c r="M1465" t="s">
        <v>124</v>
      </c>
      <c r="N1465" t="s">
        <v>887</v>
      </c>
      <c r="O1465" t="s">
        <v>82</v>
      </c>
      <c r="P1465" t="str">
        <f>"4170054027                    "</f>
        <v xml:space="preserve">4170054027                    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Q1465">
        <v>23.09</v>
      </c>
      <c r="AR1465">
        <v>0</v>
      </c>
      <c r="AS1465">
        <v>0</v>
      </c>
      <c r="AT1465">
        <v>0</v>
      </c>
      <c r="AU1465">
        <v>0</v>
      </c>
      <c r="AV1465">
        <v>0</v>
      </c>
      <c r="AW1465">
        <v>0</v>
      </c>
      <c r="AX1465">
        <v>0</v>
      </c>
      <c r="AY1465">
        <v>0</v>
      </c>
      <c r="AZ1465">
        <v>0</v>
      </c>
      <c r="BA1465">
        <v>0</v>
      </c>
      <c r="BB1465">
        <v>0</v>
      </c>
      <c r="BC1465">
        <v>0</v>
      </c>
      <c r="BD1465">
        <v>0</v>
      </c>
      <c r="BE1465">
        <v>0</v>
      </c>
      <c r="BF1465">
        <v>0</v>
      </c>
      <c r="BG1465">
        <v>0</v>
      </c>
      <c r="BH1465">
        <v>1</v>
      </c>
      <c r="BI1465">
        <v>1</v>
      </c>
      <c r="BJ1465">
        <v>0.2</v>
      </c>
      <c r="BK1465">
        <v>1</v>
      </c>
      <c r="BL1465">
        <v>71.69</v>
      </c>
      <c r="BM1465">
        <v>10.75</v>
      </c>
      <c r="BN1465">
        <v>82.44</v>
      </c>
      <c r="BO1465">
        <v>82.44</v>
      </c>
      <c r="BQ1465" t="s">
        <v>888</v>
      </c>
      <c r="BR1465" t="s">
        <v>84</v>
      </c>
      <c r="BS1465" s="3">
        <v>45881</v>
      </c>
      <c r="BT1465" s="4">
        <v>0.43055555555555558</v>
      </c>
      <c r="BU1465" t="s">
        <v>2167</v>
      </c>
      <c r="BV1465" t="s">
        <v>86</v>
      </c>
      <c r="BY1465">
        <v>1200</v>
      </c>
      <c r="CA1465" t="s">
        <v>489</v>
      </c>
      <c r="CC1465" t="s">
        <v>124</v>
      </c>
      <c r="CD1465">
        <v>7800</v>
      </c>
      <c r="CE1465" t="s">
        <v>109</v>
      </c>
      <c r="CF1465" s="3">
        <v>45882</v>
      </c>
      <c r="CI1465">
        <v>1</v>
      </c>
      <c r="CJ1465">
        <v>1</v>
      </c>
      <c r="CK1465">
        <v>21</v>
      </c>
      <c r="CL1465" t="s">
        <v>90</v>
      </c>
    </row>
    <row r="1466" spans="1:90" x14ac:dyDescent="0.3">
      <c r="A1466" t="s">
        <v>72</v>
      </c>
      <c r="B1466" t="s">
        <v>73</v>
      </c>
      <c r="C1466" t="s">
        <v>74</v>
      </c>
      <c r="E1466" t="str">
        <f>"080067162371"</f>
        <v>080067162371</v>
      </c>
      <c r="F1466" s="3">
        <v>45880</v>
      </c>
      <c r="G1466">
        <v>202605</v>
      </c>
      <c r="H1466" t="s">
        <v>75</v>
      </c>
      <c r="I1466" t="s">
        <v>76</v>
      </c>
      <c r="J1466" t="s">
        <v>77</v>
      </c>
      <c r="K1466" t="s">
        <v>78</v>
      </c>
      <c r="L1466" t="s">
        <v>198</v>
      </c>
      <c r="M1466" t="s">
        <v>199</v>
      </c>
      <c r="N1466" t="s">
        <v>410</v>
      </c>
      <c r="O1466" t="s">
        <v>95</v>
      </c>
      <c r="P1466" t="str">
        <f>"4170053990                    "</f>
        <v xml:space="preserve">4170053990                    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50.17</v>
      </c>
      <c r="AR1466">
        <v>0</v>
      </c>
      <c r="AS1466">
        <v>0</v>
      </c>
      <c r="AT1466">
        <v>0</v>
      </c>
      <c r="AU1466">
        <v>0</v>
      </c>
      <c r="AV1466">
        <v>0</v>
      </c>
      <c r="AW1466">
        <v>0</v>
      </c>
      <c r="AX1466">
        <v>0</v>
      </c>
      <c r="AY1466">
        <v>0</v>
      </c>
      <c r="AZ1466">
        <v>0</v>
      </c>
      <c r="BA1466">
        <v>0</v>
      </c>
      <c r="BB1466">
        <v>0</v>
      </c>
      <c r="BC1466">
        <v>0</v>
      </c>
      <c r="BD1466">
        <v>0</v>
      </c>
      <c r="BE1466">
        <v>0</v>
      </c>
      <c r="BF1466">
        <v>0</v>
      </c>
      <c r="BG1466">
        <v>0</v>
      </c>
      <c r="BH1466">
        <v>1</v>
      </c>
      <c r="BI1466">
        <v>11</v>
      </c>
      <c r="BJ1466">
        <v>17.7</v>
      </c>
      <c r="BK1466">
        <v>18</v>
      </c>
      <c r="BL1466">
        <v>161.66</v>
      </c>
      <c r="BM1466">
        <v>24.25</v>
      </c>
      <c r="BN1466">
        <v>185.91</v>
      </c>
      <c r="BO1466">
        <v>185.91</v>
      </c>
      <c r="BQ1466" t="s">
        <v>411</v>
      </c>
      <c r="BR1466" t="s">
        <v>84</v>
      </c>
      <c r="BS1466" s="3">
        <v>45882</v>
      </c>
      <c r="BT1466" s="4">
        <v>0.38541666666666669</v>
      </c>
      <c r="BU1466" t="s">
        <v>1411</v>
      </c>
      <c r="BV1466" t="s">
        <v>86</v>
      </c>
      <c r="BY1466">
        <v>88320</v>
      </c>
      <c r="CA1466" t="s">
        <v>413</v>
      </c>
      <c r="CC1466" t="s">
        <v>199</v>
      </c>
      <c r="CD1466">
        <v>6001</v>
      </c>
      <c r="CE1466" t="s">
        <v>147</v>
      </c>
      <c r="CF1466" s="3">
        <v>45882</v>
      </c>
      <c r="CI1466">
        <v>3</v>
      </c>
      <c r="CJ1466">
        <v>2</v>
      </c>
      <c r="CK1466">
        <v>41</v>
      </c>
      <c r="CL1466" t="s">
        <v>90</v>
      </c>
    </row>
    <row r="1467" spans="1:90" x14ac:dyDescent="0.3">
      <c r="A1467" t="s">
        <v>72</v>
      </c>
      <c r="B1467" t="s">
        <v>73</v>
      </c>
      <c r="C1467" t="s">
        <v>74</v>
      </c>
      <c r="E1467" t="str">
        <f>"080067162447"</f>
        <v>080067162447</v>
      </c>
      <c r="F1467" s="3">
        <v>45880</v>
      </c>
      <c r="G1467">
        <v>202605</v>
      </c>
      <c r="H1467" t="s">
        <v>75</v>
      </c>
      <c r="I1467" t="s">
        <v>76</v>
      </c>
      <c r="J1467" t="s">
        <v>77</v>
      </c>
      <c r="K1467" t="s">
        <v>78</v>
      </c>
      <c r="L1467" t="s">
        <v>229</v>
      </c>
      <c r="M1467" t="s">
        <v>230</v>
      </c>
      <c r="N1467" t="s">
        <v>231</v>
      </c>
      <c r="O1467" t="s">
        <v>82</v>
      </c>
      <c r="P1467" t="str">
        <f>"4170054135                    "</f>
        <v xml:space="preserve">4170054135                    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0</v>
      </c>
      <c r="AO1467">
        <v>0</v>
      </c>
      <c r="AP1467">
        <v>0</v>
      </c>
      <c r="AQ1467">
        <v>95.22</v>
      </c>
      <c r="AR1467">
        <v>0</v>
      </c>
      <c r="AS1467">
        <v>0</v>
      </c>
      <c r="AT1467">
        <v>0</v>
      </c>
      <c r="AU1467">
        <v>0</v>
      </c>
      <c r="AV1467">
        <v>0</v>
      </c>
      <c r="AW1467">
        <v>0</v>
      </c>
      <c r="AX1467">
        <v>0</v>
      </c>
      <c r="AY1467">
        <v>0</v>
      </c>
      <c r="AZ1467">
        <v>0</v>
      </c>
      <c r="BA1467">
        <v>0</v>
      </c>
      <c r="BB1467">
        <v>0</v>
      </c>
      <c r="BC1467">
        <v>0</v>
      </c>
      <c r="BD1467">
        <v>0</v>
      </c>
      <c r="BE1467">
        <v>0</v>
      </c>
      <c r="BF1467">
        <v>0</v>
      </c>
      <c r="BG1467">
        <v>0</v>
      </c>
      <c r="BH1467">
        <v>1</v>
      </c>
      <c r="BI1467">
        <v>3</v>
      </c>
      <c r="BJ1467">
        <v>4.0999999999999996</v>
      </c>
      <c r="BK1467">
        <v>4.5</v>
      </c>
      <c r="BL1467">
        <v>295.68</v>
      </c>
      <c r="BM1467">
        <v>44.35</v>
      </c>
      <c r="BN1467">
        <v>340.03</v>
      </c>
      <c r="BO1467">
        <v>340.03</v>
      </c>
      <c r="BQ1467" t="s">
        <v>232</v>
      </c>
      <c r="BR1467" t="s">
        <v>84</v>
      </c>
      <c r="BS1467" s="3">
        <v>45881</v>
      </c>
      <c r="BT1467" s="4">
        <v>0.32291666666666669</v>
      </c>
      <c r="BU1467" t="s">
        <v>233</v>
      </c>
      <c r="BV1467" t="s">
        <v>86</v>
      </c>
      <c r="BY1467">
        <v>20520</v>
      </c>
      <c r="CC1467" t="s">
        <v>230</v>
      </c>
      <c r="CD1467">
        <v>2740</v>
      </c>
      <c r="CE1467" t="s">
        <v>117</v>
      </c>
      <c r="CF1467" s="3">
        <v>45882</v>
      </c>
      <c r="CI1467">
        <v>1</v>
      </c>
      <c r="CJ1467">
        <v>1</v>
      </c>
      <c r="CK1467">
        <v>23</v>
      </c>
      <c r="CL1467" t="s">
        <v>90</v>
      </c>
    </row>
    <row r="1468" spans="1:90" x14ac:dyDescent="0.3">
      <c r="A1468" t="s">
        <v>72</v>
      </c>
      <c r="B1468" t="s">
        <v>73</v>
      </c>
      <c r="C1468" t="s">
        <v>74</v>
      </c>
      <c r="E1468" t="str">
        <f>"080067162497"</f>
        <v>080067162497</v>
      </c>
      <c r="F1468" s="3">
        <v>45880</v>
      </c>
      <c r="G1468">
        <v>202605</v>
      </c>
      <c r="H1468" t="s">
        <v>75</v>
      </c>
      <c r="I1468" t="s">
        <v>76</v>
      </c>
      <c r="J1468" t="s">
        <v>77</v>
      </c>
      <c r="K1468" t="s">
        <v>78</v>
      </c>
      <c r="L1468" t="s">
        <v>118</v>
      </c>
      <c r="M1468" t="s">
        <v>118</v>
      </c>
      <c r="N1468" t="s">
        <v>1277</v>
      </c>
      <c r="O1468" t="s">
        <v>82</v>
      </c>
      <c r="P1468" t="str">
        <f>"4170054044                    "</f>
        <v xml:space="preserve">4170054044                    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Q1468">
        <v>64.92</v>
      </c>
      <c r="AR1468">
        <v>0</v>
      </c>
      <c r="AS1468">
        <v>0</v>
      </c>
      <c r="AT1468">
        <v>0</v>
      </c>
      <c r="AU1468">
        <v>0</v>
      </c>
      <c r="AV1468">
        <v>0</v>
      </c>
      <c r="AW1468">
        <v>0</v>
      </c>
      <c r="AX1468">
        <v>0</v>
      </c>
      <c r="AY1468">
        <v>0</v>
      </c>
      <c r="AZ1468">
        <v>0</v>
      </c>
      <c r="BA1468">
        <v>0</v>
      </c>
      <c r="BB1468">
        <v>0</v>
      </c>
      <c r="BC1468">
        <v>0</v>
      </c>
      <c r="BD1468">
        <v>0</v>
      </c>
      <c r="BE1468">
        <v>0</v>
      </c>
      <c r="BF1468">
        <v>0</v>
      </c>
      <c r="BG1468">
        <v>0</v>
      </c>
      <c r="BH1468">
        <v>1</v>
      </c>
      <c r="BI1468">
        <v>3</v>
      </c>
      <c r="BJ1468">
        <v>1.4</v>
      </c>
      <c r="BK1468">
        <v>3</v>
      </c>
      <c r="BL1468">
        <v>201.6</v>
      </c>
      <c r="BM1468">
        <v>30.24</v>
      </c>
      <c r="BN1468">
        <v>231.84</v>
      </c>
      <c r="BO1468">
        <v>231.84</v>
      </c>
      <c r="BQ1468" t="s">
        <v>1278</v>
      </c>
      <c r="BR1468" t="s">
        <v>84</v>
      </c>
      <c r="BS1468" s="3">
        <v>45881</v>
      </c>
      <c r="BT1468" s="4">
        <v>0.53888888888888886</v>
      </c>
      <c r="BU1468" t="s">
        <v>1936</v>
      </c>
      <c r="BV1468" t="s">
        <v>86</v>
      </c>
      <c r="BY1468">
        <v>7000</v>
      </c>
      <c r="CA1468" t="s">
        <v>122</v>
      </c>
      <c r="CC1468" t="s">
        <v>118</v>
      </c>
      <c r="CD1468">
        <v>7646</v>
      </c>
      <c r="CE1468" t="s">
        <v>147</v>
      </c>
      <c r="CF1468" s="3">
        <v>45883</v>
      </c>
      <c r="CI1468">
        <v>1</v>
      </c>
      <c r="CJ1468">
        <v>1</v>
      </c>
      <c r="CK1468">
        <v>23</v>
      </c>
      <c r="CL1468" t="s">
        <v>90</v>
      </c>
    </row>
    <row r="1469" spans="1:90" x14ac:dyDescent="0.3">
      <c r="A1469" t="s">
        <v>72</v>
      </c>
      <c r="B1469" t="s">
        <v>73</v>
      </c>
      <c r="C1469" t="s">
        <v>74</v>
      </c>
      <c r="E1469" t="str">
        <f>"080067162547"</f>
        <v>080067162547</v>
      </c>
      <c r="F1469" s="3">
        <v>45880</v>
      </c>
      <c r="G1469">
        <v>202605</v>
      </c>
      <c r="H1469" t="s">
        <v>75</v>
      </c>
      <c r="I1469" t="s">
        <v>76</v>
      </c>
      <c r="J1469" t="s">
        <v>77</v>
      </c>
      <c r="K1469" t="s">
        <v>78</v>
      </c>
      <c r="L1469" t="s">
        <v>555</v>
      </c>
      <c r="M1469" t="s">
        <v>556</v>
      </c>
      <c r="N1469" t="s">
        <v>557</v>
      </c>
      <c r="O1469" t="s">
        <v>82</v>
      </c>
      <c r="P1469" t="str">
        <f>"4170054045                    "</f>
        <v xml:space="preserve">4170054045                    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0</v>
      </c>
      <c r="AO1469">
        <v>0</v>
      </c>
      <c r="AP1469">
        <v>0</v>
      </c>
      <c r="AQ1469">
        <v>54.82</v>
      </c>
      <c r="AR1469">
        <v>0</v>
      </c>
      <c r="AS1469">
        <v>0</v>
      </c>
      <c r="AT1469">
        <v>0</v>
      </c>
      <c r="AU1469">
        <v>0</v>
      </c>
      <c r="AV1469">
        <v>0</v>
      </c>
      <c r="AW1469">
        <v>0</v>
      </c>
      <c r="AX1469">
        <v>0</v>
      </c>
      <c r="AY1469">
        <v>0</v>
      </c>
      <c r="AZ1469">
        <v>0</v>
      </c>
      <c r="BA1469">
        <v>0</v>
      </c>
      <c r="BB1469">
        <v>0</v>
      </c>
      <c r="BC1469">
        <v>0</v>
      </c>
      <c r="BD1469">
        <v>0</v>
      </c>
      <c r="BE1469">
        <v>0</v>
      </c>
      <c r="BF1469">
        <v>0</v>
      </c>
      <c r="BG1469">
        <v>0</v>
      </c>
      <c r="BH1469">
        <v>1</v>
      </c>
      <c r="BI1469">
        <v>1</v>
      </c>
      <c r="BJ1469">
        <v>2.5</v>
      </c>
      <c r="BK1469">
        <v>2.5</v>
      </c>
      <c r="BL1469">
        <v>170.24</v>
      </c>
      <c r="BM1469">
        <v>25.54</v>
      </c>
      <c r="BN1469">
        <v>195.78</v>
      </c>
      <c r="BO1469">
        <v>195.78</v>
      </c>
      <c r="BQ1469" t="s">
        <v>558</v>
      </c>
      <c r="BR1469" t="s">
        <v>84</v>
      </c>
      <c r="BS1469" s="3">
        <v>45881</v>
      </c>
      <c r="BT1469" s="4">
        <v>0.57638888888888884</v>
      </c>
      <c r="BU1469" t="s">
        <v>2168</v>
      </c>
      <c r="BV1469" t="s">
        <v>86</v>
      </c>
      <c r="BY1469">
        <v>12432</v>
      </c>
      <c r="CA1469" t="s">
        <v>560</v>
      </c>
      <c r="CC1469" t="s">
        <v>556</v>
      </c>
      <c r="CD1469">
        <v>6850</v>
      </c>
      <c r="CE1469" t="s">
        <v>117</v>
      </c>
      <c r="CF1469" s="3">
        <v>45882</v>
      </c>
      <c r="CI1469">
        <v>2</v>
      </c>
      <c r="CJ1469">
        <v>1</v>
      </c>
      <c r="CK1469">
        <v>23</v>
      </c>
      <c r="CL1469" t="s">
        <v>90</v>
      </c>
    </row>
    <row r="1470" spans="1:90" x14ac:dyDescent="0.3">
      <c r="A1470" t="s">
        <v>72</v>
      </c>
      <c r="B1470" t="s">
        <v>73</v>
      </c>
      <c r="C1470" t="s">
        <v>74</v>
      </c>
      <c r="E1470" t="str">
        <f>"080067162615"</f>
        <v>080067162615</v>
      </c>
      <c r="F1470" s="3">
        <v>45880</v>
      </c>
      <c r="G1470">
        <v>202605</v>
      </c>
      <c r="H1470" t="s">
        <v>75</v>
      </c>
      <c r="I1470" t="s">
        <v>76</v>
      </c>
      <c r="J1470" t="s">
        <v>77</v>
      </c>
      <c r="K1470" t="s">
        <v>78</v>
      </c>
      <c r="L1470" t="s">
        <v>234</v>
      </c>
      <c r="M1470" t="s">
        <v>235</v>
      </c>
      <c r="N1470" t="s">
        <v>2169</v>
      </c>
      <c r="O1470" t="s">
        <v>82</v>
      </c>
      <c r="P1470" t="str">
        <f>"4170053995                    "</f>
        <v xml:space="preserve">4170053995                    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Q1470">
        <v>23.09</v>
      </c>
      <c r="AR1470">
        <v>0</v>
      </c>
      <c r="AS1470">
        <v>0</v>
      </c>
      <c r="AT1470">
        <v>0</v>
      </c>
      <c r="AU1470">
        <v>0</v>
      </c>
      <c r="AV1470">
        <v>0</v>
      </c>
      <c r="AW1470">
        <v>0</v>
      </c>
      <c r="AX1470">
        <v>0</v>
      </c>
      <c r="AY1470">
        <v>0</v>
      </c>
      <c r="AZ1470">
        <v>0</v>
      </c>
      <c r="BA1470">
        <v>0</v>
      </c>
      <c r="BB1470">
        <v>0</v>
      </c>
      <c r="BC1470">
        <v>0</v>
      </c>
      <c r="BD1470">
        <v>0</v>
      </c>
      <c r="BE1470">
        <v>0</v>
      </c>
      <c r="BF1470">
        <v>0</v>
      </c>
      <c r="BG1470">
        <v>0</v>
      </c>
      <c r="BH1470">
        <v>1</v>
      </c>
      <c r="BI1470">
        <v>1</v>
      </c>
      <c r="BJ1470">
        <v>2</v>
      </c>
      <c r="BK1470">
        <v>2</v>
      </c>
      <c r="BL1470">
        <v>71.69</v>
      </c>
      <c r="BM1470">
        <v>10.75</v>
      </c>
      <c r="BN1470">
        <v>82.44</v>
      </c>
      <c r="BO1470">
        <v>82.44</v>
      </c>
      <c r="BQ1470" t="s">
        <v>2170</v>
      </c>
      <c r="BR1470" t="s">
        <v>84</v>
      </c>
      <c r="BS1470" s="3">
        <v>45881</v>
      </c>
      <c r="BT1470" s="4">
        <v>0.36458333333333331</v>
      </c>
      <c r="BU1470" t="s">
        <v>353</v>
      </c>
      <c r="BV1470" t="s">
        <v>86</v>
      </c>
      <c r="BY1470">
        <v>9918</v>
      </c>
      <c r="CA1470" t="s">
        <v>824</v>
      </c>
      <c r="CC1470" t="s">
        <v>235</v>
      </c>
      <c r="CD1470" s="5" t="s">
        <v>240</v>
      </c>
      <c r="CE1470" t="s">
        <v>147</v>
      </c>
      <c r="CF1470" s="3">
        <v>45881</v>
      </c>
      <c r="CI1470">
        <v>1</v>
      </c>
      <c r="CJ1470">
        <v>1</v>
      </c>
      <c r="CK1470">
        <v>21</v>
      </c>
      <c r="CL1470" t="s">
        <v>90</v>
      </c>
    </row>
    <row r="1471" spans="1:90" x14ac:dyDescent="0.3">
      <c r="A1471" t="s">
        <v>72</v>
      </c>
      <c r="B1471" t="s">
        <v>73</v>
      </c>
      <c r="C1471" t="s">
        <v>74</v>
      </c>
      <c r="E1471" t="str">
        <f>"080067162651"</f>
        <v>080067162651</v>
      </c>
      <c r="F1471" s="3">
        <v>45880</v>
      </c>
      <c r="G1471">
        <v>202605</v>
      </c>
      <c r="H1471" t="s">
        <v>75</v>
      </c>
      <c r="I1471" t="s">
        <v>76</v>
      </c>
      <c r="J1471" t="s">
        <v>77</v>
      </c>
      <c r="K1471" t="s">
        <v>78</v>
      </c>
      <c r="L1471" t="s">
        <v>513</v>
      </c>
      <c r="M1471" t="s">
        <v>514</v>
      </c>
      <c r="N1471" t="s">
        <v>709</v>
      </c>
      <c r="O1471" t="s">
        <v>95</v>
      </c>
      <c r="P1471" t="str">
        <f>"4170054160                    "</f>
        <v xml:space="preserve">4170054160                    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0</v>
      </c>
      <c r="AO1471">
        <v>0</v>
      </c>
      <c r="AP1471">
        <v>0</v>
      </c>
      <c r="AQ1471">
        <v>62.96</v>
      </c>
      <c r="AR1471">
        <v>0</v>
      </c>
      <c r="AS1471">
        <v>0</v>
      </c>
      <c r="AT1471">
        <v>0</v>
      </c>
      <c r="AU1471">
        <v>0</v>
      </c>
      <c r="AV1471">
        <v>0</v>
      </c>
      <c r="AW1471">
        <v>0</v>
      </c>
      <c r="AX1471">
        <v>0</v>
      </c>
      <c r="AY1471">
        <v>0</v>
      </c>
      <c r="AZ1471">
        <v>0</v>
      </c>
      <c r="BA1471">
        <v>0</v>
      </c>
      <c r="BB1471">
        <v>0</v>
      </c>
      <c r="BC1471">
        <v>0</v>
      </c>
      <c r="BD1471">
        <v>0</v>
      </c>
      <c r="BE1471">
        <v>0</v>
      </c>
      <c r="BF1471">
        <v>0</v>
      </c>
      <c r="BG1471">
        <v>0</v>
      </c>
      <c r="BH1471">
        <v>2</v>
      </c>
      <c r="BI1471">
        <v>12</v>
      </c>
      <c r="BJ1471">
        <v>7.6</v>
      </c>
      <c r="BK1471">
        <v>12</v>
      </c>
      <c r="BL1471">
        <v>201.38</v>
      </c>
      <c r="BM1471">
        <v>30.21</v>
      </c>
      <c r="BN1471">
        <v>231.59</v>
      </c>
      <c r="BO1471">
        <v>231.59</v>
      </c>
      <c r="BQ1471" t="s">
        <v>710</v>
      </c>
      <c r="BR1471" t="s">
        <v>84</v>
      </c>
      <c r="BS1471" s="3">
        <v>45881</v>
      </c>
      <c r="BT1471" s="4">
        <v>0.54652777777777772</v>
      </c>
      <c r="BU1471" t="s">
        <v>1657</v>
      </c>
      <c r="BV1471" t="s">
        <v>86</v>
      </c>
      <c r="BY1471">
        <v>37784</v>
      </c>
      <c r="CA1471" t="s">
        <v>712</v>
      </c>
      <c r="CC1471" t="s">
        <v>514</v>
      </c>
      <c r="CD1471" s="5" t="s">
        <v>519</v>
      </c>
      <c r="CE1471" t="s">
        <v>1164</v>
      </c>
      <c r="CF1471" s="3">
        <v>45882</v>
      </c>
      <c r="CI1471">
        <v>1</v>
      </c>
      <c r="CJ1471">
        <v>1</v>
      </c>
      <c r="CK1471">
        <v>43</v>
      </c>
      <c r="CL1471" t="s">
        <v>90</v>
      </c>
    </row>
    <row r="1472" spans="1:90" x14ac:dyDescent="0.3">
      <c r="A1472" t="s">
        <v>72</v>
      </c>
      <c r="B1472" t="s">
        <v>73</v>
      </c>
      <c r="C1472" t="s">
        <v>74</v>
      </c>
      <c r="E1472" t="str">
        <f>"080067162664"</f>
        <v>080067162664</v>
      </c>
      <c r="F1472" s="3">
        <v>45880</v>
      </c>
      <c r="G1472">
        <v>202605</v>
      </c>
      <c r="H1472" t="s">
        <v>75</v>
      </c>
      <c r="I1472" t="s">
        <v>76</v>
      </c>
      <c r="J1472" t="s">
        <v>77</v>
      </c>
      <c r="K1472" t="s">
        <v>78</v>
      </c>
      <c r="L1472" t="s">
        <v>123</v>
      </c>
      <c r="M1472" t="s">
        <v>124</v>
      </c>
      <c r="N1472" t="s">
        <v>406</v>
      </c>
      <c r="O1472" t="s">
        <v>82</v>
      </c>
      <c r="P1472" t="str">
        <f>"4170054155                    "</f>
        <v xml:space="preserve">4170054155                    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Q1472">
        <v>23.09</v>
      </c>
      <c r="AR1472">
        <v>0</v>
      </c>
      <c r="AS1472">
        <v>0</v>
      </c>
      <c r="AT1472">
        <v>0</v>
      </c>
      <c r="AU1472">
        <v>0</v>
      </c>
      <c r="AV1472">
        <v>0</v>
      </c>
      <c r="AW1472">
        <v>0</v>
      </c>
      <c r="AX1472">
        <v>0</v>
      </c>
      <c r="AY1472">
        <v>0</v>
      </c>
      <c r="AZ1472">
        <v>0</v>
      </c>
      <c r="BA1472">
        <v>0</v>
      </c>
      <c r="BB1472">
        <v>0</v>
      </c>
      <c r="BC1472">
        <v>0</v>
      </c>
      <c r="BD1472">
        <v>0</v>
      </c>
      <c r="BE1472">
        <v>0</v>
      </c>
      <c r="BF1472">
        <v>0</v>
      </c>
      <c r="BG1472">
        <v>0</v>
      </c>
      <c r="BH1472">
        <v>1</v>
      </c>
      <c r="BI1472">
        <v>1</v>
      </c>
      <c r="BJ1472">
        <v>0.2</v>
      </c>
      <c r="BK1472">
        <v>1</v>
      </c>
      <c r="BL1472">
        <v>71.69</v>
      </c>
      <c r="BM1472">
        <v>10.75</v>
      </c>
      <c r="BN1472">
        <v>82.44</v>
      </c>
      <c r="BO1472">
        <v>82.44</v>
      </c>
      <c r="BQ1472" t="s">
        <v>407</v>
      </c>
      <c r="BR1472" t="s">
        <v>84</v>
      </c>
      <c r="BS1472" s="3">
        <v>45881</v>
      </c>
      <c r="BT1472" s="4">
        <v>0.40972222222222221</v>
      </c>
      <c r="BU1472" t="s">
        <v>408</v>
      </c>
      <c r="BV1472" t="s">
        <v>86</v>
      </c>
      <c r="BY1472">
        <v>1200</v>
      </c>
      <c r="CA1472" t="s">
        <v>192</v>
      </c>
      <c r="CC1472" t="s">
        <v>124</v>
      </c>
      <c r="CD1472">
        <v>7441</v>
      </c>
      <c r="CE1472" t="s">
        <v>109</v>
      </c>
      <c r="CF1472" s="3">
        <v>45882</v>
      </c>
      <c r="CI1472">
        <v>1</v>
      </c>
      <c r="CJ1472">
        <v>1</v>
      </c>
      <c r="CK1472">
        <v>21</v>
      </c>
      <c r="CL1472" t="s">
        <v>90</v>
      </c>
    </row>
    <row r="1473" spans="1:90" x14ac:dyDescent="0.3">
      <c r="A1473" t="s">
        <v>72</v>
      </c>
      <c r="B1473" t="s">
        <v>73</v>
      </c>
      <c r="C1473" t="s">
        <v>74</v>
      </c>
      <c r="E1473" t="str">
        <f>"080067162692"</f>
        <v>080067162692</v>
      </c>
      <c r="F1473" s="3">
        <v>45880</v>
      </c>
      <c r="G1473">
        <v>202605</v>
      </c>
      <c r="H1473" t="s">
        <v>75</v>
      </c>
      <c r="I1473" t="s">
        <v>76</v>
      </c>
      <c r="J1473" t="s">
        <v>77</v>
      </c>
      <c r="K1473" t="s">
        <v>78</v>
      </c>
      <c r="L1473" t="s">
        <v>1157</v>
      </c>
      <c r="M1473" t="s">
        <v>1158</v>
      </c>
      <c r="N1473" t="s">
        <v>1535</v>
      </c>
      <c r="O1473" t="s">
        <v>82</v>
      </c>
      <c r="P1473" t="str">
        <f>"4170054158                    "</f>
        <v xml:space="preserve">4170054158                    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0</v>
      </c>
      <c r="AO1473">
        <v>0</v>
      </c>
      <c r="AP1473">
        <v>0</v>
      </c>
      <c r="AQ1473">
        <v>44.73</v>
      </c>
      <c r="AR1473">
        <v>0</v>
      </c>
      <c r="AS1473">
        <v>0</v>
      </c>
      <c r="AT1473">
        <v>0</v>
      </c>
      <c r="AU1473">
        <v>0</v>
      </c>
      <c r="AV1473">
        <v>0</v>
      </c>
      <c r="AW1473">
        <v>0</v>
      </c>
      <c r="AX1473">
        <v>0</v>
      </c>
      <c r="AY1473">
        <v>0</v>
      </c>
      <c r="AZ1473">
        <v>0</v>
      </c>
      <c r="BA1473">
        <v>0</v>
      </c>
      <c r="BB1473">
        <v>0</v>
      </c>
      <c r="BC1473">
        <v>0</v>
      </c>
      <c r="BD1473">
        <v>0</v>
      </c>
      <c r="BE1473">
        <v>0</v>
      </c>
      <c r="BF1473">
        <v>0</v>
      </c>
      <c r="BG1473">
        <v>0</v>
      </c>
      <c r="BH1473">
        <v>1</v>
      </c>
      <c r="BI1473">
        <v>1</v>
      </c>
      <c r="BJ1473">
        <v>0.2</v>
      </c>
      <c r="BK1473">
        <v>1</v>
      </c>
      <c r="BL1473">
        <v>138.88999999999999</v>
      </c>
      <c r="BM1473">
        <v>20.83</v>
      </c>
      <c r="BN1473">
        <v>159.72</v>
      </c>
      <c r="BO1473">
        <v>159.72</v>
      </c>
      <c r="BQ1473" t="s">
        <v>1536</v>
      </c>
      <c r="BR1473" t="s">
        <v>84</v>
      </c>
      <c r="BS1473" s="3">
        <v>45881</v>
      </c>
      <c r="BT1473" s="4">
        <v>0.41249999999999998</v>
      </c>
      <c r="BU1473" t="s">
        <v>2171</v>
      </c>
      <c r="BV1473" t="s">
        <v>86</v>
      </c>
      <c r="BY1473">
        <v>1200</v>
      </c>
      <c r="CA1473" t="s">
        <v>2172</v>
      </c>
      <c r="CC1473" t="s">
        <v>1158</v>
      </c>
      <c r="CD1473">
        <v>2302</v>
      </c>
      <c r="CE1473" t="s">
        <v>109</v>
      </c>
      <c r="CF1473" s="3">
        <v>45882</v>
      </c>
      <c r="CI1473">
        <v>1</v>
      </c>
      <c r="CJ1473">
        <v>1</v>
      </c>
      <c r="CK1473">
        <v>23</v>
      </c>
      <c r="CL1473" t="s">
        <v>90</v>
      </c>
    </row>
    <row r="1474" spans="1:90" x14ac:dyDescent="0.3">
      <c r="A1474" t="s">
        <v>72</v>
      </c>
      <c r="B1474" t="s">
        <v>73</v>
      </c>
      <c r="C1474" t="s">
        <v>74</v>
      </c>
      <c r="E1474" t="str">
        <f>"080067162728"</f>
        <v>080067162728</v>
      </c>
      <c r="F1474" s="3">
        <v>45880</v>
      </c>
      <c r="G1474">
        <v>202605</v>
      </c>
      <c r="H1474" t="s">
        <v>75</v>
      </c>
      <c r="I1474" t="s">
        <v>76</v>
      </c>
      <c r="J1474" t="s">
        <v>77</v>
      </c>
      <c r="K1474" t="s">
        <v>78</v>
      </c>
      <c r="L1474" t="s">
        <v>555</v>
      </c>
      <c r="M1474" t="s">
        <v>556</v>
      </c>
      <c r="N1474" t="s">
        <v>844</v>
      </c>
      <c r="O1474" t="s">
        <v>82</v>
      </c>
      <c r="P1474" t="str">
        <f>"4170054159                    "</f>
        <v xml:space="preserve">4170054159                    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>
        <v>44.73</v>
      </c>
      <c r="AR1474">
        <v>0</v>
      </c>
      <c r="AS1474">
        <v>0</v>
      </c>
      <c r="AT1474">
        <v>0</v>
      </c>
      <c r="AU1474">
        <v>0</v>
      </c>
      <c r="AV1474">
        <v>0</v>
      </c>
      <c r="AW1474">
        <v>0</v>
      </c>
      <c r="AX1474">
        <v>0</v>
      </c>
      <c r="AY1474">
        <v>0</v>
      </c>
      <c r="AZ1474">
        <v>0</v>
      </c>
      <c r="BA1474">
        <v>0</v>
      </c>
      <c r="BB1474">
        <v>0</v>
      </c>
      <c r="BC1474">
        <v>0</v>
      </c>
      <c r="BD1474">
        <v>0</v>
      </c>
      <c r="BE1474">
        <v>0</v>
      </c>
      <c r="BF1474">
        <v>0</v>
      </c>
      <c r="BG1474">
        <v>0</v>
      </c>
      <c r="BH1474">
        <v>1</v>
      </c>
      <c r="BI1474">
        <v>1</v>
      </c>
      <c r="BJ1474">
        <v>0.2</v>
      </c>
      <c r="BK1474">
        <v>1</v>
      </c>
      <c r="BL1474">
        <v>138.88999999999999</v>
      </c>
      <c r="BM1474">
        <v>20.83</v>
      </c>
      <c r="BN1474">
        <v>159.72</v>
      </c>
      <c r="BO1474">
        <v>159.72</v>
      </c>
      <c r="BQ1474" t="s">
        <v>845</v>
      </c>
      <c r="BR1474" t="s">
        <v>84</v>
      </c>
      <c r="BS1474" s="3">
        <v>45881</v>
      </c>
      <c r="BT1474" s="4">
        <v>0.57499999999999996</v>
      </c>
      <c r="BU1474" t="s">
        <v>2173</v>
      </c>
      <c r="BV1474" t="s">
        <v>86</v>
      </c>
      <c r="BY1474">
        <v>1200</v>
      </c>
      <c r="CA1474" t="s">
        <v>560</v>
      </c>
      <c r="CC1474" t="s">
        <v>556</v>
      </c>
      <c r="CD1474">
        <v>6850</v>
      </c>
      <c r="CE1474" t="s">
        <v>109</v>
      </c>
      <c r="CF1474" s="3">
        <v>45882</v>
      </c>
      <c r="CI1474">
        <v>2</v>
      </c>
      <c r="CJ1474">
        <v>1</v>
      </c>
      <c r="CK1474">
        <v>23</v>
      </c>
      <c r="CL1474" t="s">
        <v>90</v>
      </c>
    </row>
    <row r="1475" spans="1:90" x14ac:dyDescent="0.3">
      <c r="A1475" t="s">
        <v>72</v>
      </c>
      <c r="B1475" t="s">
        <v>73</v>
      </c>
      <c r="C1475" t="s">
        <v>74</v>
      </c>
      <c r="E1475" t="str">
        <f>"080067162842"</f>
        <v>080067162842</v>
      </c>
      <c r="F1475" s="3">
        <v>45880</v>
      </c>
      <c r="G1475">
        <v>202605</v>
      </c>
      <c r="H1475" t="s">
        <v>75</v>
      </c>
      <c r="I1475" t="s">
        <v>76</v>
      </c>
      <c r="J1475" t="s">
        <v>77</v>
      </c>
      <c r="K1475" t="s">
        <v>78</v>
      </c>
      <c r="L1475" t="s">
        <v>75</v>
      </c>
      <c r="M1475" t="s">
        <v>76</v>
      </c>
      <c r="N1475" t="s">
        <v>1058</v>
      </c>
      <c r="O1475" t="s">
        <v>82</v>
      </c>
      <c r="P1475" t="str">
        <f>"4170054174                    "</f>
        <v xml:space="preserve">4170054174                    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0</v>
      </c>
      <c r="AO1475">
        <v>0</v>
      </c>
      <c r="AP1475">
        <v>0</v>
      </c>
      <c r="AQ1475">
        <v>18.03</v>
      </c>
      <c r="AR1475">
        <v>0</v>
      </c>
      <c r="AS1475">
        <v>0</v>
      </c>
      <c r="AT1475">
        <v>0</v>
      </c>
      <c r="AU1475">
        <v>0</v>
      </c>
      <c r="AV1475">
        <v>0</v>
      </c>
      <c r="AW1475">
        <v>0</v>
      </c>
      <c r="AX1475">
        <v>0</v>
      </c>
      <c r="AY1475">
        <v>0</v>
      </c>
      <c r="AZ1475">
        <v>0</v>
      </c>
      <c r="BA1475">
        <v>0</v>
      </c>
      <c r="BB1475">
        <v>0</v>
      </c>
      <c r="BC1475">
        <v>0</v>
      </c>
      <c r="BD1475">
        <v>0</v>
      </c>
      <c r="BE1475">
        <v>0</v>
      </c>
      <c r="BF1475">
        <v>0</v>
      </c>
      <c r="BG1475">
        <v>0</v>
      </c>
      <c r="BH1475">
        <v>1</v>
      </c>
      <c r="BI1475">
        <v>1</v>
      </c>
      <c r="BJ1475">
        <v>0.2</v>
      </c>
      <c r="BK1475">
        <v>1</v>
      </c>
      <c r="BL1475">
        <v>55.99</v>
      </c>
      <c r="BM1475">
        <v>8.4</v>
      </c>
      <c r="BN1475">
        <v>64.39</v>
      </c>
      <c r="BO1475">
        <v>64.39</v>
      </c>
      <c r="BQ1475" t="s">
        <v>1059</v>
      </c>
      <c r="BR1475" t="s">
        <v>84</v>
      </c>
      <c r="BS1475" s="3">
        <v>45881</v>
      </c>
      <c r="BT1475" s="4">
        <v>0.375</v>
      </c>
      <c r="BU1475" t="s">
        <v>1060</v>
      </c>
      <c r="BV1475" t="s">
        <v>86</v>
      </c>
      <c r="BY1475">
        <v>1200</v>
      </c>
      <c r="CA1475" t="s">
        <v>1026</v>
      </c>
      <c r="CC1475" t="s">
        <v>76</v>
      </c>
      <c r="CD1475">
        <v>1614</v>
      </c>
      <c r="CE1475" t="s">
        <v>109</v>
      </c>
      <c r="CF1475" s="3">
        <v>45881</v>
      </c>
      <c r="CI1475">
        <v>1</v>
      </c>
      <c r="CJ1475">
        <v>1</v>
      </c>
      <c r="CK1475">
        <v>22</v>
      </c>
      <c r="CL1475" t="s">
        <v>90</v>
      </c>
    </row>
    <row r="1476" spans="1:90" x14ac:dyDescent="0.3">
      <c r="A1476" t="s">
        <v>72</v>
      </c>
      <c r="B1476" t="s">
        <v>73</v>
      </c>
      <c r="C1476" t="s">
        <v>74</v>
      </c>
      <c r="E1476" t="str">
        <f>"080067162873"</f>
        <v>080067162873</v>
      </c>
      <c r="F1476" s="3">
        <v>45880</v>
      </c>
      <c r="G1476">
        <v>202605</v>
      </c>
      <c r="H1476" t="s">
        <v>75</v>
      </c>
      <c r="I1476" t="s">
        <v>76</v>
      </c>
      <c r="J1476" t="s">
        <v>77</v>
      </c>
      <c r="K1476" t="s">
        <v>78</v>
      </c>
      <c r="L1476" t="s">
        <v>162</v>
      </c>
      <c r="M1476" t="s">
        <v>163</v>
      </c>
      <c r="N1476" t="s">
        <v>1835</v>
      </c>
      <c r="O1476" t="s">
        <v>82</v>
      </c>
      <c r="P1476" t="str">
        <f>"4170054187                    "</f>
        <v xml:space="preserve">4170054187                    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0</v>
      </c>
      <c r="AO1476">
        <v>0</v>
      </c>
      <c r="AP1476">
        <v>0</v>
      </c>
      <c r="AQ1476">
        <v>23.09</v>
      </c>
      <c r="AR1476">
        <v>0</v>
      </c>
      <c r="AS1476">
        <v>0</v>
      </c>
      <c r="AT1476">
        <v>0</v>
      </c>
      <c r="AU1476">
        <v>0</v>
      </c>
      <c r="AV1476">
        <v>0</v>
      </c>
      <c r="AW1476">
        <v>0</v>
      </c>
      <c r="AX1476">
        <v>0</v>
      </c>
      <c r="AY1476">
        <v>0</v>
      </c>
      <c r="AZ1476">
        <v>0</v>
      </c>
      <c r="BA1476">
        <v>0</v>
      </c>
      <c r="BB1476">
        <v>0</v>
      </c>
      <c r="BC1476">
        <v>0</v>
      </c>
      <c r="BD1476">
        <v>0</v>
      </c>
      <c r="BE1476">
        <v>0</v>
      </c>
      <c r="BF1476">
        <v>0</v>
      </c>
      <c r="BG1476">
        <v>0</v>
      </c>
      <c r="BH1476">
        <v>1</v>
      </c>
      <c r="BI1476">
        <v>1</v>
      </c>
      <c r="BJ1476">
        <v>0.2</v>
      </c>
      <c r="BK1476">
        <v>1</v>
      </c>
      <c r="BL1476">
        <v>71.69</v>
      </c>
      <c r="BM1476">
        <v>10.75</v>
      </c>
      <c r="BN1476">
        <v>82.44</v>
      </c>
      <c r="BO1476">
        <v>82.44</v>
      </c>
      <c r="BQ1476" t="s">
        <v>1836</v>
      </c>
      <c r="BR1476" t="s">
        <v>84</v>
      </c>
      <c r="BS1476" s="3">
        <v>45882</v>
      </c>
      <c r="BT1476" s="4">
        <v>0.41666666666666669</v>
      </c>
      <c r="BU1476" t="s">
        <v>2174</v>
      </c>
      <c r="BV1476" t="s">
        <v>90</v>
      </c>
      <c r="BY1476">
        <v>1200</v>
      </c>
      <c r="CA1476" t="s">
        <v>919</v>
      </c>
      <c r="CC1476" t="s">
        <v>163</v>
      </c>
      <c r="CD1476">
        <v>3201</v>
      </c>
      <c r="CE1476" t="s">
        <v>109</v>
      </c>
      <c r="CF1476" s="3">
        <v>45883</v>
      </c>
      <c r="CI1476">
        <v>1</v>
      </c>
      <c r="CJ1476">
        <v>2</v>
      </c>
      <c r="CK1476">
        <v>21</v>
      </c>
      <c r="CL1476" t="s">
        <v>90</v>
      </c>
    </row>
    <row r="1477" spans="1:90" x14ac:dyDescent="0.3">
      <c r="A1477" t="s">
        <v>72</v>
      </c>
      <c r="B1477" t="s">
        <v>73</v>
      </c>
      <c r="C1477" t="s">
        <v>74</v>
      </c>
      <c r="E1477" t="str">
        <f>"080067162900"</f>
        <v>080067162900</v>
      </c>
      <c r="F1477" s="3">
        <v>45880</v>
      </c>
      <c r="G1477">
        <v>202605</v>
      </c>
      <c r="H1477" t="s">
        <v>75</v>
      </c>
      <c r="I1477" t="s">
        <v>76</v>
      </c>
      <c r="J1477" t="s">
        <v>77</v>
      </c>
      <c r="K1477" t="s">
        <v>78</v>
      </c>
      <c r="L1477" t="s">
        <v>75</v>
      </c>
      <c r="M1477" t="s">
        <v>76</v>
      </c>
      <c r="N1477" t="s">
        <v>1058</v>
      </c>
      <c r="O1477" t="s">
        <v>82</v>
      </c>
      <c r="P1477" t="str">
        <f>"4170054176                    "</f>
        <v xml:space="preserve">4170054176                    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0</v>
      </c>
      <c r="AO1477">
        <v>0</v>
      </c>
      <c r="AP1477">
        <v>0</v>
      </c>
      <c r="AQ1477">
        <v>18.03</v>
      </c>
      <c r="AR1477">
        <v>0</v>
      </c>
      <c r="AS1477">
        <v>0</v>
      </c>
      <c r="AT1477">
        <v>0</v>
      </c>
      <c r="AU1477">
        <v>0</v>
      </c>
      <c r="AV1477">
        <v>0</v>
      </c>
      <c r="AW1477">
        <v>0</v>
      </c>
      <c r="AX1477">
        <v>0</v>
      </c>
      <c r="AY1477">
        <v>0</v>
      </c>
      <c r="AZ1477">
        <v>0</v>
      </c>
      <c r="BA1477">
        <v>0</v>
      </c>
      <c r="BB1477">
        <v>0</v>
      </c>
      <c r="BC1477">
        <v>0</v>
      </c>
      <c r="BD1477">
        <v>0</v>
      </c>
      <c r="BE1477">
        <v>0</v>
      </c>
      <c r="BF1477">
        <v>0</v>
      </c>
      <c r="BG1477">
        <v>0</v>
      </c>
      <c r="BH1477">
        <v>1</v>
      </c>
      <c r="BI1477">
        <v>1</v>
      </c>
      <c r="BJ1477">
        <v>0.2</v>
      </c>
      <c r="BK1477">
        <v>1</v>
      </c>
      <c r="BL1477">
        <v>55.99</v>
      </c>
      <c r="BM1477">
        <v>8.4</v>
      </c>
      <c r="BN1477">
        <v>64.39</v>
      </c>
      <c r="BO1477">
        <v>64.39</v>
      </c>
      <c r="BQ1477" t="s">
        <v>1059</v>
      </c>
      <c r="BR1477" t="s">
        <v>84</v>
      </c>
      <c r="BS1477" s="3">
        <v>45881</v>
      </c>
      <c r="BT1477" s="4">
        <v>0.375</v>
      </c>
      <c r="BU1477" t="s">
        <v>1060</v>
      </c>
      <c r="BV1477" t="s">
        <v>86</v>
      </c>
      <c r="BY1477">
        <v>1200</v>
      </c>
      <c r="CA1477" t="s">
        <v>1026</v>
      </c>
      <c r="CC1477" t="s">
        <v>76</v>
      </c>
      <c r="CD1477">
        <v>1614</v>
      </c>
      <c r="CE1477" t="s">
        <v>109</v>
      </c>
      <c r="CF1477" s="3">
        <v>45881</v>
      </c>
      <c r="CI1477">
        <v>1</v>
      </c>
      <c r="CJ1477">
        <v>1</v>
      </c>
      <c r="CK1477">
        <v>22</v>
      </c>
      <c r="CL1477" t="s">
        <v>90</v>
      </c>
    </row>
    <row r="1478" spans="1:90" x14ac:dyDescent="0.3">
      <c r="A1478" t="s">
        <v>72</v>
      </c>
      <c r="B1478" t="s">
        <v>73</v>
      </c>
      <c r="C1478" t="s">
        <v>74</v>
      </c>
      <c r="E1478" t="str">
        <f>"080067162928"</f>
        <v>080067162928</v>
      </c>
      <c r="F1478" s="3">
        <v>45880</v>
      </c>
      <c r="G1478">
        <v>202605</v>
      </c>
      <c r="H1478" t="s">
        <v>75</v>
      </c>
      <c r="I1478" t="s">
        <v>76</v>
      </c>
      <c r="J1478" t="s">
        <v>77</v>
      </c>
      <c r="K1478" t="s">
        <v>78</v>
      </c>
      <c r="L1478" t="s">
        <v>325</v>
      </c>
      <c r="M1478" t="s">
        <v>326</v>
      </c>
      <c r="N1478" t="s">
        <v>980</v>
      </c>
      <c r="O1478" t="s">
        <v>82</v>
      </c>
      <c r="P1478" t="str">
        <f>"4170054169                    "</f>
        <v xml:space="preserve">4170054169                    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0</v>
      </c>
      <c r="AP1478">
        <v>0</v>
      </c>
      <c r="AQ1478">
        <v>18.03</v>
      </c>
      <c r="AR1478">
        <v>0</v>
      </c>
      <c r="AS1478">
        <v>0</v>
      </c>
      <c r="AT1478">
        <v>0</v>
      </c>
      <c r="AU1478">
        <v>0</v>
      </c>
      <c r="AV1478">
        <v>0</v>
      </c>
      <c r="AW1478">
        <v>0</v>
      </c>
      <c r="AX1478">
        <v>0</v>
      </c>
      <c r="AY1478">
        <v>0</v>
      </c>
      <c r="AZ1478">
        <v>0</v>
      </c>
      <c r="BA1478">
        <v>0</v>
      </c>
      <c r="BB1478">
        <v>0</v>
      </c>
      <c r="BC1478">
        <v>0</v>
      </c>
      <c r="BD1478">
        <v>0</v>
      </c>
      <c r="BE1478">
        <v>0</v>
      </c>
      <c r="BF1478">
        <v>0</v>
      </c>
      <c r="BG1478">
        <v>0</v>
      </c>
      <c r="BH1478">
        <v>1</v>
      </c>
      <c r="BI1478">
        <v>1</v>
      </c>
      <c r="BJ1478">
        <v>0.2</v>
      </c>
      <c r="BK1478">
        <v>1</v>
      </c>
      <c r="BL1478">
        <v>55.99</v>
      </c>
      <c r="BM1478">
        <v>8.4</v>
      </c>
      <c r="BN1478">
        <v>64.39</v>
      </c>
      <c r="BO1478">
        <v>64.39</v>
      </c>
      <c r="BQ1478" t="s">
        <v>981</v>
      </c>
      <c r="BR1478" t="s">
        <v>84</v>
      </c>
      <c r="BS1478" s="3">
        <v>45881</v>
      </c>
      <c r="BT1478" s="4">
        <v>0.38541666666666669</v>
      </c>
      <c r="BU1478" t="s">
        <v>982</v>
      </c>
      <c r="BV1478" t="s">
        <v>86</v>
      </c>
      <c r="BY1478">
        <v>1200</v>
      </c>
      <c r="CA1478" t="s">
        <v>461</v>
      </c>
      <c r="CC1478" t="s">
        <v>326</v>
      </c>
      <c r="CD1478">
        <v>2094</v>
      </c>
      <c r="CE1478" t="s">
        <v>109</v>
      </c>
      <c r="CF1478" s="3">
        <v>45881</v>
      </c>
      <c r="CI1478">
        <v>1</v>
      </c>
      <c r="CJ1478">
        <v>1</v>
      </c>
      <c r="CK1478">
        <v>22</v>
      </c>
      <c r="CL1478" t="s">
        <v>90</v>
      </c>
    </row>
    <row r="1479" spans="1:90" x14ac:dyDescent="0.3">
      <c r="A1479" t="s">
        <v>72</v>
      </c>
      <c r="B1479" t="s">
        <v>73</v>
      </c>
      <c r="C1479" t="s">
        <v>74</v>
      </c>
      <c r="E1479" t="str">
        <f>"080067162955"</f>
        <v>080067162955</v>
      </c>
      <c r="F1479" s="3">
        <v>45880</v>
      </c>
      <c r="G1479">
        <v>202605</v>
      </c>
      <c r="H1479" t="s">
        <v>75</v>
      </c>
      <c r="I1479" t="s">
        <v>76</v>
      </c>
      <c r="J1479" t="s">
        <v>77</v>
      </c>
      <c r="K1479" t="s">
        <v>78</v>
      </c>
      <c r="L1479" t="s">
        <v>123</v>
      </c>
      <c r="M1479" t="s">
        <v>124</v>
      </c>
      <c r="N1479" t="s">
        <v>406</v>
      </c>
      <c r="O1479" t="s">
        <v>82</v>
      </c>
      <c r="P1479" t="str">
        <f>"4170054156                    "</f>
        <v xml:space="preserve">4170054156                    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>
        <v>0</v>
      </c>
      <c r="AQ1479">
        <v>23.09</v>
      </c>
      <c r="AR1479">
        <v>0</v>
      </c>
      <c r="AS1479">
        <v>0</v>
      </c>
      <c r="AT1479">
        <v>0</v>
      </c>
      <c r="AU1479">
        <v>0</v>
      </c>
      <c r="AV1479">
        <v>0</v>
      </c>
      <c r="AW1479">
        <v>0</v>
      </c>
      <c r="AX1479">
        <v>0</v>
      </c>
      <c r="AY1479">
        <v>0</v>
      </c>
      <c r="AZ1479">
        <v>0</v>
      </c>
      <c r="BA1479">
        <v>0</v>
      </c>
      <c r="BB1479">
        <v>0</v>
      </c>
      <c r="BC1479">
        <v>0</v>
      </c>
      <c r="BD1479">
        <v>0</v>
      </c>
      <c r="BE1479">
        <v>0</v>
      </c>
      <c r="BF1479">
        <v>0</v>
      </c>
      <c r="BG1479">
        <v>0</v>
      </c>
      <c r="BH1479">
        <v>1</v>
      </c>
      <c r="BI1479">
        <v>1</v>
      </c>
      <c r="BJ1479">
        <v>0.2</v>
      </c>
      <c r="BK1479">
        <v>1</v>
      </c>
      <c r="BL1479">
        <v>71.69</v>
      </c>
      <c r="BM1479">
        <v>10.75</v>
      </c>
      <c r="BN1479">
        <v>82.44</v>
      </c>
      <c r="BO1479">
        <v>82.44</v>
      </c>
      <c r="BQ1479" t="s">
        <v>407</v>
      </c>
      <c r="BR1479" t="s">
        <v>84</v>
      </c>
      <c r="BS1479" s="3">
        <v>45881</v>
      </c>
      <c r="BT1479" s="4">
        <v>0.40972222222222221</v>
      </c>
      <c r="BU1479" t="s">
        <v>408</v>
      </c>
      <c r="BV1479" t="s">
        <v>86</v>
      </c>
      <c r="BY1479">
        <v>1200</v>
      </c>
      <c r="CA1479" t="s">
        <v>192</v>
      </c>
      <c r="CC1479" t="s">
        <v>124</v>
      </c>
      <c r="CD1479">
        <v>7441</v>
      </c>
      <c r="CE1479" t="s">
        <v>109</v>
      </c>
      <c r="CF1479" s="3">
        <v>45882</v>
      </c>
      <c r="CI1479">
        <v>1</v>
      </c>
      <c r="CJ1479">
        <v>1</v>
      </c>
      <c r="CK1479">
        <v>21</v>
      </c>
      <c r="CL1479" t="s">
        <v>90</v>
      </c>
    </row>
    <row r="1480" spans="1:90" x14ac:dyDescent="0.3">
      <c r="A1480" t="s">
        <v>72</v>
      </c>
      <c r="B1480" t="s">
        <v>73</v>
      </c>
      <c r="C1480" t="s">
        <v>74</v>
      </c>
      <c r="E1480" t="str">
        <f>"080067163534"</f>
        <v>080067163534</v>
      </c>
      <c r="F1480" s="3">
        <v>45880</v>
      </c>
      <c r="G1480">
        <v>202605</v>
      </c>
      <c r="H1480" t="s">
        <v>75</v>
      </c>
      <c r="I1480" t="s">
        <v>76</v>
      </c>
      <c r="J1480" t="s">
        <v>77</v>
      </c>
      <c r="K1480" t="s">
        <v>78</v>
      </c>
      <c r="L1480" t="s">
        <v>229</v>
      </c>
      <c r="M1480" t="s">
        <v>230</v>
      </c>
      <c r="N1480" t="s">
        <v>231</v>
      </c>
      <c r="O1480" t="s">
        <v>82</v>
      </c>
      <c r="P1480" t="str">
        <f>"4170054188                    "</f>
        <v xml:space="preserve">4170054188                    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Q1480">
        <v>44.73</v>
      </c>
      <c r="AR1480">
        <v>0</v>
      </c>
      <c r="AS1480">
        <v>0</v>
      </c>
      <c r="AT1480">
        <v>0</v>
      </c>
      <c r="AU1480">
        <v>0</v>
      </c>
      <c r="AV1480">
        <v>0</v>
      </c>
      <c r="AW1480">
        <v>0</v>
      </c>
      <c r="AX1480">
        <v>0</v>
      </c>
      <c r="AY1480">
        <v>0</v>
      </c>
      <c r="AZ1480">
        <v>0</v>
      </c>
      <c r="BA1480">
        <v>0</v>
      </c>
      <c r="BB1480">
        <v>0</v>
      </c>
      <c r="BC1480">
        <v>0</v>
      </c>
      <c r="BD1480">
        <v>0</v>
      </c>
      <c r="BE1480">
        <v>0</v>
      </c>
      <c r="BF1480">
        <v>0</v>
      </c>
      <c r="BG1480">
        <v>0</v>
      </c>
      <c r="BH1480">
        <v>1</v>
      </c>
      <c r="BI1480">
        <v>2</v>
      </c>
      <c r="BJ1480">
        <v>1.4</v>
      </c>
      <c r="BK1480">
        <v>2</v>
      </c>
      <c r="BL1480">
        <v>138.88999999999999</v>
      </c>
      <c r="BM1480">
        <v>20.83</v>
      </c>
      <c r="BN1480">
        <v>159.72</v>
      </c>
      <c r="BO1480">
        <v>159.72</v>
      </c>
      <c r="BQ1480" t="s">
        <v>232</v>
      </c>
      <c r="BR1480" t="s">
        <v>84</v>
      </c>
      <c r="BS1480" s="3">
        <v>45881</v>
      </c>
      <c r="BT1480" s="4">
        <v>0.32291666666666669</v>
      </c>
      <c r="BU1480" t="s">
        <v>233</v>
      </c>
      <c r="BV1480" t="s">
        <v>86</v>
      </c>
      <c r="BY1480">
        <v>7200</v>
      </c>
      <c r="CC1480" t="s">
        <v>230</v>
      </c>
      <c r="CD1480">
        <v>2740</v>
      </c>
      <c r="CE1480" t="s">
        <v>117</v>
      </c>
      <c r="CF1480" s="3">
        <v>45882</v>
      </c>
      <c r="CI1480">
        <v>1</v>
      </c>
      <c r="CJ1480">
        <v>1</v>
      </c>
      <c r="CK1480">
        <v>23</v>
      </c>
      <c r="CL1480" t="s">
        <v>90</v>
      </c>
    </row>
    <row r="1481" spans="1:90" x14ac:dyDescent="0.3">
      <c r="A1481" t="s">
        <v>72</v>
      </c>
      <c r="B1481" t="s">
        <v>73</v>
      </c>
      <c r="C1481" t="s">
        <v>74</v>
      </c>
      <c r="E1481" t="str">
        <f>"080067163674"</f>
        <v>080067163674</v>
      </c>
      <c r="F1481" s="3">
        <v>45880</v>
      </c>
      <c r="G1481">
        <v>202605</v>
      </c>
      <c r="H1481" t="s">
        <v>75</v>
      </c>
      <c r="I1481" t="s">
        <v>76</v>
      </c>
      <c r="J1481" t="s">
        <v>77</v>
      </c>
      <c r="K1481" t="s">
        <v>78</v>
      </c>
      <c r="L1481" t="s">
        <v>123</v>
      </c>
      <c r="M1481" t="s">
        <v>124</v>
      </c>
      <c r="N1481" t="s">
        <v>406</v>
      </c>
      <c r="O1481" t="s">
        <v>82</v>
      </c>
      <c r="P1481" t="str">
        <f>"4170054119                    "</f>
        <v xml:space="preserve">4170054119                    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0</v>
      </c>
      <c r="AQ1481">
        <v>23.09</v>
      </c>
      <c r="AR1481">
        <v>0</v>
      </c>
      <c r="AS1481">
        <v>0</v>
      </c>
      <c r="AT1481">
        <v>0</v>
      </c>
      <c r="AU1481">
        <v>0</v>
      </c>
      <c r="AV1481">
        <v>0</v>
      </c>
      <c r="AW1481">
        <v>0</v>
      </c>
      <c r="AX1481">
        <v>0</v>
      </c>
      <c r="AY1481">
        <v>0</v>
      </c>
      <c r="AZ1481">
        <v>0</v>
      </c>
      <c r="BA1481">
        <v>0</v>
      </c>
      <c r="BB1481">
        <v>0</v>
      </c>
      <c r="BC1481">
        <v>0</v>
      </c>
      <c r="BD1481">
        <v>0</v>
      </c>
      <c r="BE1481">
        <v>0</v>
      </c>
      <c r="BF1481">
        <v>0</v>
      </c>
      <c r="BG1481">
        <v>0</v>
      </c>
      <c r="BH1481">
        <v>1</v>
      </c>
      <c r="BI1481">
        <v>1</v>
      </c>
      <c r="BJ1481">
        <v>0.2</v>
      </c>
      <c r="BK1481">
        <v>1</v>
      </c>
      <c r="BL1481">
        <v>71.69</v>
      </c>
      <c r="BM1481">
        <v>10.75</v>
      </c>
      <c r="BN1481">
        <v>82.44</v>
      </c>
      <c r="BO1481">
        <v>82.44</v>
      </c>
      <c r="BQ1481" t="s">
        <v>407</v>
      </c>
      <c r="BR1481" t="s">
        <v>84</v>
      </c>
      <c r="BS1481" s="3">
        <v>45881</v>
      </c>
      <c r="BT1481" s="4">
        <v>0.40972222222222221</v>
      </c>
      <c r="BU1481" t="s">
        <v>408</v>
      </c>
      <c r="BV1481" t="s">
        <v>86</v>
      </c>
      <c r="BY1481">
        <v>1200</v>
      </c>
      <c r="CA1481" t="s">
        <v>192</v>
      </c>
      <c r="CC1481" t="s">
        <v>124</v>
      </c>
      <c r="CD1481">
        <v>7441</v>
      </c>
      <c r="CE1481" t="s">
        <v>109</v>
      </c>
      <c r="CF1481" s="3">
        <v>45882</v>
      </c>
      <c r="CI1481">
        <v>1</v>
      </c>
      <c r="CJ1481">
        <v>1</v>
      </c>
      <c r="CK1481">
        <v>21</v>
      </c>
      <c r="CL1481" t="s">
        <v>90</v>
      </c>
    </row>
    <row r="1482" spans="1:90" x14ac:dyDescent="0.3">
      <c r="A1482" t="s">
        <v>72</v>
      </c>
      <c r="B1482" t="s">
        <v>73</v>
      </c>
      <c r="C1482" t="s">
        <v>74</v>
      </c>
      <c r="E1482" t="str">
        <f>"080067163679"</f>
        <v>080067163679</v>
      </c>
      <c r="F1482" s="3">
        <v>45880</v>
      </c>
      <c r="G1482">
        <v>202605</v>
      </c>
      <c r="H1482" t="s">
        <v>75</v>
      </c>
      <c r="I1482" t="s">
        <v>76</v>
      </c>
      <c r="J1482" t="s">
        <v>77</v>
      </c>
      <c r="K1482" t="s">
        <v>78</v>
      </c>
      <c r="L1482" t="s">
        <v>123</v>
      </c>
      <c r="M1482" t="s">
        <v>124</v>
      </c>
      <c r="N1482" t="s">
        <v>1115</v>
      </c>
      <c r="O1482" t="s">
        <v>82</v>
      </c>
      <c r="P1482" t="str">
        <f>"4170054183                    "</f>
        <v xml:space="preserve">4170054183                    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Q1482">
        <v>23.09</v>
      </c>
      <c r="AR1482">
        <v>0</v>
      </c>
      <c r="AS1482">
        <v>0</v>
      </c>
      <c r="AT1482">
        <v>0</v>
      </c>
      <c r="AU1482">
        <v>0</v>
      </c>
      <c r="AV1482">
        <v>0</v>
      </c>
      <c r="AW1482">
        <v>0</v>
      </c>
      <c r="AX1482">
        <v>0</v>
      </c>
      <c r="AY1482">
        <v>0</v>
      </c>
      <c r="AZ1482">
        <v>0</v>
      </c>
      <c r="BA1482">
        <v>0</v>
      </c>
      <c r="BB1482">
        <v>0</v>
      </c>
      <c r="BC1482">
        <v>0</v>
      </c>
      <c r="BD1482">
        <v>0</v>
      </c>
      <c r="BE1482">
        <v>0</v>
      </c>
      <c r="BF1482">
        <v>0</v>
      </c>
      <c r="BG1482">
        <v>0</v>
      </c>
      <c r="BH1482">
        <v>1</v>
      </c>
      <c r="BI1482">
        <v>1</v>
      </c>
      <c r="BJ1482">
        <v>1.1000000000000001</v>
      </c>
      <c r="BK1482">
        <v>1.5</v>
      </c>
      <c r="BL1482">
        <v>71.69</v>
      </c>
      <c r="BM1482">
        <v>10.75</v>
      </c>
      <c r="BN1482">
        <v>82.44</v>
      </c>
      <c r="BO1482">
        <v>82.44</v>
      </c>
      <c r="BQ1482" t="s">
        <v>1116</v>
      </c>
      <c r="BR1482" t="s">
        <v>84</v>
      </c>
      <c r="BS1482" s="3">
        <v>45881</v>
      </c>
      <c r="BT1482" s="4">
        <v>0.3972222222222222</v>
      </c>
      <c r="BU1482" t="s">
        <v>2049</v>
      </c>
      <c r="BV1482" t="s">
        <v>86</v>
      </c>
      <c r="BY1482">
        <v>5320</v>
      </c>
      <c r="CC1482" t="s">
        <v>124</v>
      </c>
      <c r="CD1482">
        <v>7441</v>
      </c>
      <c r="CE1482" t="s">
        <v>147</v>
      </c>
      <c r="CF1482" s="3">
        <v>45882</v>
      </c>
      <c r="CI1482">
        <v>1</v>
      </c>
      <c r="CJ1482">
        <v>1</v>
      </c>
      <c r="CK1482">
        <v>21</v>
      </c>
      <c r="CL1482" t="s">
        <v>90</v>
      </c>
    </row>
    <row r="1483" spans="1:90" x14ac:dyDescent="0.3">
      <c r="A1483" t="s">
        <v>72</v>
      </c>
      <c r="B1483" t="s">
        <v>73</v>
      </c>
      <c r="C1483" t="s">
        <v>74</v>
      </c>
      <c r="E1483" t="str">
        <f>"080067163765"</f>
        <v>080067163765</v>
      </c>
      <c r="F1483" s="3">
        <v>45880</v>
      </c>
      <c r="G1483">
        <v>202605</v>
      </c>
      <c r="H1483" t="s">
        <v>75</v>
      </c>
      <c r="I1483" t="s">
        <v>76</v>
      </c>
      <c r="J1483" t="s">
        <v>77</v>
      </c>
      <c r="K1483" t="s">
        <v>78</v>
      </c>
      <c r="L1483" t="s">
        <v>1829</v>
      </c>
      <c r="M1483" t="s">
        <v>1830</v>
      </c>
      <c r="N1483" t="s">
        <v>1913</v>
      </c>
      <c r="O1483" t="s">
        <v>82</v>
      </c>
      <c r="P1483" t="str">
        <f>"4170054178                    "</f>
        <v xml:space="preserve">4170054178                    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>
        <v>23.09</v>
      </c>
      <c r="AR1483">
        <v>0</v>
      </c>
      <c r="AS1483">
        <v>0</v>
      </c>
      <c r="AT1483">
        <v>0</v>
      </c>
      <c r="AU1483">
        <v>0</v>
      </c>
      <c r="AV1483">
        <v>0</v>
      </c>
      <c r="AW1483">
        <v>0</v>
      </c>
      <c r="AX1483">
        <v>0</v>
      </c>
      <c r="AY1483">
        <v>0</v>
      </c>
      <c r="AZ1483">
        <v>0</v>
      </c>
      <c r="BA1483">
        <v>0</v>
      </c>
      <c r="BB1483">
        <v>0</v>
      </c>
      <c r="BC1483">
        <v>0</v>
      </c>
      <c r="BD1483">
        <v>0</v>
      </c>
      <c r="BE1483">
        <v>0</v>
      </c>
      <c r="BF1483">
        <v>0</v>
      </c>
      <c r="BG1483">
        <v>0</v>
      </c>
      <c r="BH1483">
        <v>1</v>
      </c>
      <c r="BI1483">
        <v>1</v>
      </c>
      <c r="BJ1483">
        <v>0.2</v>
      </c>
      <c r="BK1483">
        <v>1</v>
      </c>
      <c r="BL1483">
        <v>71.69</v>
      </c>
      <c r="BM1483">
        <v>10.75</v>
      </c>
      <c r="BN1483">
        <v>82.44</v>
      </c>
      <c r="BO1483">
        <v>82.44</v>
      </c>
      <c r="BQ1483" t="s">
        <v>1914</v>
      </c>
      <c r="BR1483" t="s">
        <v>84</v>
      </c>
      <c r="BS1483" s="3">
        <v>45881</v>
      </c>
      <c r="BT1483" s="4">
        <v>0.41875000000000001</v>
      </c>
      <c r="BU1483" t="s">
        <v>2175</v>
      </c>
      <c r="BV1483" t="s">
        <v>86</v>
      </c>
      <c r="BY1483">
        <v>1200</v>
      </c>
      <c r="CA1483" t="s">
        <v>1286</v>
      </c>
      <c r="CC1483" t="s">
        <v>1830</v>
      </c>
      <c r="CD1483">
        <v>4126</v>
      </c>
      <c r="CE1483" t="s">
        <v>109</v>
      </c>
      <c r="CF1483" s="3">
        <v>45882</v>
      </c>
      <c r="CI1483">
        <v>1</v>
      </c>
      <c r="CJ1483">
        <v>1</v>
      </c>
      <c r="CK1483">
        <v>21</v>
      </c>
      <c r="CL1483" t="s">
        <v>90</v>
      </c>
    </row>
    <row r="1484" spans="1:90" x14ac:dyDescent="0.3">
      <c r="A1484" t="s">
        <v>72</v>
      </c>
      <c r="B1484" t="s">
        <v>73</v>
      </c>
      <c r="C1484" t="s">
        <v>74</v>
      </c>
      <c r="E1484" t="str">
        <f>"080067163841"</f>
        <v>080067163841</v>
      </c>
      <c r="F1484" s="3">
        <v>45880</v>
      </c>
      <c r="G1484">
        <v>202605</v>
      </c>
      <c r="H1484" t="s">
        <v>75</v>
      </c>
      <c r="I1484" t="s">
        <v>76</v>
      </c>
      <c r="J1484" t="s">
        <v>77</v>
      </c>
      <c r="K1484" t="s">
        <v>78</v>
      </c>
      <c r="L1484" t="s">
        <v>123</v>
      </c>
      <c r="M1484" t="s">
        <v>124</v>
      </c>
      <c r="N1484" t="s">
        <v>406</v>
      </c>
      <c r="O1484" t="s">
        <v>82</v>
      </c>
      <c r="P1484" t="str">
        <f>"4170054164                    "</f>
        <v xml:space="preserve">4170054164                    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>
        <v>23.09</v>
      </c>
      <c r="AR1484">
        <v>0</v>
      </c>
      <c r="AS1484">
        <v>0</v>
      </c>
      <c r="AT1484">
        <v>0</v>
      </c>
      <c r="AU1484">
        <v>0</v>
      </c>
      <c r="AV1484">
        <v>0</v>
      </c>
      <c r="AW1484">
        <v>0</v>
      </c>
      <c r="AX1484">
        <v>0</v>
      </c>
      <c r="AY1484">
        <v>0</v>
      </c>
      <c r="AZ1484">
        <v>0</v>
      </c>
      <c r="BA1484">
        <v>0</v>
      </c>
      <c r="BB1484">
        <v>0</v>
      </c>
      <c r="BC1484">
        <v>0</v>
      </c>
      <c r="BD1484">
        <v>0</v>
      </c>
      <c r="BE1484">
        <v>0</v>
      </c>
      <c r="BF1484">
        <v>0</v>
      </c>
      <c r="BG1484">
        <v>0</v>
      </c>
      <c r="BH1484">
        <v>1</v>
      </c>
      <c r="BI1484">
        <v>1</v>
      </c>
      <c r="BJ1484">
        <v>0.2</v>
      </c>
      <c r="BK1484">
        <v>1</v>
      </c>
      <c r="BL1484">
        <v>71.69</v>
      </c>
      <c r="BM1484">
        <v>10.75</v>
      </c>
      <c r="BN1484">
        <v>82.44</v>
      </c>
      <c r="BO1484">
        <v>82.44</v>
      </c>
      <c r="BQ1484" t="s">
        <v>407</v>
      </c>
      <c r="BR1484" t="s">
        <v>84</v>
      </c>
      <c r="BS1484" s="3">
        <v>45881</v>
      </c>
      <c r="BT1484" s="4">
        <v>0.40972222222222221</v>
      </c>
      <c r="BU1484" t="s">
        <v>408</v>
      </c>
      <c r="BV1484" t="s">
        <v>86</v>
      </c>
      <c r="BY1484">
        <v>1200</v>
      </c>
      <c r="CA1484" t="s">
        <v>192</v>
      </c>
      <c r="CC1484" t="s">
        <v>124</v>
      </c>
      <c r="CD1484">
        <v>7441</v>
      </c>
      <c r="CE1484" t="s">
        <v>109</v>
      </c>
      <c r="CF1484" s="3">
        <v>45882</v>
      </c>
      <c r="CI1484">
        <v>1</v>
      </c>
      <c r="CJ1484">
        <v>1</v>
      </c>
      <c r="CK1484">
        <v>21</v>
      </c>
      <c r="CL1484" t="s">
        <v>90</v>
      </c>
    </row>
    <row r="1485" spans="1:90" x14ac:dyDescent="0.3">
      <c r="A1485" t="s">
        <v>72</v>
      </c>
      <c r="B1485" t="s">
        <v>73</v>
      </c>
      <c r="C1485" t="s">
        <v>74</v>
      </c>
      <c r="E1485" t="str">
        <f>"080067163922"</f>
        <v>080067163922</v>
      </c>
      <c r="F1485" s="3">
        <v>45880</v>
      </c>
      <c r="G1485">
        <v>202605</v>
      </c>
      <c r="H1485" t="s">
        <v>75</v>
      </c>
      <c r="I1485" t="s">
        <v>76</v>
      </c>
      <c r="J1485" t="s">
        <v>77</v>
      </c>
      <c r="K1485" t="s">
        <v>78</v>
      </c>
      <c r="L1485" t="s">
        <v>234</v>
      </c>
      <c r="M1485" t="s">
        <v>235</v>
      </c>
      <c r="N1485" t="s">
        <v>236</v>
      </c>
      <c r="O1485" t="s">
        <v>82</v>
      </c>
      <c r="P1485" t="str">
        <f>"4170054081                    "</f>
        <v xml:space="preserve">4170054081                    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>
        <v>23.09</v>
      </c>
      <c r="AR1485">
        <v>0</v>
      </c>
      <c r="AS1485">
        <v>0</v>
      </c>
      <c r="AT1485">
        <v>0</v>
      </c>
      <c r="AU1485">
        <v>0</v>
      </c>
      <c r="AV1485">
        <v>0</v>
      </c>
      <c r="AW1485">
        <v>0</v>
      </c>
      <c r="AX1485">
        <v>0</v>
      </c>
      <c r="AY1485">
        <v>0</v>
      </c>
      <c r="AZ1485">
        <v>0</v>
      </c>
      <c r="BA1485">
        <v>0</v>
      </c>
      <c r="BB1485">
        <v>0</v>
      </c>
      <c r="BC1485">
        <v>0</v>
      </c>
      <c r="BD1485">
        <v>0</v>
      </c>
      <c r="BE1485">
        <v>0</v>
      </c>
      <c r="BF1485">
        <v>0</v>
      </c>
      <c r="BG1485">
        <v>0</v>
      </c>
      <c r="BH1485">
        <v>1</v>
      </c>
      <c r="BI1485">
        <v>1</v>
      </c>
      <c r="BJ1485">
        <v>0.2</v>
      </c>
      <c r="BK1485">
        <v>1</v>
      </c>
      <c r="BL1485">
        <v>71.69</v>
      </c>
      <c r="BM1485">
        <v>10.75</v>
      </c>
      <c r="BN1485">
        <v>82.44</v>
      </c>
      <c r="BO1485">
        <v>82.44</v>
      </c>
      <c r="BQ1485" t="s">
        <v>237</v>
      </c>
      <c r="BR1485" t="s">
        <v>84</v>
      </c>
      <c r="BS1485" s="3">
        <v>45881</v>
      </c>
      <c r="BT1485" s="4">
        <v>0.38611111111111113</v>
      </c>
      <c r="BU1485" t="s">
        <v>2116</v>
      </c>
      <c r="BV1485" t="s">
        <v>86</v>
      </c>
      <c r="BY1485">
        <v>1200</v>
      </c>
      <c r="CA1485" t="s">
        <v>2117</v>
      </c>
      <c r="CC1485" t="s">
        <v>235</v>
      </c>
      <c r="CD1485" s="5" t="s">
        <v>240</v>
      </c>
      <c r="CE1485" t="s">
        <v>109</v>
      </c>
      <c r="CF1485" s="3">
        <v>45881</v>
      </c>
      <c r="CI1485">
        <v>1</v>
      </c>
      <c r="CJ1485">
        <v>1</v>
      </c>
      <c r="CK1485">
        <v>21</v>
      </c>
      <c r="CL1485" t="s">
        <v>90</v>
      </c>
    </row>
    <row r="1486" spans="1:90" x14ac:dyDescent="0.3">
      <c r="A1486" t="s">
        <v>72</v>
      </c>
      <c r="B1486" t="s">
        <v>73</v>
      </c>
      <c r="C1486" t="s">
        <v>74</v>
      </c>
      <c r="E1486" t="str">
        <f>"080067164056"</f>
        <v>080067164056</v>
      </c>
      <c r="F1486" s="3">
        <v>45880</v>
      </c>
      <c r="G1486">
        <v>202605</v>
      </c>
      <c r="H1486" t="s">
        <v>75</v>
      </c>
      <c r="I1486" t="s">
        <v>76</v>
      </c>
      <c r="J1486" t="s">
        <v>77</v>
      </c>
      <c r="K1486" t="s">
        <v>78</v>
      </c>
      <c r="L1486" t="s">
        <v>156</v>
      </c>
      <c r="M1486" t="s">
        <v>157</v>
      </c>
      <c r="N1486" t="s">
        <v>1129</v>
      </c>
      <c r="O1486" t="s">
        <v>82</v>
      </c>
      <c r="P1486" t="str">
        <f>"4170053434                    "</f>
        <v xml:space="preserve">4170053434                    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0</v>
      </c>
      <c r="AQ1486">
        <v>18.03</v>
      </c>
      <c r="AR1486">
        <v>0</v>
      </c>
      <c r="AS1486">
        <v>0</v>
      </c>
      <c r="AT1486">
        <v>0</v>
      </c>
      <c r="AU1486">
        <v>0</v>
      </c>
      <c r="AV1486">
        <v>0</v>
      </c>
      <c r="AW1486">
        <v>0</v>
      </c>
      <c r="AX1486">
        <v>0</v>
      </c>
      <c r="AY1486">
        <v>0</v>
      </c>
      <c r="AZ1486">
        <v>0</v>
      </c>
      <c r="BA1486">
        <v>0</v>
      </c>
      <c r="BB1486">
        <v>0</v>
      </c>
      <c r="BC1486">
        <v>0</v>
      </c>
      <c r="BD1486">
        <v>0</v>
      </c>
      <c r="BE1486">
        <v>0</v>
      </c>
      <c r="BF1486">
        <v>0</v>
      </c>
      <c r="BG1486">
        <v>0</v>
      </c>
      <c r="BH1486">
        <v>1</v>
      </c>
      <c r="BI1486">
        <v>1</v>
      </c>
      <c r="BJ1486">
        <v>0.2</v>
      </c>
      <c r="BK1486">
        <v>1</v>
      </c>
      <c r="BL1486">
        <v>55.99</v>
      </c>
      <c r="BM1486">
        <v>8.4</v>
      </c>
      <c r="BN1486">
        <v>64.39</v>
      </c>
      <c r="BO1486">
        <v>64.39</v>
      </c>
      <c r="BQ1486" t="s">
        <v>1205</v>
      </c>
      <c r="BR1486" t="s">
        <v>84</v>
      </c>
      <c r="BS1486" s="3">
        <v>45881</v>
      </c>
      <c r="BT1486" s="4">
        <v>0.41319444444444442</v>
      </c>
      <c r="BU1486" t="s">
        <v>2085</v>
      </c>
      <c r="BV1486" t="s">
        <v>86</v>
      </c>
      <c r="BY1486">
        <v>1200</v>
      </c>
      <c r="CA1486" t="s">
        <v>1133</v>
      </c>
      <c r="CC1486" t="s">
        <v>157</v>
      </c>
      <c r="CD1486">
        <v>1724</v>
      </c>
      <c r="CE1486" t="s">
        <v>109</v>
      </c>
      <c r="CF1486" s="3">
        <v>45882</v>
      </c>
      <c r="CI1486">
        <v>1</v>
      </c>
      <c r="CJ1486">
        <v>1</v>
      </c>
      <c r="CK1486">
        <v>22</v>
      </c>
      <c r="CL1486" t="s">
        <v>90</v>
      </c>
    </row>
    <row r="1487" spans="1:90" x14ac:dyDescent="0.3">
      <c r="A1487" t="s">
        <v>72</v>
      </c>
      <c r="B1487" t="s">
        <v>73</v>
      </c>
      <c r="C1487" t="s">
        <v>74</v>
      </c>
      <c r="E1487" t="str">
        <f>"080067164087"</f>
        <v>080067164087</v>
      </c>
      <c r="F1487" s="3">
        <v>45880</v>
      </c>
      <c r="G1487">
        <v>202605</v>
      </c>
      <c r="H1487" t="s">
        <v>75</v>
      </c>
      <c r="I1487" t="s">
        <v>76</v>
      </c>
      <c r="J1487" t="s">
        <v>77</v>
      </c>
      <c r="K1487" t="s">
        <v>78</v>
      </c>
      <c r="L1487" t="s">
        <v>385</v>
      </c>
      <c r="M1487" t="s">
        <v>386</v>
      </c>
      <c r="N1487" t="s">
        <v>2176</v>
      </c>
      <c r="O1487" t="s">
        <v>82</v>
      </c>
      <c r="P1487" t="str">
        <f>"4170054175                    "</f>
        <v xml:space="preserve">4170054175                    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0</v>
      </c>
      <c r="AQ1487">
        <v>18.03</v>
      </c>
      <c r="AR1487">
        <v>0</v>
      </c>
      <c r="AS1487">
        <v>0</v>
      </c>
      <c r="AT1487">
        <v>0</v>
      </c>
      <c r="AU1487">
        <v>0</v>
      </c>
      <c r="AV1487">
        <v>0</v>
      </c>
      <c r="AW1487">
        <v>0</v>
      </c>
      <c r="AX1487">
        <v>0</v>
      </c>
      <c r="AY1487">
        <v>0</v>
      </c>
      <c r="AZ1487">
        <v>0</v>
      </c>
      <c r="BA1487">
        <v>0</v>
      </c>
      <c r="BB1487">
        <v>0</v>
      </c>
      <c r="BC1487">
        <v>0</v>
      </c>
      <c r="BD1487">
        <v>0</v>
      </c>
      <c r="BE1487">
        <v>0</v>
      </c>
      <c r="BF1487">
        <v>0</v>
      </c>
      <c r="BG1487">
        <v>0</v>
      </c>
      <c r="BH1487">
        <v>1</v>
      </c>
      <c r="BI1487">
        <v>2</v>
      </c>
      <c r="BJ1487">
        <v>0.9</v>
      </c>
      <c r="BK1487">
        <v>2</v>
      </c>
      <c r="BL1487">
        <v>55.99</v>
      </c>
      <c r="BM1487">
        <v>8.4</v>
      </c>
      <c r="BN1487">
        <v>64.39</v>
      </c>
      <c r="BO1487">
        <v>64.39</v>
      </c>
      <c r="BQ1487" t="s">
        <v>2177</v>
      </c>
      <c r="BR1487" t="s">
        <v>84</v>
      </c>
      <c r="BS1487" s="3">
        <v>45881</v>
      </c>
      <c r="BT1487" s="4">
        <v>0.3576388888888889</v>
      </c>
      <c r="BU1487" t="s">
        <v>2178</v>
      </c>
      <c r="BV1487" t="s">
        <v>86</v>
      </c>
      <c r="BY1487">
        <v>4560</v>
      </c>
      <c r="CA1487" t="s">
        <v>851</v>
      </c>
      <c r="CC1487" t="s">
        <v>386</v>
      </c>
      <c r="CD1487">
        <v>1559</v>
      </c>
      <c r="CE1487" t="s">
        <v>147</v>
      </c>
      <c r="CF1487" s="3">
        <v>45881</v>
      </c>
      <c r="CI1487">
        <v>1</v>
      </c>
      <c r="CJ1487">
        <v>1</v>
      </c>
      <c r="CK1487">
        <v>22</v>
      </c>
      <c r="CL1487" t="s">
        <v>90</v>
      </c>
    </row>
    <row r="1488" spans="1:90" x14ac:dyDescent="0.3">
      <c r="A1488" t="s">
        <v>72</v>
      </c>
      <c r="B1488" t="s">
        <v>73</v>
      </c>
      <c r="C1488" t="s">
        <v>74</v>
      </c>
      <c r="E1488" t="str">
        <f>"080067164331"</f>
        <v>080067164331</v>
      </c>
      <c r="F1488" s="3">
        <v>45880</v>
      </c>
      <c r="G1488">
        <v>202605</v>
      </c>
      <c r="H1488" t="s">
        <v>75</v>
      </c>
      <c r="I1488" t="s">
        <v>76</v>
      </c>
      <c r="J1488" t="s">
        <v>77</v>
      </c>
      <c r="K1488" t="s">
        <v>78</v>
      </c>
      <c r="L1488" t="s">
        <v>373</v>
      </c>
      <c r="M1488" t="s">
        <v>374</v>
      </c>
      <c r="N1488" t="s">
        <v>1695</v>
      </c>
      <c r="O1488" t="s">
        <v>82</v>
      </c>
      <c r="P1488" t="str">
        <f>"4170054127                    "</f>
        <v xml:space="preserve">4170054127                    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0</v>
      </c>
      <c r="AQ1488">
        <v>207.61</v>
      </c>
      <c r="AR1488">
        <v>0</v>
      </c>
      <c r="AS1488">
        <v>0</v>
      </c>
      <c r="AT1488">
        <v>0</v>
      </c>
      <c r="AU1488">
        <v>0</v>
      </c>
      <c r="AV1488">
        <v>0</v>
      </c>
      <c r="AW1488">
        <v>0</v>
      </c>
      <c r="AX1488">
        <v>0</v>
      </c>
      <c r="AY1488">
        <v>0</v>
      </c>
      <c r="AZ1488">
        <v>0</v>
      </c>
      <c r="BA1488">
        <v>0</v>
      </c>
      <c r="BB1488">
        <v>0</v>
      </c>
      <c r="BC1488">
        <v>0</v>
      </c>
      <c r="BD1488">
        <v>0</v>
      </c>
      <c r="BE1488">
        <v>0</v>
      </c>
      <c r="BF1488">
        <v>0</v>
      </c>
      <c r="BG1488">
        <v>0</v>
      </c>
      <c r="BH1488">
        <v>2</v>
      </c>
      <c r="BI1488">
        <v>14</v>
      </c>
      <c r="BJ1488">
        <v>17.600000000000001</v>
      </c>
      <c r="BK1488">
        <v>18</v>
      </c>
      <c r="BL1488">
        <v>644.69000000000005</v>
      </c>
      <c r="BM1488">
        <v>96.7</v>
      </c>
      <c r="BN1488">
        <v>741.39</v>
      </c>
      <c r="BO1488">
        <v>741.39</v>
      </c>
      <c r="BQ1488" t="s">
        <v>1696</v>
      </c>
      <c r="BR1488" t="s">
        <v>84</v>
      </c>
      <c r="BS1488" s="3">
        <v>45881</v>
      </c>
      <c r="BT1488" s="4">
        <v>0.42291666666666666</v>
      </c>
      <c r="BU1488" t="s">
        <v>1697</v>
      </c>
      <c r="BV1488" t="s">
        <v>86</v>
      </c>
      <c r="BY1488">
        <v>88176</v>
      </c>
      <c r="CA1488" t="s">
        <v>203</v>
      </c>
      <c r="CC1488" t="s">
        <v>374</v>
      </c>
      <c r="CD1488">
        <v>6220</v>
      </c>
      <c r="CE1488" t="s">
        <v>117</v>
      </c>
      <c r="CF1488" s="3">
        <v>45881</v>
      </c>
      <c r="CI1488">
        <v>1</v>
      </c>
      <c r="CJ1488">
        <v>1</v>
      </c>
      <c r="CK1488">
        <v>21</v>
      </c>
      <c r="CL1488" t="s">
        <v>90</v>
      </c>
    </row>
    <row r="1489" spans="1:90" x14ac:dyDescent="0.3">
      <c r="A1489" t="s">
        <v>72</v>
      </c>
      <c r="B1489" t="s">
        <v>73</v>
      </c>
      <c r="C1489" t="s">
        <v>74</v>
      </c>
      <c r="E1489" t="str">
        <f>"080067164642"</f>
        <v>080067164642</v>
      </c>
      <c r="F1489" s="3">
        <v>45880</v>
      </c>
      <c r="G1489">
        <v>202605</v>
      </c>
      <c r="H1489" t="s">
        <v>75</v>
      </c>
      <c r="I1489" t="s">
        <v>76</v>
      </c>
      <c r="J1489" t="s">
        <v>77</v>
      </c>
      <c r="K1489" t="s">
        <v>78</v>
      </c>
      <c r="L1489" t="s">
        <v>137</v>
      </c>
      <c r="M1489" t="s">
        <v>138</v>
      </c>
      <c r="N1489" t="s">
        <v>261</v>
      </c>
      <c r="O1489" t="s">
        <v>95</v>
      </c>
      <c r="P1489" t="str">
        <f>"4170054186                    "</f>
        <v xml:space="preserve">4170054186                    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0</v>
      </c>
      <c r="AP1489">
        <v>0</v>
      </c>
      <c r="AQ1489">
        <v>129.41999999999999</v>
      </c>
      <c r="AR1489">
        <v>0</v>
      </c>
      <c r="AS1489">
        <v>0</v>
      </c>
      <c r="AT1489">
        <v>0</v>
      </c>
      <c r="AU1489">
        <v>0</v>
      </c>
      <c r="AV1489">
        <v>0</v>
      </c>
      <c r="AW1489">
        <v>0</v>
      </c>
      <c r="AX1489">
        <v>0</v>
      </c>
      <c r="AY1489">
        <v>0</v>
      </c>
      <c r="AZ1489">
        <v>0</v>
      </c>
      <c r="BA1489">
        <v>0</v>
      </c>
      <c r="BB1489">
        <v>0</v>
      </c>
      <c r="BC1489">
        <v>0</v>
      </c>
      <c r="BD1489">
        <v>0</v>
      </c>
      <c r="BE1489">
        <v>0</v>
      </c>
      <c r="BF1489">
        <v>0</v>
      </c>
      <c r="BG1489">
        <v>0</v>
      </c>
      <c r="BH1489">
        <v>2</v>
      </c>
      <c r="BI1489">
        <v>24</v>
      </c>
      <c r="BJ1489">
        <v>60.7</v>
      </c>
      <c r="BK1489">
        <v>61</v>
      </c>
      <c r="BL1489">
        <v>407.75</v>
      </c>
      <c r="BM1489">
        <v>61.16</v>
      </c>
      <c r="BN1489">
        <v>468.91</v>
      </c>
      <c r="BO1489">
        <v>468.91</v>
      </c>
      <c r="BQ1489" t="s">
        <v>262</v>
      </c>
      <c r="BR1489" t="s">
        <v>84</v>
      </c>
      <c r="BS1489" s="3">
        <v>45881</v>
      </c>
      <c r="BT1489" s="4">
        <v>0.38055555555555554</v>
      </c>
      <c r="BU1489" t="s">
        <v>263</v>
      </c>
      <c r="BV1489" t="s">
        <v>86</v>
      </c>
      <c r="BY1489">
        <v>151800</v>
      </c>
      <c r="BZ1489" t="s">
        <v>100</v>
      </c>
      <c r="CA1489" t="s">
        <v>264</v>
      </c>
      <c r="CC1489" t="s">
        <v>138</v>
      </c>
      <c r="CD1489">
        <v>3608</v>
      </c>
      <c r="CE1489" t="s">
        <v>1095</v>
      </c>
      <c r="CF1489" s="3">
        <v>45882</v>
      </c>
      <c r="CI1489">
        <v>1</v>
      </c>
      <c r="CJ1489">
        <v>1</v>
      </c>
      <c r="CK1489">
        <v>41</v>
      </c>
      <c r="CL1489" t="s">
        <v>90</v>
      </c>
    </row>
    <row r="1490" spans="1:90" x14ac:dyDescent="0.3">
      <c r="A1490" t="s">
        <v>72</v>
      </c>
      <c r="B1490" t="s">
        <v>73</v>
      </c>
      <c r="C1490" t="s">
        <v>74</v>
      </c>
      <c r="E1490" t="str">
        <f>"080067164682"</f>
        <v>080067164682</v>
      </c>
      <c r="F1490" s="3">
        <v>45880</v>
      </c>
      <c r="G1490">
        <v>202605</v>
      </c>
      <c r="H1490" t="s">
        <v>75</v>
      </c>
      <c r="I1490" t="s">
        <v>76</v>
      </c>
      <c r="J1490" t="s">
        <v>77</v>
      </c>
      <c r="K1490" t="s">
        <v>78</v>
      </c>
      <c r="L1490" t="s">
        <v>123</v>
      </c>
      <c r="M1490" t="s">
        <v>124</v>
      </c>
      <c r="N1490" t="s">
        <v>406</v>
      </c>
      <c r="O1490" t="s">
        <v>82</v>
      </c>
      <c r="P1490" t="str">
        <f>"4170054162                    "</f>
        <v xml:space="preserve">4170054162                    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>
        <v>92.28</v>
      </c>
      <c r="AR1490">
        <v>0</v>
      </c>
      <c r="AS1490">
        <v>0</v>
      </c>
      <c r="AT1490">
        <v>0</v>
      </c>
      <c r="AU1490">
        <v>0</v>
      </c>
      <c r="AV1490">
        <v>0</v>
      </c>
      <c r="AW1490">
        <v>0</v>
      </c>
      <c r="AX1490">
        <v>0</v>
      </c>
      <c r="AY1490">
        <v>0</v>
      </c>
      <c r="AZ1490">
        <v>0</v>
      </c>
      <c r="BA1490">
        <v>0</v>
      </c>
      <c r="BB1490">
        <v>0</v>
      </c>
      <c r="BC1490">
        <v>0</v>
      </c>
      <c r="BD1490">
        <v>0</v>
      </c>
      <c r="BE1490">
        <v>0</v>
      </c>
      <c r="BF1490">
        <v>0</v>
      </c>
      <c r="BG1490">
        <v>0</v>
      </c>
      <c r="BH1490">
        <v>1</v>
      </c>
      <c r="BI1490">
        <v>8</v>
      </c>
      <c r="BJ1490">
        <v>3.4</v>
      </c>
      <c r="BK1490">
        <v>8</v>
      </c>
      <c r="BL1490">
        <v>286.56</v>
      </c>
      <c r="BM1490">
        <v>42.98</v>
      </c>
      <c r="BN1490">
        <v>329.54</v>
      </c>
      <c r="BO1490">
        <v>329.54</v>
      </c>
      <c r="BQ1490" t="s">
        <v>407</v>
      </c>
      <c r="BR1490" t="s">
        <v>84</v>
      </c>
      <c r="BS1490" s="3">
        <v>45881</v>
      </c>
      <c r="BT1490" s="4">
        <v>0.40972222222222221</v>
      </c>
      <c r="BU1490" t="s">
        <v>408</v>
      </c>
      <c r="BV1490" t="s">
        <v>86</v>
      </c>
      <c r="BY1490">
        <v>16965</v>
      </c>
      <c r="BZ1490" t="s">
        <v>330</v>
      </c>
      <c r="CA1490" t="s">
        <v>192</v>
      </c>
      <c r="CC1490" t="s">
        <v>124</v>
      </c>
      <c r="CD1490">
        <v>7441</v>
      </c>
      <c r="CE1490" t="s">
        <v>147</v>
      </c>
      <c r="CF1490" s="3">
        <v>45882</v>
      </c>
      <c r="CI1490">
        <v>1</v>
      </c>
      <c r="CJ1490">
        <v>1</v>
      </c>
      <c r="CK1490">
        <v>21</v>
      </c>
      <c r="CL1490" t="s">
        <v>90</v>
      </c>
    </row>
    <row r="1491" spans="1:90" x14ac:dyDescent="0.3">
      <c r="A1491" t="s">
        <v>72</v>
      </c>
      <c r="B1491" t="s">
        <v>73</v>
      </c>
      <c r="C1491" t="s">
        <v>74</v>
      </c>
      <c r="E1491" t="str">
        <f>"080067164686"</f>
        <v>080067164686</v>
      </c>
      <c r="F1491" s="3">
        <v>45880</v>
      </c>
      <c r="G1491">
        <v>202605</v>
      </c>
      <c r="H1491" t="s">
        <v>75</v>
      </c>
      <c r="I1491" t="s">
        <v>76</v>
      </c>
      <c r="J1491" t="s">
        <v>77</v>
      </c>
      <c r="K1491" t="s">
        <v>78</v>
      </c>
      <c r="L1491" t="s">
        <v>198</v>
      </c>
      <c r="M1491" t="s">
        <v>199</v>
      </c>
      <c r="N1491" t="s">
        <v>410</v>
      </c>
      <c r="O1491" t="s">
        <v>82</v>
      </c>
      <c r="P1491" t="str">
        <f>"4170054195                    "</f>
        <v xml:space="preserve">4170054195                    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0</v>
      </c>
      <c r="AP1491">
        <v>0</v>
      </c>
      <c r="AQ1491">
        <v>23.09</v>
      </c>
      <c r="AR1491">
        <v>0</v>
      </c>
      <c r="AS1491">
        <v>0</v>
      </c>
      <c r="AT1491">
        <v>0</v>
      </c>
      <c r="AU1491">
        <v>0</v>
      </c>
      <c r="AV1491">
        <v>0</v>
      </c>
      <c r="AW1491">
        <v>0</v>
      </c>
      <c r="AX1491">
        <v>0</v>
      </c>
      <c r="AY1491">
        <v>0</v>
      </c>
      <c r="AZ1491">
        <v>0</v>
      </c>
      <c r="BA1491">
        <v>0</v>
      </c>
      <c r="BB1491">
        <v>0</v>
      </c>
      <c r="BC1491">
        <v>0</v>
      </c>
      <c r="BD1491">
        <v>0</v>
      </c>
      <c r="BE1491">
        <v>0</v>
      </c>
      <c r="BF1491">
        <v>0</v>
      </c>
      <c r="BG1491">
        <v>0</v>
      </c>
      <c r="BH1491">
        <v>1</v>
      </c>
      <c r="BI1491">
        <v>1</v>
      </c>
      <c r="BJ1491">
        <v>0.2</v>
      </c>
      <c r="BK1491">
        <v>1</v>
      </c>
      <c r="BL1491">
        <v>71.69</v>
      </c>
      <c r="BM1491">
        <v>10.75</v>
      </c>
      <c r="BN1491">
        <v>82.44</v>
      </c>
      <c r="BO1491">
        <v>82.44</v>
      </c>
      <c r="BQ1491" t="s">
        <v>411</v>
      </c>
      <c r="BR1491" t="s">
        <v>84</v>
      </c>
      <c r="BS1491" s="3">
        <v>45881</v>
      </c>
      <c r="BT1491" s="4">
        <v>0.35902777777777778</v>
      </c>
      <c r="BU1491" t="s">
        <v>1411</v>
      </c>
      <c r="BV1491" t="s">
        <v>86</v>
      </c>
      <c r="BY1491">
        <v>1200</v>
      </c>
      <c r="BZ1491" t="s">
        <v>330</v>
      </c>
      <c r="CA1491" t="s">
        <v>413</v>
      </c>
      <c r="CC1491" t="s">
        <v>199</v>
      </c>
      <c r="CD1491">
        <v>6001</v>
      </c>
      <c r="CE1491" t="s">
        <v>109</v>
      </c>
      <c r="CF1491" s="3">
        <v>45881</v>
      </c>
      <c r="CI1491">
        <v>1</v>
      </c>
      <c r="CJ1491">
        <v>1</v>
      </c>
      <c r="CK1491">
        <v>21</v>
      </c>
      <c r="CL1491" t="s">
        <v>90</v>
      </c>
    </row>
    <row r="1492" spans="1:90" x14ac:dyDescent="0.3">
      <c r="A1492" t="s">
        <v>72</v>
      </c>
      <c r="B1492" t="s">
        <v>73</v>
      </c>
      <c r="C1492" t="s">
        <v>74</v>
      </c>
      <c r="E1492" t="str">
        <f>"080067164816"</f>
        <v>080067164816</v>
      </c>
      <c r="F1492" s="3">
        <v>45880</v>
      </c>
      <c r="G1492">
        <v>202605</v>
      </c>
      <c r="H1492" t="s">
        <v>75</v>
      </c>
      <c r="I1492" t="s">
        <v>76</v>
      </c>
      <c r="J1492" t="s">
        <v>77</v>
      </c>
      <c r="K1492" t="s">
        <v>78</v>
      </c>
      <c r="L1492" t="s">
        <v>255</v>
      </c>
      <c r="M1492" t="s">
        <v>256</v>
      </c>
      <c r="N1492" t="s">
        <v>1449</v>
      </c>
      <c r="O1492" t="s">
        <v>82</v>
      </c>
      <c r="P1492" t="str">
        <f>"4170054167                    "</f>
        <v xml:space="preserve">4170054167                    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Q1492">
        <v>18.03</v>
      </c>
      <c r="AR1492">
        <v>0</v>
      </c>
      <c r="AS1492">
        <v>0</v>
      </c>
      <c r="AT1492">
        <v>0</v>
      </c>
      <c r="AU1492">
        <v>0</v>
      </c>
      <c r="AV1492">
        <v>0</v>
      </c>
      <c r="AW1492">
        <v>0</v>
      </c>
      <c r="AX1492">
        <v>0</v>
      </c>
      <c r="AY1492">
        <v>0</v>
      </c>
      <c r="AZ1492">
        <v>0</v>
      </c>
      <c r="BA1492">
        <v>0</v>
      </c>
      <c r="BB1492">
        <v>0</v>
      </c>
      <c r="BC1492">
        <v>0</v>
      </c>
      <c r="BD1492">
        <v>0</v>
      </c>
      <c r="BE1492">
        <v>0</v>
      </c>
      <c r="BF1492">
        <v>0</v>
      </c>
      <c r="BG1492">
        <v>0</v>
      </c>
      <c r="BH1492">
        <v>1</v>
      </c>
      <c r="BI1492">
        <v>1</v>
      </c>
      <c r="BJ1492">
        <v>0.2</v>
      </c>
      <c r="BK1492">
        <v>1</v>
      </c>
      <c r="BL1492">
        <v>55.99</v>
      </c>
      <c r="BM1492">
        <v>8.4</v>
      </c>
      <c r="BN1492">
        <v>64.39</v>
      </c>
      <c r="BO1492">
        <v>64.39</v>
      </c>
      <c r="BQ1492" t="s">
        <v>1450</v>
      </c>
      <c r="BR1492" t="s">
        <v>84</v>
      </c>
      <c r="BS1492" s="3">
        <v>45881</v>
      </c>
      <c r="BT1492" s="4">
        <v>0.38680555555555557</v>
      </c>
      <c r="BU1492" t="s">
        <v>2090</v>
      </c>
      <c r="BV1492" t="s">
        <v>86</v>
      </c>
      <c r="BY1492">
        <v>1200</v>
      </c>
      <c r="BZ1492" t="s">
        <v>330</v>
      </c>
      <c r="CA1492" t="s">
        <v>1452</v>
      </c>
      <c r="CC1492" t="s">
        <v>256</v>
      </c>
      <c r="CD1492">
        <v>1501</v>
      </c>
      <c r="CE1492" t="s">
        <v>109</v>
      </c>
      <c r="CF1492" s="3">
        <v>45881</v>
      </c>
      <c r="CI1492">
        <v>1</v>
      </c>
      <c r="CJ1492">
        <v>1</v>
      </c>
      <c r="CK1492">
        <v>22</v>
      </c>
      <c r="CL1492" t="s">
        <v>90</v>
      </c>
    </row>
    <row r="1493" spans="1:90" x14ac:dyDescent="0.3">
      <c r="A1493" t="s">
        <v>72</v>
      </c>
      <c r="B1493" t="s">
        <v>73</v>
      </c>
      <c r="C1493" t="s">
        <v>74</v>
      </c>
      <c r="E1493" t="str">
        <f>"080067164827"</f>
        <v>080067164827</v>
      </c>
      <c r="F1493" s="3">
        <v>45880</v>
      </c>
      <c r="G1493">
        <v>202605</v>
      </c>
      <c r="H1493" t="s">
        <v>75</v>
      </c>
      <c r="I1493" t="s">
        <v>76</v>
      </c>
      <c r="J1493" t="s">
        <v>77</v>
      </c>
      <c r="K1493" t="s">
        <v>78</v>
      </c>
      <c r="L1493" t="s">
        <v>1519</v>
      </c>
      <c r="M1493" t="s">
        <v>1520</v>
      </c>
      <c r="N1493" t="s">
        <v>1521</v>
      </c>
      <c r="O1493" t="s">
        <v>82</v>
      </c>
      <c r="P1493" t="str">
        <f>"4170054197                    "</f>
        <v xml:space="preserve">4170054197                    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Q1493">
        <v>44.73</v>
      </c>
      <c r="AR1493">
        <v>0</v>
      </c>
      <c r="AS1493">
        <v>0</v>
      </c>
      <c r="AT1493">
        <v>0</v>
      </c>
      <c r="AU1493">
        <v>0</v>
      </c>
      <c r="AV1493">
        <v>0</v>
      </c>
      <c r="AW1493">
        <v>0</v>
      </c>
      <c r="AX1493">
        <v>0</v>
      </c>
      <c r="AY1493">
        <v>0</v>
      </c>
      <c r="AZ1493">
        <v>0</v>
      </c>
      <c r="BA1493">
        <v>0</v>
      </c>
      <c r="BB1493">
        <v>0</v>
      </c>
      <c r="BC1493">
        <v>0</v>
      </c>
      <c r="BD1493">
        <v>0</v>
      </c>
      <c r="BE1493">
        <v>0</v>
      </c>
      <c r="BF1493">
        <v>0</v>
      </c>
      <c r="BG1493">
        <v>0</v>
      </c>
      <c r="BH1493">
        <v>1</v>
      </c>
      <c r="BI1493">
        <v>1</v>
      </c>
      <c r="BJ1493">
        <v>0.2</v>
      </c>
      <c r="BK1493">
        <v>1</v>
      </c>
      <c r="BL1493">
        <v>138.88999999999999</v>
      </c>
      <c r="BM1493">
        <v>20.83</v>
      </c>
      <c r="BN1493">
        <v>159.72</v>
      </c>
      <c r="BO1493">
        <v>159.72</v>
      </c>
      <c r="BQ1493" t="s">
        <v>1522</v>
      </c>
      <c r="BR1493" t="s">
        <v>84</v>
      </c>
      <c r="BS1493" s="3">
        <v>45882</v>
      </c>
      <c r="BT1493" s="4">
        <v>0.71111111111111114</v>
      </c>
      <c r="BU1493" t="s">
        <v>1523</v>
      </c>
      <c r="BV1493" t="s">
        <v>86</v>
      </c>
      <c r="BY1493">
        <v>1200</v>
      </c>
      <c r="BZ1493" t="s">
        <v>330</v>
      </c>
      <c r="CC1493" t="s">
        <v>1520</v>
      </c>
      <c r="CD1493">
        <v>6335</v>
      </c>
      <c r="CE1493" t="s">
        <v>109</v>
      </c>
      <c r="CF1493" s="3">
        <v>45884</v>
      </c>
      <c r="CI1493">
        <v>2</v>
      </c>
      <c r="CJ1493">
        <v>2</v>
      </c>
      <c r="CK1493">
        <v>23</v>
      </c>
      <c r="CL1493" t="s">
        <v>90</v>
      </c>
    </row>
    <row r="1494" spans="1:90" x14ac:dyDescent="0.3">
      <c r="A1494" t="s">
        <v>72</v>
      </c>
      <c r="B1494" t="s">
        <v>73</v>
      </c>
      <c r="C1494" t="s">
        <v>74</v>
      </c>
      <c r="E1494" t="str">
        <f>"080067164871"</f>
        <v>080067164871</v>
      </c>
      <c r="F1494" s="3">
        <v>45880</v>
      </c>
      <c r="G1494">
        <v>202605</v>
      </c>
      <c r="H1494" t="s">
        <v>75</v>
      </c>
      <c r="I1494" t="s">
        <v>76</v>
      </c>
      <c r="J1494" t="s">
        <v>77</v>
      </c>
      <c r="K1494" t="s">
        <v>78</v>
      </c>
      <c r="L1494" t="s">
        <v>75</v>
      </c>
      <c r="M1494" t="s">
        <v>76</v>
      </c>
      <c r="N1494" t="s">
        <v>537</v>
      </c>
      <c r="O1494" t="s">
        <v>95</v>
      </c>
      <c r="P1494" t="str">
        <f>"4170054148                    "</f>
        <v xml:space="preserve">4170054148                    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>
        <v>34.450000000000003</v>
      </c>
      <c r="AR1494">
        <v>0</v>
      </c>
      <c r="AS1494">
        <v>0</v>
      </c>
      <c r="AT1494">
        <v>0</v>
      </c>
      <c r="AU1494">
        <v>0</v>
      </c>
      <c r="AV1494">
        <v>0</v>
      </c>
      <c r="AW1494">
        <v>0</v>
      </c>
      <c r="AX1494">
        <v>0</v>
      </c>
      <c r="AY1494">
        <v>0</v>
      </c>
      <c r="AZ1494">
        <v>0</v>
      </c>
      <c r="BA1494">
        <v>0</v>
      </c>
      <c r="BB1494">
        <v>0</v>
      </c>
      <c r="BC1494">
        <v>0</v>
      </c>
      <c r="BD1494">
        <v>0</v>
      </c>
      <c r="BE1494">
        <v>0</v>
      </c>
      <c r="BF1494">
        <v>0</v>
      </c>
      <c r="BG1494">
        <v>0</v>
      </c>
      <c r="BH1494">
        <v>1</v>
      </c>
      <c r="BI1494">
        <v>4</v>
      </c>
      <c r="BJ1494">
        <v>14</v>
      </c>
      <c r="BK1494">
        <v>14</v>
      </c>
      <c r="BL1494">
        <v>112.84</v>
      </c>
      <c r="BM1494">
        <v>16.93</v>
      </c>
      <c r="BN1494">
        <v>129.77000000000001</v>
      </c>
      <c r="BO1494">
        <v>129.77000000000001</v>
      </c>
      <c r="BQ1494" t="s">
        <v>538</v>
      </c>
      <c r="BR1494" t="s">
        <v>84</v>
      </c>
      <c r="BS1494" s="3">
        <v>45881</v>
      </c>
      <c r="BT1494" s="4">
        <v>0.4236111111111111</v>
      </c>
      <c r="BU1494" t="s">
        <v>738</v>
      </c>
      <c r="BV1494" t="s">
        <v>86</v>
      </c>
      <c r="BY1494">
        <v>69750</v>
      </c>
      <c r="BZ1494" t="s">
        <v>100</v>
      </c>
      <c r="CA1494" t="s">
        <v>739</v>
      </c>
      <c r="CC1494" t="s">
        <v>76</v>
      </c>
      <c r="CD1494">
        <v>1619</v>
      </c>
      <c r="CE1494" t="s">
        <v>147</v>
      </c>
      <c r="CF1494" s="3">
        <v>45882</v>
      </c>
      <c r="CI1494">
        <v>1</v>
      </c>
      <c r="CJ1494">
        <v>1</v>
      </c>
      <c r="CK1494">
        <v>42</v>
      </c>
      <c r="CL1494" t="s">
        <v>90</v>
      </c>
    </row>
    <row r="1495" spans="1:90" x14ac:dyDescent="0.3">
      <c r="A1495" t="s">
        <v>72</v>
      </c>
      <c r="B1495" t="s">
        <v>73</v>
      </c>
      <c r="C1495" t="s">
        <v>74</v>
      </c>
      <c r="E1495" t="str">
        <f>"080067164897"</f>
        <v>080067164897</v>
      </c>
      <c r="F1495" s="3">
        <v>45880</v>
      </c>
      <c r="G1495">
        <v>202605</v>
      </c>
      <c r="H1495" t="s">
        <v>75</v>
      </c>
      <c r="I1495" t="s">
        <v>76</v>
      </c>
      <c r="J1495" t="s">
        <v>77</v>
      </c>
      <c r="K1495" t="s">
        <v>78</v>
      </c>
      <c r="L1495" t="s">
        <v>123</v>
      </c>
      <c r="M1495" t="s">
        <v>124</v>
      </c>
      <c r="N1495" t="s">
        <v>2179</v>
      </c>
      <c r="O1495" t="s">
        <v>82</v>
      </c>
      <c r="P1495" t="str">
        <f>"4170054152                    "</f>
        <v xml:space="preserve">4170054152                    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0</v>
      </c>
      <c r="AQ1495">
        <v>23.09</v>
      </c>
      <c r="AR1495">
        <v>0</v>
      </c>
      <c r="AS1495">
        <v>0</v>
      </c>
      <c r="AT1495">
        <v>0</v>
      </c>
      <c r="AU1495">
        <v>0</v>
      </c>
      <c r="AV1495">
        <v>0</v>
      </c>
      <c r="AW1495">
        <v>0</v>
      </c>
      <c r="AX1495">
        <v>0</v>
      </c>
      <c r="AY1495">
        <v>0</v>
      </c>
      <c r="AZ1495">
        <v>0</v>
      </c>
      <c r="BA1495">
        <v>0</v>
      </c>
      <c r="BB1495">
        <v>0</v>
      </c>
      <c r="BC1495">
        <v>0</v>
      </c>
      <c r="BD1495">
        <v>0</v>
      </c>
      <c r="BE1495">
        <v>0</v>
      </c>
      <c r="BF1495">
        <v>0</v>
      </c>
      <c r="BG1495">
        <v>0</v>
      </c>
      <c r="BH1495">
        <v>1</v>
      </c>
      <c r="BI1495">
        <v>1</v>
      </c>
      <c r="BJ1495">
        <v>0.2</v>
      </c>
      <c r="BK1495">
        <v>1</v>
      </c>
      <c r="BL1495">
        <v>71.69</v>
      </c>
      <c r="BM1495">
        <v>10.75</v>
      </c>
      <c r="BN1495">
        <v>82.44</v>
      </c>
      <c r="BO1495">
        <v>82.44</v>
      </c>
      <c r="BQ1495" t="s">
        <v>2180</v>
      </c>
      <c r="BR1495" t="s">
        <v>84</v>
      </c>
      <c r="BS1495" s="3">
        <v>45881</v>
      </c>
      <c r="BT1495" s="4">
        <v>0.49027777777777776</v>
      </c>
      <c r="BU1495" t="s">
        <v>2181</v>
      </c>
      <c r="BV1495" t="s">
        <v>90</v>
      </c>
      <c r="BY1495">
        <v>1200</v>
      </c>
      <c r="BZ1495" t="s">
        <v>330</v>
      </c>
      <c r="CA1495" t="s">
        <v>1238</v>
      </c>
      <c r="CC1495" t="s">
        <v>124</v>
      </c>
      <c r="CD1495">
        <v>7460</v>
      </c>
      <c r="CE1495" t="s">
        <v>109</v>
      </c>
      <c r="CF1495" s="3">
        <v>45882</v>
      </c>
      <c r="CI1495">
        <v>1</v>
      </c>
      <c r="CJ1495">
        <v>1</v>
      </c>
      <c r="CK1495">
        <v>21</v>
      </c>
      <c r="CL1495" t="s">
        <v>90</v>
      </c>
    </row>
    <row r="1496" spans="1:90" x14ac:dyDescent="0.3">
      <c r="A1496" t="s">
        <v>72</v>
      </c>
      <c r="B1496" t="s">
        <v>73</v>
      </c>
      <c r="C1496" t="s">
        <v>74</v>
      </c>
      <c r="E1496" t="str">
        <f>"080067164993"</f>
        <v>080067164993</v>
      </c>
      <c r="F1496" s="3">
        <v>45880</v>
      </c>
      <c r="G1496">
        <v>202605</v>
      </c>
      <c r="H1496" t="s">
        <v>75</v>
      </c>
      <c r="I1496" t="s">
        <v>76</v>
      </c>
      <c r="J1496" t="s">
        <v>77</v>
      </c>
      <c r="K1496" t="s">
        <v>78</v>
      </c>
      <c r="L1496" t="s">
        <v>198</v>
      </c>
      <c r="M1496" t="s">
        <v>199</v>
      </c>
      <c r="N1496" t="s">
        <v>342</v>
      </c>
      <c r="O1496" t="s">
        <v>82</v>
      </c>
      <c r="P1496" t="str">
        <f>"4170054177                    "</f>
        <v xml:space="preserve">4170054177                    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0</v>
      </c>
      <c r="AQ1496">
        <v>23.09</v>
      </c>
      <c r="AR1496">
        <v>0</v>
      </c>
      <c r="AS1496">
        <v>0</v>
      </c>
      <c r="AT1496">
        <v>0</v>
      </c>
      <c r="AU1496">
        <v>0</v>
      </c>
      <c r="AV1496">
        <v>0</v>
      </c>
      <c r="AW1496">
        <v>0</v>
      </c>
      <c r="AX1496">
        <v>0</v>
      </c>
      <c r="AY1496">
        <v>0</v>
      </c>
      <c r="AZ1496">
        <v>0</v>
      </c>
      <c r="BA1496">
        <v>0</v>
      </c>
      <c r="BB1496">
        <v>0</v>
      </c>
      <c r="BC1496">
        <v>0</v>
      </c>
      <c r="BD1496">
        <v>0</v>
      </c>
      <c r="BE1496">
        <v>0</v>
      </c>
      <c r="BF1496">
        <v>0</v>
      </c>
      <c r="BG1496">
        <v>0</v>
      </c>
      <c r="BH1496">
        <v>1</v>
      </c>
      <c r="BI1496">
        <v>1</v>
      </c>
      <c r="BJ1496">
        <v>0.2</v>
      </c>
      <c r="BK1496">
        <v>1</v>
      </c>
      <c r="BL1496">
        <v>71.69</v>
      </c>
      <c r="BM1496">
        <v>10.75</v>
      </c>
      <c r="BN1496">
        <v>82.44</v>
      </c>
      <c r="BO1496">
        <v>82.44</v>
      </c>
      <c r="BQ1496" t="s">
        <v>343</v>
      </c>
      <c r="BR1496" t="s">
        <v>84</v>
      </c>
      <c r="BS1496" s="3">
        <v>45881</v>
      </c>
      <c r="BT1496" s="4">
        <v>0.40277777777777779</v>
      </c>
      <c r="BU1496" t="s">
        <v>1968</v>
      </c>
      <c r="BV1496" t="s">
        <v>86</v>
      </c>
      <c r="BY1496">
        <v>1200</v>
      </c>
      <c r="BZ1496" t="s">
        <v>330</v>
      </c>
      <c r="CA1496" t="s">
        <v>1570</v>
      </c>
      <c r="CC1496" t="s">
        <v>199</v>
      </c>
      <c r="CD1496">
        <v>6001</v>
      </c>
      <c r="CE1496" t="s">
        <v>109</v>
      </c>
      <c r="CF1496" s="3">
        <v>45881</v>
      </c>
      <c r="CI1496">
        <v>1</v>
      </c>
      <c r="CJ1496">
        <v>1</v>
      </c>
      <c r="CK1496">
        <v>21</v>
      </c>
      <c r="CL1496" t="s">
        <v>90</v>
      </c>
    </row>
    <row r="1497" spans="1:90" x14ac:dyDescent="0.3">
      <c r="A1497" t="s">
        <v>72</v>
      </c>
      <c r="B1497" t="s">
        <v>73</v>
      </c>
      <c r="C1497" t="s">
        <v>74</v>
      </c>
      <c r="E1497" t="str">
        <f>"080067164997"</f>
        <v>080067164997</v>
      </c>
      <c r="F1497" s="3">
        <v>45880</v>
      </c>
      <c r="G1497">
        <v>202605</v>
      </c>
      <c r="H1497" t="s">
        <v>75</v>
      </c>
      <c r="I1497" t="s">
        <v>76</v>
      </c>
      <c r="J1497" t="s">
        <v>77</v>
      </c>
      <c r="K1497" t="s">
        <v>78</v>
      </c>
      <c r="L1497" t="s">
        <v>198</v>
      </c>
      <c r="M1497" t="s">
        <v>199</v>
      </c>
      <c r="N1497" t="s">
        <v>1357</v>
      </c>
      <c r="O1497" t="s">
        <v>95</v>
      </c>
      <c r="P1497" t="str">
        <f>"4170054163                    "</f>
        <v xml:space="preserve">4170054163                    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>
        <v>50.17</v>
      </c>
      <c r="AR1497">
        <v>0</v>
      </c>
      <c r="AS1497">
        <v>0</v>
      </c>
      <c r="AT1497">
        <v>0</v>
      </c>
      <c r="AU1497">
        <v>0</v>
      </c>
      <c r="AV1497">
        <v>0</v>
      </c>
      <c r="AW1497">
        <v>0</v>
      </c>
      <c r="AX1497">
        <v>0</v>
      </c>
      <c r="AY1497">
        <v>0</v>
      </c>
      <c r="AZ1497">
        <v>0</v>
      </c>
      <c r="BA1497">
        <v>0</v>
      </c>
      <c r="BB1497">
        <v>0</v>
      </c>
      <c r="BC1497">
        <v>0</v>
      </c>
      <c r="BD1497">
        <v>0</v>
      </c>
      <c r="BE1497">
        <v>0</v>
      </c>
      <c r="BF1497">
        <v>0</v>
      </c>
      <c r="BG1497">
        <v>0</v>
      </c>
      <c r="BH1497">
        <v>1</v>
      </c>
      <c r="BI1497">
        <v>7</v>
      </c>
      <c r="BJ1497">
        <v>17.7</v>
      </c>
      <c r="BK1497">
        <v>18</v>
      </c>
      <c r="BL1497">
        <v>161.66</v>
      </c>
      <c r="BM1497">
        <v>24.25</v>
      </c>
      <c r="BN1497">
        <v>185.91</v>
      </c>
      <c r="BO1497">
        <v>185.91</v>
      </c>
      <c r="BQ1497" t="s">
        <v>1358</v>
      </c>
      <c r="BR1497" t="s">
        <v>84</v>
      </c>
      <c r="BS1497" s="3">
        <v>45882</v>
      </c>
      <c r="BT1497" s="4">
        <v>0.37291666666666667</v>
      </c>
      <c r="BU1497" t="s">
        <v>2076</v>
      </c>
      <c r="BV1497" t="s">
        <v>86</v>
      </c>
      <c r="BY1497">
        <v>88320</v>
      </c>
      <c r="BZ1497" t="s">
        <v>100</v>
      </c>
      <c r="CA1497" t="s">
        <v>203</v>
      </c>
      <c r="CC1497" t="s">
        <v>199</v>
      </c>
      <c r="CD1497">
        <v>6001</v>
      </c>
      <c r="CE1497" t="s">
        <v>147</v>
      </c>
      <c r="CF1497" s="3">
        <v>45882</v>
      </c>
      <c r="CI1497">
        <v>3</v>
      </c>
      <c r="CJ1497">
        <v>2</v>
      </c>
      <c r="CK1497">
        <v>41</v>
      </c>
      <c r="CL1497" t="s">
        <v>90</v>
      </c>
    </row>
    <row r="1498" spans="1:90" x14ac:dyDescent="0.3">
      <c r="A1498" t="s">
        <v>72</v>
      </c>
      <c r="B1498" t="s">
        <v>73</v>
      </c>
      <c r="C1498" t="s">
        <v>74</v>
      </c>
      <c r="E1498" t="str">
        <f>"080067165051"</f>
        <v>080067165051</v>
      </c>
      <c r="F1498" s="3">
        <v>45880</v>
      </c>
      <c r="G1498">
        <v>202605</v>
      </c>
      <c r="H1498" t="s">
        <v>75</v>
      </c>
      <c r="I1498" t="s">
        <v>76</v>
      </c>
      <c r="J1498" t="s">
        <v>77</v>
      </c>
      <c r="K1498" t="s">
        <v>78</v>
      </c>
      <c r="L1498" t="s">
        <v>162</v>
      </c>
      <c r="M1498" t="s">
        <v>163</v>
      </c>
      <c r="N1498" t="s">
        <v>246</v>
      </c>
      <c r="O1498" t="s">
        <v>82</v>
      </c>
      <c r="P1498" t="str">
        <f>"4170054184                    "</f>
        <v xml:space="preserve">4170054184                    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Q1498">
        <v>23.09</v>
      </c>
      <c r="AR1498">
        <v>0</v>
      </c>
      <c r="AS1498">
        <v>0</v>
      </c>
      <c r="AT1498">
        <v>0</v>
      </c>
      <c r="AU1498">
        <v>0</v>
      </c>
      <c r="AV1498">
        <v>0</v>
      </c>
      <c r="AW1498">
        <v>0</v>
      </c>
      <c r="AX1498">
        <v>0</v>
      </c>
      <c r="AY1498">
        <v>0</v>
      </c>
      <c r="AZ1498">
        <v>0</v>
      </c>
      <c r="BA1498">
        <v>0</v>
      </c>
      <c r="BB1498">
        <v>0</v>
      </c>
      <c r="BC1498">
        <v>0</v>
      </c>
      <c r="BD1498">
        <v>0</v>
      </c>
      <c r="BE1498">
        <v>0</v>
      </c>
      <c r="BF1498">
        <v>0</v>
      </c>
      <c r="BG1498">
        <v>0</v>
      </c>
      <c r="BH1498">
        <v>1</v>
      </c>
      <c r="BI1498">
        <v>1</v>
      </c>
      <c r="BJ1498">
        <v>0.2</v>
      </c>
      <c r="BK1498">
        <v>1</v>
      </c>
      <c r="BL1498">
        <v>71.69</v>
      </c>
      <c r="BM1498">
        <v>10.75</v>
      </c>
      <c r="BN1498">
        <v>82.44</v>
      </c>
      <c r="BO1498">
        <v>82.44</v>
      </c>
      <c r="BQ1498" t="s">
        <v>247</v>
      </c>
      <c r="BR1498" t="s">
        <v>84</v>
      </c>
      <c r="BS1498" s="3">
        <v>45881</v>
      </c>
      <c r="BT1498" s="4">
        <v>0.41666666666666669</v>
      </c>
      <c r="BU1498" t="s">
        <v>2182</v>
      </c>
      <c r="BV1498" t="s">
        <v>86</v>
      </c>
      <c r="BY1498">
        <v>1200</v>
      </c>
      <c r="BZ1498" t="s">
        <v>330</v>
      </c>
      <c r="CC1498" t="s">
        <v>163</v>
      </c>
      <c r="CD1498">
        <v>3201</v>
      </c>
      <c r="CE1498" t="s">
        <v>109</v>
      </c>
      <c r="CF1498" s="3">
        <v>45882</v>
      </c>
      <c r="CI1498">
        <v>1</v>
      </c>
      <c r="CJ1498">
        <v>1</v>
      </c>
      <c r="CK1498">
        <v>21</v>
      </c>
      <c r="CL1498" t="s">
        <v>90</v>
      </c>
    </row>
    <row r="1499" spans="1:90" x14ac:dyDescent="0.3">
      <c r="A1499" t="s">
        <v>72</v>
      </c>
      <c r="B1499" t="s">
        <v>73</v>
      </c>
      <c r="C1499" t="s">
        <v>74</v>
      </c>
      <c r="E1499" t="str">
        <f>"080067165064"</f>
        <v>080067165064</v>
      </c>
      <c r="F1499" s="3">
        <v>45880</v>
      </c>
      <c r="G1499">
        <v>202605</v>
      </c>
      <c r="H1499" t="s">
        <v>75</v>
      </c>
      <c r="I1499" t="s">
        <v>76</v>
      </c>
      <c r="J1499" t="s">
        <v>77</v>
      </c>
      <c r="K1499" t="s">
        <v>78</v>
      </c>
      <c r="L1499" t="s">
        <v>110</v>
      </c>
      <c r="M1499" t="s">
        <v>111</v>
      </c>
      <c r="N1499" t="s">
        <v>309</v>
      </c>
      <c r="O1499" t="s">
        <v>82</v>
      </c>
      <c r="P1499" t="str">
        <f>"4170054198                    "</f>
        <v xml:space="preserve">4170054198                    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0</v>
      </c>
      <c r="AP1499">
        <v>0</v>
      </c>
      <c r="AQ1499">
        <v>18.03</v>
      </c>
      <c r="AR1499">
        <v>0</v>
      </c>
      <c r="AS1499">
        <v>0</v>
      </c>
      <c r="AT1499">
        <v>0</v>
      </c>
      <c r="AU1499">
        <v>0</v>
      </c>
      <c r="AV1499">
        <v>0</v>
      </c>
      <c r="AW1499">
        <v>0</v>
      </c>
      <c r="AX1499">
        <v>0</v>
      </c>
      <c r="AY1499">
        <v>0</v>
      </c>
      <c r="AZ1499">
        <v>0</v>
      </c>
      <c r="BA1499">
        <v>0</v>
      </c>
      <c r="BB1499">
        <v>0</v>
      </c>
      <c r="BC1499">
        <v>0</v>
      </c>
      <c r="BD1499">
        <v>0</v>
      </c>
      <c r="BE1499">
        <v>0</v>
      </c>
      <c r="BF1499">
        <v>0</v>
      </c>
      <c r="BG1499">
        <v>0</v>
      </c>
      <c r="BH1499">
        <v>1</v>
      </c>
      <c r="BI1499">
        <v>3</v>
      </c>
      <c r="BJ1499">
        <v>0.9</v>
      </c>
      <c r="BK1499">
        <v>3</v>
      </c>
      <c r="BL1499">
        <v>55.99</v>
      </c>
      <c r="BM1499">
        <v>8.4</v>
      </c>
      <c r="BN1499">
        <v>64.39</v>
      </c>
      <c r="BO1499">
        <v>64.39</v>
      </c>
      <c r="BQ1499" t="s">
        <v>310</v>
      </c>
      <c r="BR1499" t="s">
        <v>84</v>
      </c>
      <c r="BS1499" s="3">
        <v>45881</v>
      </c>
      <c r="BT1499" s="4">
        <v>0.42430555555555555</v>
      </c>
      <c r="BU1499" t="s">
        <v>2183</v>
      </c>
      <c r="BV1499" t="s">
        <v>86</v>
      </c>
      <c r="BY1499">
        <v>4560</v>
      </c>
      <c r="BZ1499" t="s">
        <v>330</v>
      </c>
      <c r="CA1499" t="s">
        <v>312</v>
      </c>
      <c r="CC1499" t="s">
        <v>111</v>
      </c>
      <c r="CD1499">
        <v>2163</v>
      </c>
      <c r="CE1499" t="s">
        <v>147</v>
      </c>
      <c r="CF1499" s="3">
        <v>45881</v>
      </c>
      <c r="CI1499">
        <v>1</v>
      </c>
      <c r="CJ1499">
        <v>1</v>
      </c>
      <c r="CK1499">
        <v>22</v>
      </c>
      <c r="CL1499" t="s">
        <v>90</v>
      </c>
    </row>
    <row r="1500" spans="1:90" x14ac:dyDescent="0.3">
      <c r="A1500" t="s">
        <v>72</v>
      </c>
      <c r="B1500" t="s">
        <v>73</v>
      </c>
      <c r="C1500" t="s">
        <v>74</v>
      </c>
      <c r="E1500" t="str">
        <f>"080067165097"</f>
        <v>080067165097</v>
      </c>
      <c r="F1500" s="3">
        <v>45880</v>
      </c>
      <c r="G1500">
        <v>202605</v>
      </c>
      <c r="H1500" t="s">
        <v>75</v>
      </c>
      <c r="I1500" t="s">
        <v>76</v>
      </c>
      <c r="J1500" t="s">
        <v>77</v>
      </c>
      <c r="K1500" t="s">
        <v>78</v>
      </c>
      <c r="L1500" t="s">
        <v>123</v>
      </c>
      <c r="M1500" t="s">
        <v>124</v>
      </c>
      <c r="N1500" t="s">
        <v>406</v>
      </c>
      <c r="O1500" t="s">
        <v>82</v>
      </c>
      <c r="P1500" t="str">
        <f>"4170054171                    "</f>
        <v xml:space="preserve">4170054171                    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0</v>
      </c>
      <c r="AO1500">
        <v>0</v>
      </c>
      <c r="AP1500">
        <v>0</v>
      </c>
      <c r="AQ1500">
        <v>23.09</v>
      </c>
      <c r="AR1500">
        <v>0</v>
      </c>
      <c r="AS1500">
        <v>0</v>
      </c>
      <c r="AT1500">
        <v>0</v>
      </c>
      <c r="AU1500">
        <v>0</v>
      </c>
      <c r="AV1500">
        <v>0</v>
      </c>
      <c r="AW1500">
        <v>0</v>
      </c>
      <c r="AX1500">
        <v>0</v>
      </c>
      <c r="AY1500">
        <v>0</v>
      </c>
      <c r="AZ1500">
        <v>0</v>
      </c>
      <c r="BA1500">
        <v>0</v>
      </c>
      <c r="BB1500">
        <v>0</v>
      </c>
      <c r="BC1500">
        <v>0</v>
      </c>
      <c r="BD1500">
        <v>0</v>
      </c>
      <c r="BE1500">
        <v>0</v>
      </c>
      <c r="BF1500">
        <v>0</v>
      </c>
      <c r="BG1500">
        <v>0</v>
      </c>
      <c r="BH1500">
        <v>1</v>
      </c>
      <c r="BI1500">
        <v>1</v>
      </c>
      <c r="BJ1500">
        <v>0.2</v>
      </c>
      <c r="BK1500">
        <v>1</v>
      </c>
      <c r="BL1500">
        <v>71.69</v>
      </c>
      <c r="BM1500">
        <v>10.75</v>
      </c>
      <c r="BN1500">
        <v>82.44</v>
      </c>
      <c r="BO1500">
        <v>82.44</v>
      </c>
      <c r="BQ1500" t="s">
        <v>407</v>
      </c>
      <c r="BR1500" t="s">
        <v>84</v>
      </c>
      <c r="BS1500" s="3">
        <v>45881</v>
      </c>
      <c r="BT1500" s="4">
        <v>0.40972222222222221</v>
      </c>
      <c r="BU1500" t="s">
        <v>408</v>
      </c>
      <c r="BV1500" t="s">
        <v>86</v>
      </c>
      <c r="BY1500">
        <v>1200</v>
      </c>
      <c r="BZ1500" t="s">
        <v>330</v>
      </c>
      <c r="CA1500" t="s">
        <v>192</v>
      </c>
      <c r="CC1500" t="s">
        <v>124</v>
      </c>
      <c r="CD1500">
        <v>7441</v>
      </c>
      <c r="CE1500" t="s">
        <v>109</v>
      </c>
      <c r="CF1500" s="3">
        <v>45882</v>
      </c>
      <c r="CI1500">
        <v>1</v>
      </c>
      <c r="CJ1500">
        <v>1</v>
      </c>
      <c r="CK1500">
        <v>21</v>
      </c>
      <c r="CL1500" t="s">
        <v>90</v>
      </c>
    </row>
    <row r="1501" spans="1:90" x14ac:dyDescent="0.3">
      <c r="A1501" t="s">
        <v>72</v>
      </c>
      <c r="B1501" t="s">
        <v>73</v>
      </c>
      <c r="C1501" t="s">
        <v>74</v>
      </c>
      <c r="E1501" t="str">
        <f>"080067165098"</f>
        <v>080067165098</v>
      </c>
      <c r="F1501" s="3">
        <v>45880</v>
      </c>
      <c r="G1501">
        <v>202605</v>
      </c>
      <c r="H1501" t="s">
        <v>75</v>
      </c>
      <c r="I1501" t="s">
        <v>76</v>
      </c>
      <c r="J1501" t="s">
        <v>77</v>
      </c>
      <c r="K1501" t="s">
        <v>78</v>
      </c>
      <c r="L1501" t="s">
        <v>446</v>
      </c>
      <c r="M1501" t="s">
        <v>447</v>
      </c>
      <c r="N1501" t="s">
        <v>448</v>
      </c>
      <c r="O1501" t="s">
        <v>82</v>
      </c>
      <c r="P1501" t="str">
        <f>"4170054058                    "</f>
        <v xml:space="preserve">4170054058                    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>
        <v>0</v>
      </c>
      <c r="AQ1501">
        <v>48.27</v>
      </c>
      <c r="AR1501">
        <v>0</v>
      </c>
      <c r="AS1501">
        <v>0</v>
      </c>
      <c r="AT1501">
        <v>0</v>
      </c>
      <c r="AU1501">
        <v>0</v>
      </c>
      <c r="AV1501">
        <v>0</v>
      </c>
      <c r="AW1501">
        <v>0</v>
      </c>
      <c r="AX1501">
        <v>0</v>
      </c>
      <c r="AY1501">
        <v>0</v>
      </c>
      <c r="AZ1501">
        <v>0</v>
      </c>
      <c r="BA1501">
        <v>0</v>
      </c>
      <c r="BB1501">
        <v>0</v>
      </c>
      <c r="BC1501">
        <v>0</v>
      </c>
      <c r="BD1501">
        <v>0</v>
      </c>
      <c r="BE1501">
        <v>0</v>
      </c>
      <c r="BF1501">
        <v>0</v>
      </c>
      <c r="BG1501">
        <v>0</v>
      </c>
      <c r="BH1501">
        <v>1</v>
      </c>
      <c r="BI1501">
        <v>2</v>
      </c>
      <c r="BJ1501">
        <v>2.6</v>
      </c>
      <c r="BK1501">
        <v>3</v>
      </c>
      <c r="BL1501">
        <v>149.9</v>
      </c>
      <c r="BM1501">
        <v>22.49</v>
      </c>
      <c r="BN1501">
        <v>172.39</v>
      </c>
      <c r="BO1501">
        <v>172.39</v>
      </c>
      <c r="BQ1501" t="s">
        <v>449</v>
      </c>
      <c r="BR1501" t="s">
        <v>84</v>
      </c>
      <c r="BS1501" s="3">
        <v>45881</v>
      </c>
      <c r="BT1501" s="4">
        <v>0.35694444444444445</v>
      </c>
      <c r="BU1501" t="s">
        <v>2184</v>
      </c>
      <c r="BV1501" t="s">
        <v>86</v>
      </c>
      <c r="BY1501">
        <v>13005</v>
      </c>
      <c r="BZ1501" t="s">
        <v>330</v>
      </c>
      <c r="CA1501" t="s">
        <v>1470</v>
      </c>
      <c r="CC1501" t="s">
        <v>447</v>
      </c>
      <c r="CD1501">
        <v>2210</v>
      </c>
      <c r="CE1501" t="s">
        <v>117</v>
      </c>
      <c r="CF1501" s="3">
        <v>45882</v>
      </c>
      <c r="CI1501">
        <v>1</v>
      </c>
      <c r="CJ1501">
        <v>1</v>
      </c>
      <c r="CK1501">
        <v>24</v>
      </c>
      <c r="CL1501" t="s">
        <v>90</v>
      </c>
    </row>
    <row r="1502" spans="1:90" x14ac:dyDescent="0.3">
      <c r="A1502" t="s">
        <v>72</v>
      </c>
      <c r="B1502" t="s">
        <v>73</v>
      </c>
      <c r="C1502" t="s">
        <v>74</v>
      </c>
      <c r="E1502" t="str">
        <f>"080067165136"</f>
        <v>080067165136</v>
      </c>
      <c r="F1502" s="3">
        <v>45880</v>
      </c>
      <c r="G1502">
        <v>202605</v>
      </c>
      <c r="H1502" t="s">
        <v>75</v>
      </c>
      <c r="I1502" t="s">
        <v>76</v>
      </c>
      <c r="J1502" t="s">
        <v>77</v>
      </c>
      <c r="K1502" t="s">
        <v>78</v>
      </c>
      <c r="L1502" t="s">
        <v>123</v>
      </c>
      <c r="M1502" t="s">
        <v>124</v>
      </c>
      <c r="N1502" t="s">
        <v>577</v>
      </c>
      <c r="O1502" t="s">
        <v>82</v>
      </c>
      <c r="P1502" t="str">
        <f>"4170054168                    "</f>
        <v xml:space="preserve">4170054168                    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0</v>
      </c>
      <c r="AO1502">
        <v>0</v>
      </c>
      <c r="AP1502">
        <v>0</v>
      </c>
      <c r="AQ1502">
        <v>23.09</v>
      </c>
      <c r="AR1502">
        <v>0</v>
      </c>
      <c r="AS1502">
        <v>0</v>
      </c>
      <c r="AT1502">
        <v>0</v>
      </c>
      <c r="AU1502">
        <v>0</v>
      </c>
      <c r="AV1502">
        <v>0</v>
      </c>
      <c r="AW1502">
        <v>0</v>
      </c>
      <c r="AX1502">
        <v>0</v>
      </c>
      <c r="AY1502">
        <v>0</v>
      </c>
      <c r="AZ1502">
        <v>0</v>
      </c>
      <c r="BA1502">
        <v>0</v>
      </c>
      <c r="BB1502">
        <v>0</v>
      </c>
      <c r="BC1502">
        <v>0</v>
      </c>
      <c r="BD1502">
        <v>0</v>
      </c>
      <c r="BE1502">
        <v>0</v>
      </c>
      <c r="BF1502">
        <v>0</v>
      </c>
      <c r="BG1502">
        <v>0</v>
      </c>
      <c r="BH1502">
        <v>1</v>
      </c>
      <c r="BI1502">
        <v>1</v>
      </c>
      <c r="BJ1502">
        <v>0.2</v>
      </c>
      <c r="BK1502">
        <v>1</v>
      </c>
      <c r="BL1502">
        <v>71.69</v>
      </c>
      <c r="BM1502">
        <v>10.75</v>
      </c>
      <c r="BN1502">
        <v>82.44</v>
      </c>
      <c r="BO1502">
        <v>82.44</v>
      </c>
      <c r="BQ1502" t="s">
        <v>578</v>
      </c>
      <c r="BR1502" t="s">
        <v>84</v>
      </c>
      <c r="BS1502" s="3">
        <v>45881</v>
      </c>
      <c r="BT1502" s="4">
        <v>0.41666666666666669</v>
      </c>
      <c r="BU1502" t="s">
        <v>2185</v>
      </c>
      <c r="BV1502" t="s">
        <v>86</v>
      </c>
      <c r="BY1502">
        <v>1200</v>
      </c>
      <c r="BZ1502" t="s">
        <v>330</v>
      </c>
      <c r="CC1502" t="s">
        <v>124</v>
      </c>
      <c r="CD1502">
        <v>8001</v>
      </c>
      <c r="CE1502" t="s">
        <v>109</v>
      </c>
      <c r="CF1502" s="3">
        <v>45882</v>
      </c>
      <c r="CI1502">
        <v>1</v>
      </c>
      <c r="CJ1502">
        <v>1</v>
      </c>
      <c r="CK1502">
        <v>21</v>
      </c>
      <c r="CL1502" t="s">
        <v>90</v>
      </c>
    </row>
    <row r="1503" spans="1:90" x14ac:dyDescent="0.3">
      <c r="A1503" t="s">
        <v>72</v>
      </c>
      <c r="B1503" t="s">
        <v>73</v>
      </c>
      <c r="C1503" t="s">
        <v>74</v>
      </c>
      <c r="E1503" t="str">
        <f>"080067165149"</f>
        <v>080067165149</v>
      </c>
      <c r="F1503" s="3">
        <v>45880</v>
      </c>
      <c r="G1503">
        <v>202605</v>
      </c>
      <c r="H1503" t="s">
        <v>75</v>
      </c>
      <c r="I1503" t="s">
        <v>76</v>
      </c>
      <c r="J1503" t="s">
        <v>77</v>
      </c>
      <c r="K1503" t="s">
        <v>78</v>
      </c>
      <c r="L1503" t="s">
        <v>1519</v>
      </c>
      <c r="M1503" t="s">
        <v>1520</v>
      </c>
      <c r="N1503" t="s">
        <v>1521</v>
      </c>
      <c r="O1503" t="s">
        <v>82</v>
      </c>
      <c r="P1503" t="str">
        <f>"4170054166                    "</f>
        <v xml:space="preserve">4170054166                    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0</v>
      </c>
      <c r="AO1503">
        <v>0</v>
      </c>
      <c r="AP1503">
        <v>0</v>
      </c>
      <c r="AQ1503">
        <v>64.92</v>
      </c>
      <c r="AR1503">
        <v>0</v>
      </c>
      <c r="AS1503">
        <v>0</v>
      </c>
      <c r="AT1503">
        <v>0</v>
      </c>
      <c r="AU1503">
        <v>0</v>
      </c>
      <c r="AV1503">
        <v>0</v>
      </c>
      <c r="AW1503">
        <v>0</v>
      </c>
      <c r="AX1503">
        <v>0</v>
      </c>
      <c r="AY1503">
        <v>0</v>
      </c>
      <c r="AZ1503">
        <v>0</v>
      </c>
      <c r="BA1503">
        <v>0</v>
      </c>
      <c r="BB1503">
        <v>0</v>
      </c>
      <c r="BC1503">
        <v>0</v>
      </c>
      <c r="BD1503">
        <v>0</v>
      </c>
      <c r="BE1503">
        <v>0</v>
      </c>
      <c r="BF1503">
        <v>0</v>
      </c>
      <c r="BG1503">
        <v>0</v>
      </c>
      <c r="BH1503">
        <v>1</v>
      </c>
      <c r="BI1503">
        <v>3</v>
      </c>
      <c r="BJ1503">
        <v>2.4</v>
      </c>
      <c r="BK1503">
        <v>3</v>
      </c>
      <c r="BL1503">
        <v>201.6</v>
      </c>
      <c r="BM1503">
        <v>30.24</v>
      </c>
      <c r="BN1503">
        <v>231.84</v>
      </c>
      <c r="BO1503">
        <v>231.84</v>
      </c>
      <c r="BQ1503" t="s">
        <v>1522</v>
      </c>
      <c r="BR1503" t="s">
        <v>84</v>
      </c>
      <c r="BS1503" s="3">
        <v>45882</v>
      </c>
      <c r="BT1503" s="4">
        <v>0.7104166666666667</v>
      </c>
      <c r="BU1503" t="s">
        <v>1523</v>
      </c>
      <c r="BV1503" t="s">
        <v>86</v>
      </c>
      <c r="BY1503">
        <v>11760</v>
      </c>
      <c r="BZ1503" t="s">
        <v>330</v>
      </c>
      <c r="CC1503" t="s">
        <v>1520</v>
      </c>
      <c r="CD1503">
        <v>6335</v>
      </c>
      <c r="CE1503" t="s">
        <v>117</v>
      </c>
      <c r="CF1503" s="3">
        <v>45884</v>
      </c>
      <c r="CI1503">
        <v>2</v>
      </c>
      <c r="CJ1503">
        <v>2</v>
      </c>
      <c r="CK1503">
        <v>23</v>
      </c>
      <c r="CL1503" t="s">
        <v>90</v>
      </c>
    </row>
    <row r="1504" spans="1:90" x14ac:dyDescent="0.3">
      <c r="A1504" t="s">
        <v>72</v>
      </c>
      <c r="B1504" t="s">
        <v>73</v>
      </c>
      <c r="C1504" t="s">
        <v>74</v>
      </c>
      <c r="E1504" t="str">
        <f>"080067165180"</f>
        <v>080067165180</v>
      </c>
      <c r="F1504" s="3">
        <v>45880</v>
      </c>
      <c r="G1504">
        <v>202605</v>
      </c>
      <c r="H1504" t="s">
        <v>75</v>
      </c>
      <c r="I1504" t="s">
        <v>76</v>
      </c>
      <c r="J1504" t="s">
        <v>77</v>
      </c>
      <c r="K1504" t="s">
        <v>78</v>
      </c>
      <c r="L1504" t="s">
        <v>217</v>
      </c>
      <c r="M1504" t="s">
        <v>218</v>
      </c>
      <c r="N1504" t="s">
        <v>249</v>
      </c>
      <c r="O1504" t="s">
        <v>82</v>
      </c>
      <c r="P1504" t="str">
        <f>"4170054161                    "</f>
        <v xml:space="preserve">4170054161                    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0</v>
      </c>
      <c r="AP1504">
        <v>0</v>
      </c>
      <c r="AQ1504">
        <v>23.09</v>
      </c>
      <c r="AR1504">
        <v>0</v>
      </c>
      <c r="AS1504">
        <v>0</v>
      </c>
      <c r="AT1504">
        <v>0</v>
      </c>
      <c r="AU1504">
        <v>0</v>
      </c>
      <c r="AV1504">
        <v>0</v>
      </c>
      <c r="AW1504">
        <v>0</v>
      </c>
      <c r="AX1504">
        <v>0</v>
      </c>
      <c r="AY1504">
        <v>0</v>
      </c>
      <c r="AZ1504">
        <v>0</v>
      </c>
      <c r="BA1504">
        <v>0</v>
      </c>
      <c r="BB1504">
        <v>0</v>
      </c>
      <c r="BC1504">
        <v>0</v>
      </c>
      <c r="BD1504">
        <v>0</v>
      </c>
      <c r="BE1504">
        <v>0</v>
      </c>
      <c r="BF1504">
        <v>0</v>
      </c>
      <c r="BG1504">
        <v>0</v>
      </c>
      <c r="BH1504">
        <v>1</v>
      </c>
      <c r="BI1504">
        <v>1</v>
      </c>
      <c r="BJ1504">
        <v>1.9</v>
      </c>
      <c r="BK1504">
        <v>2</v>
      </c>
      <c r="BL1504">
        <v>71.69</v>
      </c>
      <c r="BM1504">
        <v>10.75</v>
      </c>
      <c r="BN1504">
        <v>82.44</v>
      </c>
      <c r="BO1504">
        <v>82.44</v>
      </c>
      <c r="BQ1504" t="s">
        <v>250</v>
      </c>
      <c r="BR1504" t="s">
        <v>84</v>
      </c>
      <c r="BS1504" s="3">
        <v>45881</v>
      </c>
      <c r="BT1504" s="4">
        <v>0.72499999999999998</v>
      </c>
      <c r="BU1504" t="s">
        <v>251</v>
      </c>
      <c r="BV1504" t="s">
        <v>90</v>
      </c>
      <c r="BY1504">
        <v>9600</v>
      </c>
      <c r="BZ1504" t="s">
        <v>330</v>
      </c>
      <c r="CA1504" t="s">
        <v>136</v>
      </c>
      <c r="CC1504" t="s">
        <v>218</v>
      </c>
      <c r="CD1504">
        <v>4052</v>
      </c>
      <c r="CE1504" t="s">
        <v>147</v>
      </c>
      <c r="CF1504" s="3">
        <v>45882</v>
      </c>
      <c r="CI1504">
        <v>1</v>
      </c>
      <c r="CJ1504">
        <v>1</v>
      </c>
      <c r="CK1504">
        <v>21</v>
      </c>
      <c r="CL1504" t="s">
        <v>90</v>
      </c>
    </row>
    <row r="1505" spans="1:90" x14ac:dyDescent="0.3">
      <c r="A1505" t="s">
        <v>72</v>
      </c>
      <c r="B1505" t="s">
        <v>73</v>
      </c>
      <c r="C1505" t="s">
        <v>74</v>
      </c>
      <c r="E1505" t="str">
        <f>"080067165252"</f>
        <v>080067165252</v>
      </c>
      <c r="F1505" s="3">
        <v>45880</v>
      </c>
      <c r="G1505">
        <v>202605</v>
      </c>
      <c r="H1505" t="s">
        <v>75</v>
      </c>
      <c r="I1505" t="s">
        <v>76</v>
      </c>
      <c r="J1505" t="s">
        <v>77</v>
      </c>
      <c r="K1505" t="s">
        <v>78</v>
      </c>
      <c r="L1505" t="s">
        <v>606</v>
      </c>
      <c r="M1505" t="s">
        <v>607</v>
      </c>
      <c r="N1505" t="s">
        <v>608</v>
      </c>
      <c r="O1505" t="s">
        <v>82</v>
      </c>
      <c r="P1505" t="str">
        <f>"4170053691                    "</f>
        <v xml:space="preserve">4170053691                    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Q1505">
        <v>44.73</v>
      </c>
      <c r="AR1505">
        <v>0</v>
      </c>
      <c r="AS1505">
        <v>0</v>
      </c>
      <c r="AT1505">
        <v>0</v>
      </c>
      <c r="AU1505">
        <v>0</v>
      </c>
      <c r="AV1505">
        <v>0</v>
      </c>
      <c r="AW1505">
        <v>0</v>
      </c>
      <c r="AX1505">
        <v>0</v>
      </c>
      <c r="AY1505">
        <v>0</v>
      </c>
      <c r="AZ1505">
        <v>0</v>
      </c>
      <c r="BA1505">
        <v>0</v>
      </c>
      <c r="BB1505">
        <v>0</v>
      </c>
      <c r="BC1505">
        <v>0</v>
      </c>
      <c r="BD1505">
        <v>0</v>
      </c>
      <c r="BE1505">
        <v>0</v>
      </c>
      <c r="BF1505">
        <v>0</v>
      </c>
      <c r="BG1505">
        <v>0</v>
      </c>
      <c r="BH1505">
        <v>1</v>
      </c>
      <c r="BI1505">
        <v>1</v>
      </c>
      <c r="BJ1505">
        <v>0.2</v>
      </c>
      <c r="BK1505">
        <v>1</v>
      </c>
      <c r="BL1505">
        <v>138.88999999999999</v>
      </c>
      <c r="BM1505">
        <v>20.83</v>
      </c>
      <c r="BN1505">
        <v>159.72</v>
      </c>
      <c r="BO1505">
        <v>159.72</v>
      </c>
      <c r="BQ1505" t="s">
        <v>609</v>
      </c>
      <c r="BR1505" t="s">
        <v>84</v>
      </c>
      <c r="BS1505" s="3">
        <v>45881</v>
      </c>
      <c r="BT1505" s="4">
        <v>0.68472222222222223</v>
      </c>
      <c r="BU1505" t="s">
        <v>610</v>
      </c>
      <c r="BV1505" t="s">
        <v>86</v>
      </c>
      <c r="BY1505">
        <v>1200</v>
      </c>
      <c r="BZ1505" t="s">
        <v>330</v>
      </c>
      <c r="CA1505" t="s">
        <v>611</v>
      </c>
      <c r="CC1505" t="s">
        <v>607</v>
      </c>
      <c r="CD1505">
        <v>1390</v>
      </c>
      <c r="CE1505" t="s">
        <v>109</v>
      </c>
      <c r="CF1505" s="3">
        <v>45881</v>
      </c>
      <c r="CI1505">
        <v>1</v>
      </c>
      <c r="CJ1505">
        <v>1</v>
      </c>
      <c r="CK1505">
        <v>23</v>
      </c>
      <c r="CL1505" t="s">
        <v>90</v>
      </c>
    </row>
    <row r="1506" spans="1:90" x14ac:dyDescent="0.3">
      <c r="A1506" t="s">
        <v>72</v>
      </c>
      <c r="B1506" t="s">
        <v>73</v>
      </c>
      <c r="C1506" t="s">
        <v>74</v>
      </c>
      <c r="E1506" t="str">
        <f>"080067165333"</f>
        <v>080067165333</v>
      </c>
      <c r="F1506" s="3">
        <v>45880</v>
      </c>
      <c r="G1506">
        <v>202605</v>
      </c>
      <c r="H1506" t="s">
        <v>75</v>
      </c>
      <c r="I1506" t="s">
        <v>76</v>
      </c>
      <c r="J1506" t="s">
        <v>77</v>
      </c>
      <c r="K1506" t="s">
        <v>78</v>
      </c>
      <c r="L1506" t="s">
        <v>156</v>
      </c>
      <c r="M1506" t="s">
        <v>157</v>
      </c>
      <c r="N1506" t="s">
        <v>1129</v>
      </c>
      <c r="O1506" t="s">
        <v>82</v>
      </c>
      <c r="P1506" t="str">
        <f>"4170053495                    "</f>
        <v xml:space="preserve">4170053495                    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>
        <v>18.03</v>
      </c>
      <c r="AR1506">
        <v>0</v>
      </c>
      <c r="AS1506">
        <v>0</v>
      </c>
      <c r="AT1506">
        <v>0</v>
      </c>
      <c r="AU1506">
        <v>0</v>
      </c>
      <c r="AV1506">
        <v>0</v>
      </c>
      <c r="AW1506">
        <v>0</v>
      </c>
      <c r="AX1506">
        <v>0</v>
      </c>
      <c r="AY1506">
        <v>0</v>
      </c>
      <c r="AZ1506">
        <v>0</v>
      </c>
      <c r="BA1506">
        <v>0</v>
      </c>
      <c r="BB1506">
        <v>0</v>
      </c>
      <c r="BC1506">
        <v>0</v>
      </c>
      <c r="BD1506">
        <v>0</v>
      </c>
      <c r="BE1506">
        <v>0</v>
      </c>
      <c r="BF1506">
        <v>0</v>
      </c>
      <c r="BG1506">
        <v>0</v>
      </c>
      <c r="BH1506">
        <v>1</v>
      </c>
      <c r="BI1506">
        <v>1</v>
      </c>
      <c r="BJ1506">
        <v>0.2</v>
      </c>
      <c r="BK1506">
        <v>1</v>
      </c>
      <c r="BL1506">
        <v>55.99</v>
      </c>
      <c r="BM1506">
        <v>8.4</v>
      </c>
      <c r="BN1506">
        <v>64.39</v>
      </c>
      <c r="BO1506">
        <v>64.39</v>
      </c>
      <c r="BQ1506" t="s">
        <v>1130</v>
      </c>
      <c r="BR1506" t="s">
        <v>84</v>
      </c>
      <c r="BS1506" s="3">
        <v>45881</v>
      </c>
      <c r="BT1506" s="4">
        <v>0.41319444444444442</v>
      </c>
      <c r="BU1506" t="s">
        <v>2085</v>
      </c>
      <c r="BV1506" t="s">
        <v>86</v>
      </c>
      <c r="BY1506">
        <v>1200</v>
      </c>
      <c r="BZ1506" t="s">
        <v>330</v>
      </c>
      <c r="CA1506" t="s">
        <v>1133</v>
      </c>
      <c r="CC1506" t="s">
        <v>157</v>
      </c>
      <c r="CD1506">
        <v>1724</v>
      </c>
      <c r="CE1506" t="s">
        <v>109</v>
      </c>
      <c r="CF1506" s="3">
        <v>45882</v>
      </c>
      <c r="CI1506">
        <v>1</v>
      </c>
      <c r="CJ1506">
        <v>1</v>
      </c>
      <c r="CK1506">
        <v>22</v>
      </c>
      <c r="CL1506" t="s">
        <v>90</v>
      </c>
    </row>
    <row r="1507" spans="1:90" x14ac:dyDescent="0.3">
      <c r="A1507" t="s">
        <v>72</v>
      </c>
      <c r="B1507" t="s">
        <v>73</v>
      </c>
      <c r="C1507" t="s">
        <v>74</v>
      </c>
      <c r="E1507" t="str">
        <f>"080067165340"</f>
        <v>080067165340</v>
      </c>
      <c r="F1507" s="3">
        <v>45880</v>
      </c>
      <c r="G1507">
        <v>202605</v>
      </c>
      <c r="H1507" t="s">
        <v>75</v>
      </c>
      <c r="I1507" t="s">
        <v>76</v>
      </c>
      <c r="J1507" t="s">
        <v>77</v>
      </c>
      <c r="K1507" t="s">
        <v>78</v>
      </c>
      <c r="L1507" t="s">
        <v>75</v>
      </c>
      <c r="M1507" t="s">
        <v>76</v>
      </c>
      <c r="N1507" t="s">
        <v>890</v>
      </c>
      <c r="O1507" t="s">
        <v>82</v>
      </c>
      <c r="P1507" t="str">
        <f>"4170054194                    "</f>
        <v xml:space="preserve">4170054194                    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Q1507">
        <v>18.03</v>
      </c>
      <c r="AR1507">
        <v>0</v>
      </c>
      <c r="AS1507">
        <v>0</v>
      </c>
      <c r="AT1507">
        <v>0</v>
      </c>
      <c r="AU1507">
        <v>0</v>
      </c>
      <c r="AV1507">
        <v>0</v>
      </c>
      <c r="AW1507">
        <v>0</v>
      </c>
      <c r="AX1507">
        <v>0</v>
      </c>
      <c r="AY1507">
        <v>0</v>
      </c>
      <c r="AZ1507">
        <v>0</v>
      </c>
      <c r="BA1507">
        <v>0</v>
      </c>
      <c r="BB1507">
        <v>0</v>
      </c>
      <c r="BC1507">
        <v>0</v>
      </c>
      <c r="BD1507">
        <v>0</v>
      </c>
      <c r="BE1507">
        <v>0</v>
      </c>
      <c r="BF1507">
        <v>0</v>
      </c>
      <c r="BG1507">
        <v>0</v>
      </c>
      <c r="BH1507">
        <v>1</v>
      </c>
      <c r="BI1507">
        <v>1</v>
      </c>
      <c r="BJ1507">
        <v>0.2</v>
      </c>
      <c r="BK1507">
        <v>1</v>
      </c>
      <c r="BL1507">
        <v>55.99</v>
      </c>
      <c r="BM1507">
        <v>8.4</v>
      </c>
      <c r="BN1507">
        <v>64.39</v>
      </c>
      <c r="BO1507">
        <v>64.39</v>
      </c>
      <c r="BQ1507" t="s">
        <v>891</v>
      </c>
      <c r="BR1507" t="s">
        <v>84</v>
      </c>
      <c r="BS1507" s="3">
        <v>45881</v>
      </c>
      <c r="BT1507" s="4">
        <v>0.41041666666666665</v>
      </c>
      <c r="BU1507" t="s">
        <v>2186</v>
      </c>
      <c r="BV1507" t="s">
        <v>86</v>
      </c>
      <c r="BY1507">
        <v>1200</v>
      </c>
      <c r="BZ1507" t="s">
        <v>330</v>
      </c>
      <c r="CA1507" t="s">
        <v>146</v>
      </c>
      <c r="CC1507" t="s">
        <v>76</v>
      </c>
      <c r="CD1507">
        <v>1619</v>
      </c>
      <c r="CE1507" t="s">
        <v>109</v>
      </c>
      <c r="CF1507" s="3">
        <v>45882</v>
      </c>
      <c r="CI1507">
        <v>1</v>
      </c>
      <c r="CJ1507">
        <v>1</v>
      </c>
      <c r="CK1507">
        <v>22</v>
      </c>
      <c r="CL1507" t="s">
        <v>90</v>
      </c>
    </row>
    <row r="1508" spans="1:90" x14ac:dyDescent="0.3">
      <c r="A1508" t="s">
        <v>72</v>
      </c>
      <c r="B1508" t="s">
        <v>73</v>
      </c>
      <c r="C1508" t="s">
        <v>74</v>
      </c>
      <c r="E1508" t="str">
        <f>"080067165411"</f>
        <v>080067165411</v>
      </c>
      <c r="F1508" s="3">
        <v>45880</v>
      </c>
      <c r="G1508">
        <v>202605</v>
      </c>
      <c r="H1508" t="s">
        <v>75</v>
      </c>
      <c r="I1508" t="s">
        <v>76</v>
      </c>
      <c r="J1508" t="s">
        <v>77</v>
      </c>
      <c r="K1508" t="s">
        <v>78</v>
      </c>
      <c r="L1508" t="s">
        <v>75</v>
      </c>
      <c r="M1508" t="s">
        <v>76</v>
      </c>
      <c r="N1508" t="s">
        <v>537</v>
      </c>
      <c r="O1508" t="s">
        <v>82</v>
      </c>
      <c r="P1508" t="str">
        <f>"4170052961                    "</f>
        <v xml:space="preserve">4170052961                    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>
        <v>0</v>
      </c>
      <c r="AQ1508">
        <v>18.03</v>
      </c>
      <c r="AR1508">
        <v>0</v>
      </c>
      <c r="AS1508">
        <v>0</v>
      </c>
      <c r="AT1508">
        <v>0</v>
      </c>
      <c r="AU1508">
        <v>0</v>
      </c>
      <c r="AV1508">
        <v>0</v>
      </c>
      <c r="AW1508">
        <v>0</v>
      </c>
      <c r="AX1508">
        <v>0</v>
      </c>
      <c r="AY1508">
        <v>0</v>
      </c>
      <c r="AZ1508">
        <v>0</v>
      </c>
      <c r="BA1508">
        <v>0</v>
      </c>
      <c r="BB1508">
        <v>0</v>
      </c>
      <c r="BC1508">
        <v>0</v>
      </c>
      <c r="BD1508">
        <v>0</v>
      </c>
      <c r="BE1508">
        <v>0</v>
      </c>
      <c r="BF1508">
        <v>0</v>
      </c>
      <c r="BG1508">
        <v>0</v>
      </c>
      <c r="BH1508">
        <v>1</v>
      </c>
      <c r="BI1508">
        <v>1</v>
      </c>
      <c r="BJ1508">
        <v>0.2</v>
      </c>
      <c r="BK1508">
        <v>1</v>
      </c>
      <c r="BL1508">
        <v>55.99</v>
      </c>
      <c r="BM1508">
        <v>8.4</v>
      </c>
      <c r="BN1508">
        <v>64.39</v>
      </c>
      <c r="BO1508">
        <v>64.39</v>
      </c>
      <c r="BQ1508" t="s">
        <v>538</v>
      </c>
      <c r="BR1508" t="s">
        <v>84</v>
      </c>
      <c r="BS1508" s="3">
        <v>45881</v>
      </c>
      <c r="BT1508" s="4">
        <v>0.4236111111111111</v>
      </c>
      <c r="BU1508" t="s">
        <v>738</v>
      </c>
      <c r="BV1508" t="s">
        <v>86</v>
      </c>
      <c r="BY1508">
        <v>1200</v>
      </c>
      <c r="BZ1508" t="s">
        <v>330</v>
      </c>
      <c r="CA1508" t="s">
        <v>739</v>
      </c>
      <c r="CC1508" t="s">
        <v>76</v>
      </c>
      <c r="CD1508">
        <v>1619</v>
      </c>
      <c r="CE1508" t="s">
        <v>109</v>
      </c>
      <c r="CF1508" s="3">
        <v>45882</v>
      </c>
      <c r="CI1508">
        <v>1</v>
      </c>
      <c r="CJ1508">
        <v>1</v>
      </c>
      <c r="CK1508">
        <v>22</v>
      </c>
      <c r="CL1508" t="s">
        <v>90</v>
      </c>
    </row>
    <row r="1509" spans="1:90" x14ac:dyDescent="0.3">
      <c r="A1509" t="s">
        <v>72</v>
      </c>
      <c r="B1509" t="s">
        <v>73</v>
      </c>
      <c r="C1509" t="s">
        <v>74</v>
      </c>
      <c r="E1509" t="str">
        <f>"080067165410"</f>
        <v>080067165410</v>
      </c>
      <c r="F1509" s="3">
        <v>45880</v>
      </c>
      <c r="G1509">
        <v>202605</v>
      </c>
      <c r="H1509" t="s">
        <v>75</v>
      </c>
      <c r="I1509" t="s">
        <v>76</v>
      </c>
      <c r="J1509" t="s">
        <v>77</v>
      </c>
      <c r="K1509" t="s">
        <v>78</v>
      </c>
      <c r="L1509" t="s">
        <v>198</v>
      </c>
      <c r="M1509" t="s">
        <v>199</v>
      </c>
      <c r="N1509" t="s">
        <v>713</v>
      </c>
      <c r="O1509" t="s">
        <v>82</v>
      </c>
      <c r="P1509" t="str">
        <f>"4170054200                    "</f>
        <v xml:space="preserve">4170054200                    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Q1509">
        <v>23.09</v>
      </c>
      <c r="AR1509">
        <v>0</v>
      </c>
      <c r="AS1509">
        <v>0</v>
      </c>
      <c r="AT1509">
        <v>0</v>
      </c>
      <c r="AU1509">
        <v>0</v>
      </c>
      <c r="AV1509">
        <v>0</v>
      </c>
      <c r="AW1509">
        <v>0</v>
      </c>
      <c r="AX1509">
        <v>0</v>
      </c>
      <c r="AY1509">
        <v>0</v>
      </c>
      <c r="AZ1509">
        <v>0</v>
      </c>
      <c r="BA1509">
        <v>0</v>
      </c>
      <c r="BB1509">
        <v>0</v>
      </c>
      <c r="BC1509">
        <v>0</v>
      </c>
      <c r="BD1509">
        <v>0</v>
      </c>
      <c r="BE1509">
        <v>0</v>
      </c>
      <c r="BF1509">
        <v>0</v>
      </c>
      <c r="BG1509">
        <v>0</v>
      </c>
      <c r="BH1509">
        <v>1</v>
      </c>
      <c r="BI1509">
        <v>1</v>
      </c>
      <c r="BJ1509">
        <v>1.9</v>
      </c>
      <c r="BK1509">
        <v>2</v>
      </c>
      <c r="BL1509">
        <v>71.69</v>
      </c>
      <c r="BM1509">
        <v>10.75</v>
      </c>
      <c r="BN1509">
        <v>82.44</v>
      </c>
      <c r="BO1509">
        <v>82.44</v>
      </c>
      <c r="BQ1509" t="s">
        <v>714</v>
      </c>
      <c r="BR1509" t="s">
        <v>84</v>
      </c>
      <c r="BS1509" s="3">
        <v>45881</v>
      </c>
      <c r="BT1509" s="4">
        <v>0.38819444444444445</v>
      </c>
      <c r="BU1509" t="s">
        <v>715</v>
      </c>
      <c r="BV1509" t="s">
        <v>86</v>
      </c>
      <c r="BY1509">
        <v>9600</v>
      </c>
      <c r="BZ1509" t="s">
        <v>330</v>
      </c>
      <c r="CA1509" t="s">
        <v>433</v>
      </c>
      <c r="CC1509" t="s">
        <v>199</v>
      </c>
      <c r="CD1509">
        <v>6012</v>
      </c>
      <c r="CE1509" t="s">
        <v>117</v>
      </c>
      <c r="CF1509" s="3">
        <v>45881</v>
      </c>
      <c r="CI1509">
        <v>1</v>
      </c>
      <c r="CJ1509">
        <v>1</v>
      </c>
      <c r="CK1509">
        <v>21</v>
      </c>
      <c r="CL1509" t="s">
        <v>90</v>
      </c>
    </row>
    <row r="1510" spans="1:90" x14ac:dyDescent="0.3">
      <c r="A1510" t="s">
        <v>72</v>
      </c>
      <c r="B1510" t="s">
        <v>73</v>
      </c>
      <c r="C1510" t="s">
        <v>74</v>
      </c>
      <c r="E1510" t="str">
        <f>"080067165535"</f>
        <v>080067165535</v>
      </c>
      <c r="F1510" s="3">
        <v>45880</v>
      </c>
      <c r="G1510">
        <v>202605</v>
      </c>
      <c r="H1510" t="s">
        <v>75</v>
      </c>
      <c r="I1510" t="s">
        <v>76</v>
      </c>
      <c r="J1510" t="s">
        <v>77</v>
      </c>
      <c r="K1510" t="s">
        <v>78</v>
      </c>
      <c r="L1510" t="s">
        <v>75</v>
      </c>
      <c r="M1510" t="s">
        <v>76</v>
      </c>
      <c r="N1510" t="s">
        <v>594</v>
      </c>
      <c r="O1510" t="s">
        <v>82</v>
      </c>
      <c r="P1510" t="str">
        <f>"4170054170                    "</f>
        <v xml:space="preserve">4170054170                    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Q1510">
        <v>18.03</v>
      </c>
      <c r="AR1510">
        <v>0</v>
      </c>
      <c r="AS1510">
        <v>0</v>
      </c>
      <c r="AT1510">
        <v>0</v>
      </c>
      <c r="AU1510">
        <v>0</v>
      </c>
      <c r="AV1510">
        <v>0</v>
      </c>
      <c r="AW1510">
        <v>0</v>
      </c>
      <c r="AX1510">
        <v>0</v>
      </c>
      <c r="AY1510">
        <v>0</v>
      </c>
      <c r="AZ1510">
        <v>0</v>
      </c>
      <c r="BA1510">
        <v>0</v>
      </c>
      <c r="BB1510">
        <v>0</v>
      </c>
      <c r="BC1510">
        <v>0</v>
      </c>
      <c r="BD1510">
        <v>0</v>
      </c>
      <c r="BE1510">
        <v>0</v>
      </c>
      <c r="BF1510">
        <v>0</v>
      </c>
      <c r="BG1510">
        <v>0</v>
      </c>
      <c r="BH1510">
        <v>1</v>
      </c>
      <c r="BI1510">
        <v>1</v>
      </c>
      <c r="BJ1510">
        <v>0.2</v>
      </c>
      <c r="BK1510">
        <v>1</v>
      </c>
      <c r="BL1510">
        <v>55.99</v>
      </c>
      <c r="BM1510">
        <v>8.4</v>
      </c>
      <c r="BN1510">
        <v>64.39</v>
      </c>
      <c r="BO1510">
        <v>64.39</v>
      </c>
      <c r="BQ1510" t="s">
        <v>595</v>
      </c>
      <c r="BR1510" t="s">
        <v>84</v>
      </c>
      <c r="BS1510" s="3">
        <v>45881</v>
      </c>
      <c r="BT1510" s="4">
        <v>0.38263888888888886</v>
      </c>
      <c r="BU1510" t="s">
        <v>2187</v>
      </c>
      <c r="BV1510" t="s">
        <v>86</v>
      </c>
      <c r="BY1510">
        <v>1200</v>
      </c>
      <c r="BZ1510" t="s">
        <v>330</v>
      </c>
      <c r="CA1510" t="s">
        <v>1356</v>
      </c>
      <c r="CC1510" t="s">
        <v>76</v>
      </c>
      <c r="CD1510">
        <v>1666</v>
      </c>
      <c r="CE1510" t="s">
        <v>109</v>
      </c>
      <c r="CF1510" s="3">
        <v>45881</v>
      </c>
      <c r="CI1510">
        <v>1</v>
      </c>
      <c r="CJ1510">
        <v>1</v>
      </c>
      <c r="CK1510">
        <v>22</v>
      </c>
      <c r="CL1510" t="s">
        <v>90</v>
      </c>
    </row>
    <row r="1511" spans="1:90" x14ac:dyDescent="0.3">
      <c r="A1511" t="s">
        <v>72</v>
      </c>
      <c r="B1511" t="s">
        <v>73</v>
      </c>
      <c r="C1511" t="s">
        <v>74</v>
      </c>
      <c r="E1511" t="str">
        <f>"080067165529"</f>
        <v>080067165529</v>
      </c>
      <c r="F1511" s="3">
        <v>45880</v>
      </c>
      <c r="G1511">
        <v>202605</v>
      </c>
      <c r="H1511" t="s">
        <v>75</v>
      </c>
      <c r="I1511" t="s">
        <v>76</v>
      </c>
      <c r="J1511" t="s">
        <v>77</v>
      </c>
      <c r="K1511" t="s">
        <v>78</v>
      </c>
      <c r="L1511" t="s">
        <v>325</v>
      </c>
      <c r="M1511" t="s">
        <v>326</v>
      </c>
      <c r="N1511" t="s">
        <v>1012</v>
      </c>
      <c r="O1511" t="s">
        <v>113</v>
      </c>
      <c r="P1511" t="str">
        <f>"4170052715                    "</f>
        <v xml:space="preserve">4170052715                    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0</v>
      </c>
      <c r="AP1511">
        <v>0</v>
      </c>
      <c r="AQ1511">
        <v>18.04</v>
      </c>
      <c r="AR1511">
        <v>0</v>
      </c>
      <c r="AS1511">
        <v>0</v>
      </c>
      <c r="AT1511">
        <v>0</v>
      </c>
      <c r="AU1511">
        <v>0</v>
      </c>
      <c r="AV1511">
        <v>0</v>
      </c>
      <c r="AW1511">
        <v>0</v>
      </c>
      <c r="AX1511">
        <v>0</v>
      </c>
      <c r="AY1511">
        <v>0</v>
      </c>
      <c r="AZ1511">
        <v>0</v>
      </c>
      <c r="BA1511">
        <v>0</v>
      </c>
      <c r="BB1511">
        <v>0</v>
      </c>
      <c r="BC1511">
        <v>0</v>
      </c>
      <c r="BD1511">
        <v>0</v>
      </c>
      <c r="BE1511">
        <v>0</v>
      </c>
      <c r="BF1511">
        <v>0</v>
      </c>
      <c r="BG1511">
        <v>0</v>
      </c>
      <c r="BH1511">
        <v>1</v>
      </c>
      <c r="BI1511">
        <v>3</v>
      </c>
      <c r="BJ1511">
        <v>5.7</v>
      </c>
      <c r="BK1511">
        <v>6</v>
      </c>
      <c r="BL1511">
        <v>56.01</v>
      </c>
      <c r="BM1511">
        <v>8.4</v>
      </c>
      <c r="BN1511">
        <v>64.41</v>
      </c>
      <c r="BO1511">
        <v>64.41</v>
      </c>
      <c r="BQ1511" t="s">
        <v>1013</v>
      </c>
      <c r="BR1511" t="s">
        <v>84</v>
      </c>
      <c r="BS1511" s="3">
        <v>45881</v>
      </c>
      <c r="BT1511" s="4">
        <v>0.63680555555555551</v>
      </c>
      <c r="BU1511" t="s">
        <v>2188</v>
      </c>
      <c r="BV1511" t="s">
        <v>86</v>
      </c>
      <c r="BY1511">
        <v>28275</v>
      </c>
      <c r="BZ1511" t="s">
        <v>100</v>
      </c>
      <c r="CA1511" t="s">
        <v>2189</v>
      </c>
      <c r="CC1511" t="s">
        <v>326</v>
      </c>
      <c r="CD1511">
        <v>2092</v>
      </c>
      <c r="CE1511" t="s">
        <v>147</v>
      </c>
      <c r="CF1511" s="3">
        <v>45882</v>
      </c>
      <c r="CI1511">
        <v>1</v>
      </c>
      <c r="CJ1511">
        <v>1</v>
      </c>
      <c r="CK1511">
        <v>32</v>
      </c>
      <c r="CL1511" t="s">
        <v>90</v>
      </c>
    </row>
    <row r="1512" spans="1:90" x14ac:dyDescent="0.3">
      <c r="A1512" t="s">
        <v>72</v>
      </c>
      <c r="B1512" t="s">
        <v>73</v>
      </c>
      <c r="C1512" t="s">
        <v>74</v>
      </c>
      <c r="E1512" t="str">
        <f>"080067165620"</f>
        <v>080067165620</v>
      </c>
      <c r="F1512" s="3">
        <v>45880</v>
      </c>
      <c r="G1512">
        <v>202605</v>
      </c>
      <c r="H1512" t="s">
        <v>75</v>
      </c>
      <c r="I1512" t="s">
        <v>76</v>
      </c>
      <c r="J1512" t="s">
        <v>77</v>
      </c>
      <c r="K1512" t="s">
        <v>78</v>
      </c>
      <c r="L1512" t="s">
        <v>75</v>
      </c>
      <c r="M1512" t="s">
        <v>76</v>
      </c>
      <c r="N1512" t="s">
        <v>1100</v>
      </c>
      <c r="O1512" t="s">
        <v>82</v>
      </c>
      <c r="P1512" t="str">
        <f>"4170054172                    "</f>
        <v xml:space="preserve">4170054172                    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Q1512">
        <v>18.03</v>
      </c>
      <c r="AR1512">
        <v>0</v>
      </c>
      <c r="AS1512">
        <v>0</v>
      </c>
      <c r="AT1512">
        <v>0</v>
      </c>
      <c r="AU1512">
        <v>0</v>
      </c>
      <c r="AV1512">
        <v>0</v>
      </c>
      <c r="AW1512">
        <v>0</v>
      </c>
      <c r="AX1512">
        <v>0</v>
      </c>
      <c r="AY1512">
        <v>0</v>
      </c>
      <c r="AZ1512">
        <v>0</v>
      </c>
      <c r="BA1512">
        <v>0</v>
      </c>
      <c r="BB1512">
        <v>0</v>
      </c>
      <c r="BC1512">
        <v>0</v>
      </c>
      <c r="BD1512">
        <v>0</v>
      </c>
      <c r="BE1512">
        <v>0</v>
      </c>
      <c r="BF1512">
        <v>0</v>
      </c>
      <c r="BG1512">
        <v>0</v>
      </c>
      <c r="BH1512">
        <v>1</v>
      </c>
      <c r="BI1512">
        <v>1</v>
      </c>
      <c r="BJ1512">
        <v>0.2</v>
      </c>
      <c r="BK1512">
        <v>1</v>
      </c>
      <c r="BL1512">
        <v>55.99</v>
      </c>
      <c r="BM1512">
        <v>8.4</v>
      </c>
      <c r="BN1512">
        <v>64.39</v>
      </c>
      <c r="BO1512">
        <v>64.39</v>
      </c>
      <c r="BQ1512" t="s">
        <v>1101</v>
      </c>
      <c r="BR1512" t="s">
        <v>84</v>
      </c>
      <c r="BS1512" s="3">
        <v>45881</v>
      </c>
      <c r="BT1512" s="4">
        <v>0.36319444444444443</v>
      </c>
      <c r="BU1512" t="s">
        <v>2095</v>
      </c>
      <c r="BV1512" t="s">
        <v>86</v>
      </c>
      <c r="BY1512">
        <v>1200</v>
      </c>
      <c r="BZ1512" t="s">
        <v>330</v>
      </c>
      <c r="CA1512" t="s">
        <v>1743</v>
      </c>
      <c r="CC1512" t="s">
        <v>76</v>
      </c>
      <c r="CD1512">
        <v>1600</v>
      </c>
      <c r="CE1512" t="s">
        <v>109</v>
      </c>
      <c r="CF1512" s="3">
        <v>45881</v>
      </c>
      <c r="CI1512">
        <v>1</v>
      </c>
      <c r="CJ1512">
        <v>1</v>
      </c>
      <c r="CK1512">
        <v>22</v>
      </c>
      <c r="CL1512" t="s">
        <v>90</v>
      </c>
    </row>
    <row r="1513" spans="1:90" x14ac:dyDescent="0.3">
      <c r="A1513" t="s">
        <v>72</v>
      </c>
      <c r="B1513" t="s">
        <v>73</v>
      </c>
      <c r="C1513" t="s">
        <v>74</v>
      </c>
      <c r="E1513" t="str">
        <f>"080067165628"</f>
        <v>080067165628</v>
      </c>
      <c r="F1513" s="3">
        <v>45880</v>
      </c>
      <c r="G1513">
        <v>202605</v>
      </c>
      <c r="H1513" t="s">
        <v>75</v>
      </c>
      <c r="I1513" t="s">
        <v>76</v>
      </c>
      <c r="J1513" t="s">
        <v>77</v>
      </c>
      <c r="K1513" t="s">
        <v>78</v>
      </c>
      <c r="L1513" t="s">
        <v>325</v>
      </c>
      <c r="M1513" t="s">
        <v>326</v>
      </c>
      <c r="N1513" t="s">
        <v>1012</v>
      </c>
      <c r="O1513" t="s">
        <v>113</v>
      </c>
      <c r="P1513" t="str">
        <f>"4170052716                    "</f>
        <v xml:space="preserve">4170052716                    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Q1513">
        <v>18.04</v>
      </c>
      <c r="AR1513">
        <v>0</v>
      </c>
      <c r="AS1513">
        <v>0</v>
      </c>
      <c r="AT1513">
        <v>0</v>
      </c>
      <c r="AU1513">
        <v>0</v>
      </c>
      <c r="AV1513">
        <v>0</v>
      </c>
      <c r="AW1513">
        <v>0</v>
      </c>
      <c r="AX1513">
        <v>0</v>
      </c>
      <c r="AY1513">
        <v>0</v>
      </c>
      <c r="AZ1513">
        <v>0</v>
      </c>
      <c r="BA1513">
        <v>0</v>
      </c>
      <c r="BB1513">
        <v>0</v>
      </c>
      <c r="BC1513">
        <v>0</v>
      </c>
      <c r="BD1513">
        <v>0</v>
      </c>
      <c r="BE1513">
        <v>0</v>
      </c>
      <c r="BF1513">
        <v>0</v>
      </c>
      <c r="BG1513">
        <v>0</v>
      </c>
      <c r="BH1513">
        <v>1</v>
      </c>
      <c r="BI1513">
        <v>2</v>
      </c>
      <c r="BJ1513">
        <v>3.7</v>
      </c>
      <c r="BK1513">
        <v>4</v>
      </c>
      <c r="BL1513">
        <v>56.01</v>
      </c>
      <c r="BM1513">
        <v>8.4</v>
      </c>
      <c r="BN1513">
        <v>64.41</v>
      </c>
      <c r="BO1513">
        <v>64.41</v>
      </c>
      <c r="BQ1513" t="s">
        <v>1013</v>
      </c>
      <c r="BR1513" t="s">
        <v>84</v>
      </c>
      <c r="BS1513" s="3">
        <v>45881</v>
      </c>
      <c r="BT1513" s="4">
        <v>0.63680555555555551</v>
      </c>
      <c r="BU1513" t="s">
        <v>2188</v>
      </c>
      <c r="BV1513" t="s">
        <v>86</v>
      </c>
      <c r="BY1513">
        <v>18304</v>
      </c>
      <c r="BZ1513" t="s">
        <v>100</v>
      </c>
      <c r="CA1513" t="s">
        <v>2189</v>
      </c>
      <c r="CC1513" t="s">
        <v>326</v>
      </c>
      <c r="CD1513">
        <v>2092</v>
      </c>
      <c r="CE1513" t="s">
        <v>147</v>
      </c>
      <c r="CF1513" s="3">
        <v>45882</v>
      </c>
      <c r="CI1513">
        <v>1</v>
      </c>
      <c r="CJ1513">
        <v>1</v>
      </c>
      <c r="CK1513">
        <v>32</v>
      </c>
      <c r="CL1513" t="s">
        <v>90</v>
      </c>
    </row>
    <row r="1514" spans="1:90" x14ac:dyDescent="0.3">
      <c r="A1514" t="s">
        <v>72</v>
      </c>
      <c r="B1514" t="s">
        <v>73</v>
      </c>
      <c r="C1514" t="s">
        <v>74</v>
      </c>
      <c r="E1514" t="str">
        <f>"080067165701"</f>
        <v>080067165701</v>
      </c>
      <c r="F1514" s="3">
        <v>45880</v>
      </c>
      <c r="G1514">
        <v>202605</v>
      </c>
      <c r="H1514" t="s">
        <v>75</v>
      </c>
      <c r="I1514" t="s">
        <v>76</v>
      </c>
      <c r="J1514" t="s">
        <v>77</v>
      </c>
      <c r="K1514" t="s">
        <v>78</v>
      </c>
      <c r="L1514" t="s">
        <v>325</v>
      </c>
      <c r="M1514" t="s">
        <v>326</v>
      </c>
      <c r="N1514" t="s">
        <v>1012</v>
      </c>
      <c r="O1514" t="s">
        <v>82</v>
      </c>
      <c r="P1514" t="str">
        <f>"4170053175                    "</f>
        <v xml:space="preserve">4170053175                    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Q1514">
        <v>18.03</v>
      </c>
      <c r="AR1514">
        <v>0</v>
      </c>
      <c r="AS1514">
        <v>0</v>
      </c>
      <c r="AT1514">
        <v>0</v>
      </c>
      <c r="AU1514">
        <v>0</v>
      </c>
      <c r="AV1514">
        <v>0</v>
      </c>
      <c r="AW1514">
        <v>0</v>
      </c>
      <c r="AX1514">
        <v>0</v>
      </c>
      <c r="AY1514">
        <v>0</v>
      </c>
      <c r="AZ1514">
        <v>0</v>
      </c>
      <c r="BA1514">
        <v>0</v>
      </c>
      <c r="BB1514">
        <v>0</v>
      </c>
      <c r="BC1514">
        <v>0</v>
      </c>
      <c r="BD1514">
        <v>0</v>
      </c>
      <c r="BE1514">
        <v>0</v>
      </c>
      <c r="BF1514">
        <v>0</v>
      </c>
      <c r="BG1514">
        <v>0</v>
      </c>
      <c r="BH1514">
        <v>1</v>
      </c>
      <c r="BI1514">
        <v>1</v>
      </c>
      <c r="BJ1514">
        <v>0.2</v>
      </c>
      <c r="BK1514">
        <v>1</v>
      </c>
      <c r="BL1514">
        <v>55.99</v>
      </c>
      <c r="BM1514">
        <v>8.4</v>
      </c>
      <c r="BN1514">
        <v>64.39</v>
      </c>
      <c r="BO1514">
        <v>64.39</v>
      </c>
      <c r="BQ1514" t="s">
        <v>1013</v>
      </c>
      <c r="BR1514" t="s">
        <v>84</v>
      </c>
      <c r="BS1514" s="3">
        <v>45881</v>
      </c>
      <c r="BT1514" s="4">
        <v>0.63680555555555551</v>
      </c>
      <c r="BU1514" t="s">
        <v>2188</v>
      </c>
      <c r="BV1514" t="s">
        <v>90</v>
      </c>
      <c r="BY1514">
        <v>1200</v>
      </c>
      <c r="BZ1514" t="s">
        <v>330</v>
      </c>
      <c r="CA1514" t="s">
        <v>2189</v>
      </c>
      <c r="CC1514" t="s">
        <v>326</v>
      </c>
      <c r="CD1514">
        <v>2092</v>
      </c>
      <c r="CE1514" t="s">
        <v>109</v>
      </c>
      <c r="CF1514" s="3">
        <v>45882</v>
      </c>
      <c r="CI1514">
        <v>1</v>
      </c>
      <c r="CJ1514">
        <v>1</v>
      </c>
      <c r="CK1514">
        <v>22</v>
      </c>
      <c r="CL1514" t="s">
        <v>90</v>
      </c>
    </row>
    <row r="1515" spans="1:90" x14ac:dyDescent="0.3">
      <c r="A1515" t="s">
        <v>72</v>
      </c>
      <c r="B1515" t="s">
        <v>73</v>
      </c>
      <c r="C1515" t="s">
        <v>74</v>
      </c>
      <c r="E1515" t="str">
        <f>"080067165707"</f>
        <v>080067165707</v>
      </c>
      <c r="F1515" s="3">
        <v>45880</v>
      </c>
      <c r="G1515">
        <v>202605</v>
      </c>
      <c r="H1515" t="s">
        <v>75</v>
      </c>
      <c r="I1515" t="s">
        <v>76</v>
      </c>
      <c r="J1515" t="s">
        <v>77</v>
      </c>
      <c r="K1515" t="s">
        <v>78</v>
      </c>
      <c r="L1515" t="s">
        <v>1880</v>
      </c>
      <c r="M1515" t="s">
        <v>1881</v>
      </c>
      <c r="N1515" t="s">
        <v>2190</v>
      </c>
      <c r="O1515" t="s">
        <v>95</v>
      </c>
      <c r="P1515" t="str">
        <f>"4170053440                    "</f>
        <v xml:space="preserve">4170053440                    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0</v>
      </c>
      <c r="AQ1515">
        <v>49.3</v>
      </c>
      <c r="AR1515">
        <v>0</v>
      </c>
      <c r="AS1515">
        <v>0</v>
      </c>
      <c r="AT1515">
        <v>0</v>
      </c>
      <c r="AU1515">
        <v>0</v>
      </c>
      <c r="AV1515">
        <v>0</v>
      </c>
      <c r="AW1515">
        <v>0</v>
      </c>
      <c r="AX1515">
        <v>0</v>
      </c>
      <c r="AY1515">
        <v>0</v>
      </c>
      <c r="AZ1515">
        <v>0</v>
      </c>
      <c r="BA1515">
        <v>0</v>
      </c>
      <c r="BB1515">
        <v>0</v>
      </c>
      <c r="BC1515">
        <v>0</v>
      </c>
      <c r="BD1515">
        <v>0</v>
      </c>
      <c r="BE1515">
        <v>0</v>
      </c>
      <c r="BF1515">
        <v>0</v>
      </c>
      <c r="BG1515">
        <v>0</v>
      </c>
      <c r="BH1515">
        <v>1</v>
      </c>
      <c r="BI1515">
        <v>12</v>
      </c>
      <c r="BJ1515">
        <v>5.2</v>
      </c>
      <c r="BK1515">
        <v>12</v>
      </c>
      <c r="BL1515">
        <v>158.96</v>
      </c>
      <c r="BM1515">
        <v>23.84</v>
      </c>
      <c r="BN1515">
        <v>182.8</v>
      </c>
      <c r="BO1515">
        <v>182.8</v>
      </c>
      <c r="BQ1515" t="s">
        <v>2191</v>
      </c>
      <c r="BR1515" t="s">
        <v>84</v>
      </c>
      <c r="BS1515" s="3">
        <v>45882</v>
      </c>
      <c r="BT1515" s="4">
        <v>0.46111111111111114</v>
      </c>
      <c r="BU1515" t="s">
        <v>2192</v>
      </c>
      <c r="BV1515" t="s">
        <v>90</v>
      </c>
      <c r="BY1515">
        <v>26013</v>
      </c>
      <c r="BZ1515" t="s">
        <v>100</v>
      </c>
      <c r="CC1515" t="s">
        <v>1881</v>
      </c>
      <c r="CD1515">
        <v>1438</v>
      </c>
      <c r="CE1515" t="s">
        <v>1164</v>
      </c>
      <c r="CF1515" s="3">
        <v>45882</v>
      </c>
      <c r="CI1515">
        <v>1</v>
      </c>
      <c r="CJ1515">
        <v>2</v>
      </c>
      <c r="CK1515">
        <v>44</v>
      </c>
      <c r="CL1515" t="s">
        <v>90</v>
      </c>
    </row>
    <row r="1516" spans="1:90" x14ac:dyDescent="0.3">
      <c r="A1516" t="s">
        <v>72</v>
      </c>
      <c r="B1516" t="s">
        <v>73</v>
      </c>
      <c r="C1516" t="s">
        <v>74</v>
      </c>
      <c r="E1516" t="str">
        <f>"080067165782"</f>
        <v>080067165782</v>
      </c>
      <c r="F1516" s="3">
        <v>45880</v>
      </c>
      <c r="G1516">
        <v>202605</v>
      </c>
      <c r="H1516" t="s">
        <v>75</v>
      </c>
      <c r="I1516" t="s">
        <v>76</v>
      </c>
      <c r="J1516" t="s">
        <v>77</v>
      </c>
      <c r="K1516" t="s">
        <v>78</v>
      </c>
      <c r="L1516" t="s">
        <v>75</v>
      </c>
      <c r="M1516" t="s">
        <v>76</v>
      </c>
      <c r="N1516" t="s">
        <v>1100</v>
      </c>
      <c r="O1516" t="s">
        <v>82</v>
      </c>
      <c r="P1516" t="str">
        <f>"4170054180                    "</f>
        <v xml:space="preserve">4170054180                    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Q1516">
        <v>18.03</v>
      </c>
      <c r="AR1516">
        <v>0</v>
      </c>
      <c r="AS1516">
        <v>0</v>
      </c>
      <c r="AT1516">
        <v>0</v>
      </c>
      <c r="AU1516">
        <v>0</v>
      </c>
      <c r="AV1516">
        <v>0</v>
      </c>
      <c r="AW1516">
        <v>0</v>
      </c>
      <c r="AX1516">
        <v>0</v>
      </c>
      <c r="AY1516">
        <v>0</v>
      </c>
      <c r="AZ1516">
        <v>0</v>
      </c>
      <c r="BA1516">
        <v>0</v>
      </c>
      <c r="BB1516">
        <v>0</v>
      </c>
      <c r="BC1516">
        <v>0</v>
      </c>
      <c r="BD1516">
        <v>0</v>
      </c>
      <c r="BE1516">
        <v>0</v>
      </c>
      <c r="BF1516">
        <v>0</v>
      </c>
      <c r="BG1516">
        <v>0</v>
      </c>
      <c r="BH1516">
        <v>1</v>
      </c>
      <c r="BI1516">
        <v>1</v>
      </c>
      <c r="BJ1516">
        <v>0.2</v>
      </c>
      <c r="BK1516">
        <v>1</v>
      </c>
      <c r="BL1516">
        <v>55.99</v>
      </c>
      <c r="BM1516">
        <v>8.4</v>
      </c>
      <c r="BN1516">
        <v>64.39</v>
      </c>
      <c r="BO1516">
        <v>64.39</v>
      </c>
      <c r="BQ1516" t="s">
        <v>1101</v>
      </c>
      <c r="BR1516" t="s">
        <v>84</v>
      </c>
      <c r="BS1516" s="3">
        <v>45881</v>
      </c>
      <c r="BT1516" s="4">
        <v>0.36319444444444443</v>
      </c>
      <c r="BU1516" t="s">
        <v>2095</v>
      </c>
      <c r="BV1516" t="s">
        <v>86</v>
      </c>
      <c r="BY1516">
        <v>1200</v>
      </c>
      <c r="BZ1516" t="s">
        <v>330</v>
      </c>
      <c r="CA1516" t="s">
        <v>1743</v>
      </c>
      <c r="CC1516" t="s">
        <v>76</v>
      </c>
      <c r="CD1516">
        <v>1600</v>
      </c>
      <c r="CE1516" t="s">
        <v>109</v>
      </c>
      <c r="CF1516" s="3">
        <v>45881</v>
      </c>
      <c r="CI1516">
        <v>1</v>
      </c>
      <c r="CJ1516">
        <v>1</v>
      </c>
      <c r="CK1516">
        <v>22</v>
      </c>
      <c r="CL1516" t="s">
        <v>90</v>
      </c>
    </row>
    <row r="1517" spans="1:90" x14ac:dyDescent="0.3">
      <c r="A1517" t="s">
        <v>72</v>
      </c>
      <c r="B1517" t="s">
        <v>73</v>
      </c>
      <c r="C1517" t="s">
        <v>74</v>
      </c>
      <c r="E1517" t="str">
        <f>"080067165783"</f>
        <v>080067165783</v>
      </c>
      <c r="F1517" s="3">
        <v>45880</v>
      </c>
      <c r="G1517">
        <v>202605</v>
      </c>
      <c r="H1517" t="s">
        <v>75</v>
      </c>
      <c r="I1517" t="s">
        <v>76</v>
      </c>
      <c r="J1517" t="s">
        <v>77</v>
      </c>
      <c r="K1517" t="s">
        <v>78</v>
      </c>
      <c r="L1517" t="s">
        <v>325</v>
      </c>
      <c r="M1517" t="s">
        <v>326</v>
      </c>
      <c r="N1517" t="s">
        <v>1446</v>
      </c>
      <c r="O1517" t="s">
        <v>113</v>
      </c>
      <c r="P1517" t="str">
        <f>"4170052712                    "</f>
        <v xml:space="preserve">4170052712                    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0</v>
      </c>
      <c r="AQ1517">
        <v>18.04</v>
      </c>
      <c r="AR1517">
        <v>0</v>
      </c>
      <c r="AS1517">
        <v>0</v>
      </c>
      <c r="AT1517">
        <v>0</v>
      </c>
      <c r="AU1517">
        <v>0</v>
      </c>
      <c r="AV1517">
        <v>0</v>
      </c>
      <c r="AW1517">
        <v>0</v>
      </c>
      <c r="AX1517">
        <v>0</v>
      </c>
      <c r="AY1517">
        <v>0</v>
      </c>
      <c r="AZ1517">
        <v>0</v>
      </c>
      <c r="BA1517">
        <v>0</v>
      </c>
      <c r="BB1517">
        <v>0</v>
      </c>
      <c r="BC1517">
        <v>0</v>
      </c>
      <c r="BD1517">
        <v>0</v>
      </c>
      <c r="BE1517">
        <v>0</v>
      </c>
      <c r="BF1517">
        <v>0</v>
      </c>
      <c r="BG1517">
        <v>0</v>
      </c>
      <c r="BH1517">
        <v>1</v>
      </c>
      <c r="BI1517">
        <v>3</v>
      </c>
      <c r="BJ1517">
        <v>5</v>
      </c>
      <c r="BK1517">
        <v>5</v>
      </c>
      <c r="BL1517">
        <v>56.01</v>
      </c>
      <c r="BM1517">
        <v>8.4</v>
      </c>
      <c r="BN1517">
        <v>64.41</v>
      </c>
      <c r="BO1517">
        <v>64.41</v>
      </c>
      <c r="BQ1517" t="s">
        <v>1447</v>
      </c>
      <c r="BR1517" t="s">
        <v>84</v>
      </c>
      <c r="BS1517" s="3">
        <v>45881</v>
      </c>
      <c r="BT1517" s="4">
        <v>0.42777777777777776</v>
      </c>
      <c r="BU1517" t="s">
        <v>2193</v>
      </c>
      <c r="BV1517" t="s">
        <v>86</v>
      </c>
      <c r="BY1517">
        <v>24882</v>
      </c>
      <c r="BZ1517" t="s">
        <v>100</v>
      </c>
      <c r="CA1517" t="s">
        <v>461</v>
      </c>
      <c r="CC1517" t="s">
        <v>326</v>
      </c>
      <c r="CD1517">
        <v>2094</v>
      </c>
      <c r="CE1517" t="s">
        <v>147</v>
      </c>
      <c r="CF1517" s="3">
        <v>45881</v>
      </c>
      <c r="CI1517">
        <v>1</v>
      </c>
      <c r="CJ1517">
        <v>1</v>
      </c>
      <c r="CK1517">
        <v>32</v>
      </c>
      <c r="CL1517" t="s">
        <v>90</v>
      </c>
    </row>
    <row r="1518" spans="1:90" x14ac:dyDescent="0.3">
      <c r="A1518" t="s">
        <v>72</v>
      </c>
      <c r="B1518" t="s">
        <v>73</v>
      </c>
      <c r="C1518" t="s">
        <v>74</v>
      </c>
      <c r="E1518" t="str">
        <f>"080067165838"</f>
        <v>080067165838</v>
      </c>
      <c r="F1518" s="3">
        <v>45880</v>
      </c>
      <c r="G1518">
        <v>202605</v>
      </c>
      <c r="H1518" t="s">
        <v>75</v>
      </c>
      <c r="I1518" t="s">
        <v>76</v>
      </c>
      <c r="J1518" t="s">
        <v>77</v>
      </c>
      <c r="K1518" t="s">
        <v>78</v>
      </c>
      <c r="L1518" t="s">
        <v>234</v>
      </c>
      <c r="M1518" t="s">
        <v>235</v>
      </c>
      <c r="N1518" t="s">
        <v>2194</v>
      </c>
      <c r="O1518" t="s">
        <v>82</v>
      </c>
      <c r="P1518" t="str">
        <f>"4170053431                    "</f>
        <v xml:space="preserve">4170053431                    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>
        <v>23.09</v>
      </c>
      <c r="AR1518">
        <v>0</v>
      </c>
      <c r="AS1518">
        <v>0</v>
      </c>
      <c r="AT1518">
        <v>0</v>
      </c>
      <c r="AU1518">
        <v>0</v>
      </c>
      <c r="AV1518">
        <v>0</v>
      </c>
      <c r="AW1518">
        <v>0</v>
      </c>
      <c r="AX1518">
        <v>0</v>
      </c>
      <c r="AY1518">
        <v>0</v>
      </c>
      <c r="AZ1518">
        <v>0</v>
      </c>
      <c r="BA1518">
        <v>0</v>
      </c>
      <c r="BB1518">
        <v>0</v>
      </c>
      <c r="BC1518">
        <v>0</v>
      </c>
      <c r="BD1518">
        <v>0</v>
      </c>
      <c r="BE1518">
        <v>0</v>
      </c>
      <c r="BF1518">
        <v>0</v>
      </c>
      <c r="BG1518">
        <v>0</v>
      </c>
      <c r="BH1518">
        <v>1</v>
      </c>
      <c r="BI1518">
        <v>1</v>
      </c>
      <c r="BJ1518">
        <v>0.2</v>
      </c>
      <c r="BK1518">
        <v>1</v>
      </c>
      <c r="BL1518">
        <v>71.69</v>
      </c>
      <c r="BM1518">
        <v>10.75</v>
      </c>
      <c r="BN1518">
        <v>82.44</v>
      </c>
      <c r="BO1518">
        <v>82.44</v>
      </c>
      <c r="BQ1518" t="s">
        <v>2195</v>
      </c>
      <c r="BR1518" t="s">
        <v>84</v>
      </c>
      <c r="BS1518" s="3">
        <v>45881</v>
      </c>
      <c r="BT1518" s="4">
        <v>0.35</v>
      </c>
      <c r="BU1518" t="s">
        <v>2196</v>
      </c>
      <c r="BV1518" t="s">
        <v>86</v>
      </c>
      <c r="BY1518">
        <v>1200</v>
      </c>
      <c r="BZ1518" t="s">
        <v>330</v>
      </c>
      <c r="CA1518" t="s">
        <v>2197</v>
      </c>
      <c r="CC1518" t="s">
        <v>235</v>
      </c>
      <c r="CD1518" s="5" t="s">
        <v>240</v>
      </c>
      <c r="CE1518" t="s">
        <v>109</v>
      </c>
      <c r="CF1518" s="3">
        <v>45881</v>
      </c>
      <c r="CI1518">
        <v>1</v>
      </c>
      <c r="CJ1518">
        <v>1</v>
      </c>
      <c r="CK1518">
        <v>21</v>
      </c>
      <c r="CL1518" t="s">
        <v>90</v>
      </c>
    </row>
    <row r="1519" spans="1:90" x14ac:dyDescent="0.3">
      <c r="A1519" t="s">
        <v>72</v>
      </c>
      <c r="B1519" t="s">
        <v>73</v>
      </c>
      <c r="C1519" t="s">
        <v>74</v>
      </c>
      <c r="E1519" t="str">
        <f>"080067165840"</f>
        <v>080067165840</v>
      </c>
      <c r="F1519" s="3">
        <v>45880</v>
      </c>
      <c r="G1519">
        <v>202605</v>
      </c>
      <c r="H1519" t="s">
        <v>75</v>
      </c>
      <c r="I1519" t="s">
        <v>76</v>
      </c>
      <c r="J1519" t="s">
        <v>77</v>
      </c>
      <c r="K1519" t="s">
        <v>78</v>
      </c>
      <c r="L1519" t="s">
        <v>325</v>
      </c>
      <c r="M1519" t="s">
        <v>326</v>
      </c>
      <c r="N1519" t="s">
        <v>2198</v>
      </c>
      <c r="O1519" t="s">
        <v>82</v>
      </c>
      <c r="P1519" t="str">
        <f>"4170053115                    "</f>
        <v xml:space="preserve">4170053115                    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>
        <v>18.03</v>
      </c>
      <c r="AR1519">
        <v>0</v>
      </c>
      <c r="AS1519">
        <v>0</v>
      </c>
      <c r="AT1519">
        <v>0</v>
      </c>
      <c r="AU1519">
        <v>0</v>
      </c>
      <c r="AV1519">
        <v>0</v>
      </c>
      <c r="AW1519">
        <v>0</v>
      </c>
      <c r="AX1519">
        <v>0</v>
      </c>
      <c r="AY1519">
        <v>0</v>
      </c>
      <c r="AZ1519">
        <v>0</v>
      </c>
      <c r="BA1519">
        <v>0</v>
      </c>
      <c r="BB1519">
        <v>0</v>
      </c>
      <c r="BC1519">
        <v>0</v>
      </c>
      <c r="BD1519">
        <v>0</v>
      </c>
      <c r="BE1519">
        <v>0</v>
      </c>
      <c r="BF1519">
        <v>0</v>
      </c>
      <c r="BG1519">
        <v>0</v>
      </c>
      <c r="BH1519">
        <v>1</v>
      </c>
      <c r="BI1519">
        <v>1</v>
      </c>
      <c r="BJ1519">
        <v>0.2</v>
      </c>
      <c r="BK1519">
        <v>1</v>
      </c>
      <c r="BL1519">
        <v>55.99</v>
      </c>
      <c r="BM1519">
        <v>8.4</v>
      </c>
      <c r="BN1519">
        <v>64.39</v>
      </c>
      <c r="BO1519">
        <v>64.39</v>
      </c>
      <c r="BQ1519" t="s">
        <v>2199</v>
      </c>
      <c r="BR1519" t="s">
        <v>84</v>
      </c>
      <c r="BS1519" s="3">
        <v>45881</v>
      </c>
      <c r="BT1519" s="4">
        <v>0.37013888888888891</v>
      </c>
      <c r="BU1519" t="s">
        <v>2200</v>
      </c>
      <c r="BV1519" t="s">
        <v>86</v>
      </c>
      <c r="BY1519">
        <v>1200</v>
      </c>
      <c r="BZ1519" t="s">
        <v>330</v>
      </c>
      <c r="CA1519" t="s">
        <v>2201</v>
      </c>
      <c r="CC1519" t="s">
        <v>326</v>
      </c>
      <c r="CD1519">
        <v>2157</v>
      </c>
      <c r="CE1519" t="s">
        <v>109</v>
      </c>
      <c r="CF1519" s="3">
        <v>45882</v>
      </c>
      <c r="CI1519">
        <v>1</v>
      </c>
      <c r="CJ1519">
        <v>1</v>
      </c>
      <c r="CK1519">
        <v>22</v>
      </c>
      <c r="CL1519" t="s">
        <v>90</v>
      </c>
    </row>
    <row r="1520" spans="1:90" x14ac:dyDescent="0.3">
      <c r="A1520" t="s">
        <v>72</v>
      </c>
      <c r="B1520" t="s">
        <v>73</v>
      </c>
      <c r="C1520" t="s">
        <v>74</v>
      </c>
      <c r="E1520" t="str">
        <f>"080067165882"</f>
        <v>080067165882</v>
      </c>
      <c r="F1520" s="3">
        <v>45880</v>
      </c>
      <c r="G1520">
        <v>202605</v>
      </c>
      <c r="H1520" t="s">
        <v>75</v>
      </c>
      <c r="I1520" t="s">
        <v>76</v>
      </c>
      <c r="J1520" t="s">
        <v>77</v>
      </c>
      <c r="K1520" t="s">
        <v>78</v>
      </c>
      <c r="L1520" t="s">
        <v>303</v>
      </c>
      <c r="M1520" t="s">
        <v>304</v>
      </c>
      <c r="N1520" t="s">
        <v>840</v>
      </c>
      <c r="O1520" t="s">
        <v>82</v>
      </c>
      <c r="P1520" t="str">
        <f>"4170054000                    "</f>
        <v xml:space="preserve">4170054000                    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0</v>
      </c>
      <c r="AP1520">
        <v>0</v>
      </c>
      <c r="AQ1520">
        <v>44.73</v>
      </c>
      <c r="AR1520">
        <v>0</v>
      </c>
      <c r="AS1520">
        <v>0</v>
      </c>
      <c r="AT1520">
        <v>0</v>
      </c>
      <c r="AU1520">
        <v>0</v>
      </c>
      <c r="AV1520">
        <v>0</v>
      </c>
      <c r="AW1520">
        <v>0</v>
      </c>
      <c r="AX1520">
        <v>0</v>
      </c>
      <c r="AY1520">
        <v>0</v>
      </c>
      <c r="AZ1520">
        <v>0</v>
      </c>
      <c r="BA1520">
        <v>0</v>
      </c>
      <c r="BB1520">
        <v>0</v>
      </c>
      <c r="BC1520">
        <v>0</v>
      </c>
      <c r="BD1520">
        <v>0</v>
      </c>
      <c r="BE1520">
        <v>0</v>
      </c>
      <c r="BF1520">
        <v>0</v>
      </c>
      <c r="BG1520">
        <v>0</v>
      </c>
      <c r="BH1520">
        <v>1</v>
      </c>
      <c r="BI1520">
        <v>2</v>
      </c>
      <c r="BJ1520">
        <v>1.4</v>
      </c>
      <c r="BK1520">
        <v>2</v>
      </c>
      <c r="BL1520">
        <v>138.88999999999999</v>
      </c>
      <c r="BM1520">
        <v>20.83</v>
      </c>
      <c r="BN1520">
        <v>159.72</v>
      </c>
      <c r="BO1520">
        <v>159.72</v>
      </c>
      <c r="BQ1520" t="s">
        <v>841</v>
      </c>
      <c r="BR1520" t="s">
        <v>84</v>
      </c>
      <c r="BS1520" s="3">
        <v>45881</v>
      </c>
      <c r="BT1520" s="4">
        <v>0.49444444444444446</v>
      </c>
      <c r="BU1520" t="s">
        <v>2078</v>
      </c>
      <c r="BV1520" t="s">
        <v>86</v>
      </c>
      <c r="BY1520">
        <v>6750</v>
      </c>
      <c r="BZ1520" t="s">
        <v>330</v>
      </c>
      <c r="CA1520" t="s">
        <v>308</v>
      </c>
      <c r="CC1520" t="s">
        <v>304</v>
      </c>
      <c r="CD1520">
        <v>7130</v>
      </c>
      <c r="CE1520" t="s">
        <v>117</v>
      </c>
      <c r="CF1520" s="3">
        <v>45882</v>
      </c>
      <c r="CI1520">
        <v>1</v>
      </c>
      <c r="CJ1520">
        <v>1</v>
      </c>
      <c r="CK1520">
        <v>23</v>
      </c>
      <c r="CL1520" t="s">
        <v>90</v>
      </c>
    </row>
    <row r="1521" spans="1:90" x14ac:dyDescent="0.3">
      <c r="A1521" t="s">
        <v>72</v>
      </c>
      <c r="B1521" t="s">
        <v>73</v>
      </c>
      <c r="C1521" t="s">
        <v>74</v>
      </c>
      <c r="E1521" t="str">
        <f>"080067165931"</f>
        <v>080067165931</v>
      </c>
      <c r="F1521" s="3">
        <v>45880</v>
      </c>
      <c r="G1521">
        <v>202605</v>
      </c>
      <c r="H1521" t="s">
        <v>75</v>
      </c>
      <c r="I1521" t="s">
        <v>76</v>
      </c>
      <c r="J1521" t="s">
        <v>77</v>
      </c>
      <c r="K1521" t="s">
        <v>78</v>
      </c>
      <c r="L1521" t="s">
        <v>162</v>
      </c>
      <c r="M1521" t="s">
        <v>163</v>
      </c>
      <c r="N1521" t="s">
        <v>2202</v>
      </c>
      <c r="O1521" t="s">
        <v>82</v>
      </c>
      <c r="P1521" t="str">
        <f>"4170054199                    "</f>
        <v xml:space="preserve">4170054199                    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0</v>
      </c>
      <c r="AQ1521">
        <v>23.09</v>
      </c>
      <c r="AR1521">
        <v>0</v>
      </c>
      <c r="AS1521">
        <v>0</v>
      </c>
      <c r="AT1521">
        <v>0</v>
      </c>
      <c r="AU1521">
        <v>0</v>
      </c>
      <c r="AV1521">
        <v>0</v>
      </c>
      <c r="AW1521">
        <v>0</v>
      </c>
      <c r="AX1521">
        <v>0</v>
      </c>
      <c r="AY1521">
        <v>0</v>
      </c>
      <c r="AZ1521">
        <v>0</v>
      </c>
      <c r="BA1521">
        <v>0</v>
      </c>
      <c r="BB1521">
        <v>0</v>
      </c>
      <c r="BC1521">
        <v>0</v>
      </c>
      <c r="BD1521">
        <v>0</v>
      </c>
      <c r="BE1521">
        <v>0</v>
      </c>
      <c r="BF1521">
        <v>0</v>
      </c>
      <c r="BG1521">
        <v>0</v>
      </c>
      <c r="BH1521">
        <v>1</v>
      </c>
      <c r="BI1521">
        <v>2</v>
      </c>
      <c r="BJ1521">
        <v>1.2</v>
      </c>
      <c r="BK1521">
        <v>2</v>
      </c>
      <c r="BL1521">
        <v>71.69</v>
      </c>
      <c r="BM1521">
        <v>10.75</v>
      </c>
      <c r="BN1521">
        <v>82.44</v>
      </c>
      <c r="BO1521">
        <v>82.44</v>
      </c>
      <c r="BQ1521" t="s">
        <v>2203</v>
      </c>
      <c r="BR1521" t="s">
        <v>84</v>
      </c>
      <c r="BS1521" s="3">
        <v>45882</v>
      </c>
      <c r="BT1521" s="4">
        <v>0.41666666666666669</v>
      </c>
      <c r="BU1521" t="s">
        <v>2204</v>
      </c>
      <c r="BV1521" t="s">
        <v>90</v>
      </c>
      <c r="BY1521">
        <v>6000</v>
      </c>
      <c r="BZ1521" t="s">
        <v>330</v>
      </c>
      <c r="CA1521" t="s">
        <v>919</v>
      </c>
      <c r="CC1521" t="s">
        <v>163</v>
      </c>
      <c r="CD1521">
        <v>3201</v>
      </c>
      <c r="CE1521" t="s">
        <v>117</v>
      </c>
      <c r="CF1521" s="3">
        <v>45883</v>
      </c>
      <c r="CI1521">
        <v>1</v>
      </c>
      <c r="CJ1521">
        <v>2</v>
      </c>
      <c r="CK1521">
        <v>21</v>
      </c>
      <c r="CL1521" t="s">
        <v>90</v>
      </c>
    </row>
    <row r="1522" spans="1:90" x14ac:dyDescent="0.3">
      <c r="A1522" t="s">
        <v>72</v>
      </c>
      <c r="B1522" t="s">
        <v>73</v>
      </c>
      <c r="C1522" t="s">
        <v>74</v>
      </c>
      <c r="E1522" t="str">
        <f>"080011591994"</f>
        <v>080011591994</v>
      </c>
      <c r="F1522" s="3">
        <v>45880</v>
      </c>
      <c r="G1522">
        <v>202605</v>
      </c>
      <c r="H1522" t="s">
        <v>110</v>
      </c>
      <c r="I1522" t="s">
        <v>111</v>
      </c>
      <c r="J1522" t="s">
        <v>2205</v>
      </c>
      <c r="K1522" t="s">
        <v>78</v>
      </c>
      <c r="L1522" t="s">
        <v>75</v>
      </c>
      <c r="M1522" t="s">
        <v>76</v>
      </c>
      <c r="N1522" t="s">
        <v>94</v>
      </c>
      <c r="O1522" t="s">
        <v>95</v>
      </c>
      <c r="P1522" t="str">
        <f>"PO 1052342099                 "</f>
        <v xml:space="preserve">PO 1052342099                 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0</v>
      </c>
      <c r="AP1522">
        <v>0</v>
      </c>
      <c r="AQ1522">
        <v>34.450000000000003</v>
      </c>
      <c r="AR1522">
        <v>0</v>
      </c>
      <c r="AS1522">
        <v>0</v>
      </c>
      <c r="AT1522">
        <v>0</v>
      </c>
      <c r="AU1522">
        <v>0</v>
      </c>
      <c r="AV1522">
        <v>0</v>
      </c>
      <c r="AW1522">
        <v>0</v>
      </c>
      <c r="AX1522">
        <v>0</v>
      </c>
      <c r="AY1522">
        <v>0</v>
      </c>
      <c r="AZ1522">
        <v>0</v>
      </c>
      <c r="BA1522">
        <v>0</v>
      </c>
      <c r="BB1522">
        <v>0</v>
      </c>
      <c r="BC1522">
        <v>0</v>
      </c>
      <c r="BD1522">
        <v>0</v>
      </c>
      <c r="BE1522">
        <v>0</v>
      </c>
      <c r="BF1522">
        <v>0</v>
      </c>
      <c r="BG1522">
        <v>0</v>
      </c>
      <c r="BH1522">
        <v>2</v>
      </c>
      <c r="BI1522">
        <v>4.0999999999999996</v>
      </c>
      <c r="BJ1522">
        <v>14.4</v>
      </c>
      <c r="BK1522">
        <v>15</v>
      </c>
      <c r="BL1522">
        <v>112.84</v>
      </c>
      <c r="BM1522">
        <v>16.93</v>
      </c>
      <c r="BN1522">
        <v>129.77000000000001</v>
      </c>
      <c r="BO1522">
        <v>129.77000000000001</v>
      </c>
      <c r="BP1522" t="s">
        <v>96</v>
      </c>
      <c r="BQ1522" t="s">
        <v>97</v>
      </c>
      <c r="BR1522" t="s">
        <v>2206</v>
      </c>
      <c r="BS1522" s="3">
        <v>45881</v>
      </c>
      <c r="BT1522" s="4">
        <v>0.43055555555555558</v>
      </c>
      <c r="BU1522" t="s">
        <v>245</v>
      </c>
      <c r="BV1522" t="s">
        <v>86</v>
      </c>
      <c r="BY1522">
        <v>36000</v>
      </c>
      <c r="BZ1522" t="s">
        <v>100</v>
      </c>
      <c r="CA1522" t="s">
        <v>1743</v>
      </c>
      <c r="CC1522" t="s">
        <v>76</v>
      </c>
      <c r="CD1522">
        <v>1619</v>
      </c>
      <c r="CE1522" t="s">
        <v>102</v>
      </c>
      <c r="CF1522" s="3">
        <v>45881</v>
      </c>
      <c r="CI1522">
        <v>1</v>
      </c>
      <c r="CJ1522">
        <v>1</v>
      </c>
      <c r="CK1522">
        <v>42</v>
      </c>
      <c r="CL1522" t="s">
        <v>90</v>
      </c>
    </row>
    <row r="1523" spans="1:90" x14ac:dyDescent="0.3">
      <c r="A1523" t="s">
        <v>72</v>
      </c>
      <c r="B1523" t="s">
        <v>73</v>
      </c>
      <c r="C1523" t="s">
        <v>74</v>
      </c>
      <c r="E1523" t="str">
        <f>"080067179366"</f>
        <v>080067179366</v>
      </c>
      <c r="F1523" s="3">
        <v>45881</v>
      </c>
      <c r="G1523">
        <v>202605</v>
      </c>
      <c r="H1523" t="s">
        <v>75</v>
      </c>
      <c r="I1523" t="s">
        <v>76</v>
      </c>
      <c r="J1523" t="s">
        <v>77</v>
      </c>
      <c r="K1523" t="s">
        <v>78</v>
      </c>
      <c r="L1523" t="s">
        <v>123</v>
      </c>
      <c r="M1523" t="s">
        <v>124</v>
      </c>
      <c r="N1523" t="s">
        <v>125</v>
      </c>
      <c r="O1523" t="s">
        <v>82</v>
      </c>
      <c r="P1523" t="str">
        <f>"4170054209                    "</f>
        <v xml:space="preserve">4170054209                    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0</v>
      </c>
      <c r="AO1523">
        <v>0</v>
      </c>
      <c r="AP1523">
        <v>0</v>
      </c>
      <c r="AQ1523">
        <v>23.09</v>
      </c>
      <c r="AR1523">
        <v>0</v>
      </c>
      <c r="AS1523">
        <v>0</v>
      </c>
      <c r="AT1523">
        <v>0</v>
      </c>
      <c r="AU1523">
        <v>0</v>
      </c>
      <c r="AV1523">
        <v>0</v>
      </c>
      <c r="AW1523">
        <v>0</v>
      </c>
      <c r="AX1523">
        <v>0</v>
      </c>
      <c r="AY1523">
        <v>0</v>
      </c>
      <c r="AZ1523">
        <v>0</v>
      </c>
      <c r="BA1523">
        <v>0</v>
      </c>
      <c r="BB1523">
        <v>0</v>
      </c>
      <c r="BC1523">
        <v>0</v>
      </c>
      <c r="BD1523">
        <v>0</v>
      </c>
      <c r="BE1523">
        <v>0</v>
      </c>
      <c r="BF1523">
        <v>0</v>
      </c>
      <c r="BG1523">
        <v>0</v>
      </c>
      <c r="BH1523">
        <v>1</v>
      </c>
      <c r="BI1523">
        <v>1</v>
      </c>
      <c r="BJ1523">
        <v>0.2</v>
      </c>
      <c r="BK1523">
        <v>1</v>
      </c>
      <c r="BL1523">
        <v>71.69</v>
      </c>
      <c r="BM1523">
        <v>10.75</v>
      </c>
      <c r="BN1523">
        <v>82.44</v>
      </c>
      <c r="BO1523">
        <v>82.44</v>
      </c>
      <c r="BQ1523" t="s">
        <v>126</v>
      </c>
      <c r="BR1523" t="s">
        <v>84</v>
      </c>
      <c r="BS1523" s="3">
        <v>45882</v>
      </c>
      <c r="BT1523" s="4">
        <v>0.32500000000000001</v>
      </c>
      <c r="BU1523" t="s">
        <v>2207</v>
      </c>
      <c r="BV1523" t="s">
        <v>86</v>
      </c>
      <c r="BY1523">
        <v>1200</v>
      </c>
      <c r="CA1523" t="s">
        <v>128</v>
      </c>
      <c r="CC1523" t="s">
        <v>124</v>
      </c>
      <c r="CD1523">
        <v>7530</v>
      </c>
      <c r="CE1523" t="s">
        <v>109</v>
      </c>
      <c r="CF1523" s="3">
        <v>45883</v>
      </c>
      <c r="CI1523">
        <v>1</v>
      </c>
      <c r="CJ1523">
        <v>1</v>
      </c>
      <c r="CK1523">
        <v>21</v>
      </c>
      <c r="CL1523" t="s">
        <v>90</v>
      </c>
    </row>
    <row r="1524" spans="1:90" x14ac:dyDescent="0.3">
      <c r="A1524" t="s">
        <v>72</v>
      </c>
      <c r="B1524" t="s">
        <v>73</v>
      </c>
      <c r="C1524" t="s">
        <v>74</v>
      </c>
      <c r="E1524" t="str">
        <f>"080067179398"</f>
        <v>080067179398</v>
      </c>
      <c r="F1524" s="3">
        <v>45881</v>
      </c>
      <c r="G1524">
        <v>202605</v>
      </c>
      <c r="H1524" t="s">
        <v>75</v>
      </c>
      <c r="I1524" t="s">
        <v>76</v>
      </c>
      <c r="J1524" t="s">
        <v>77</v>
      </c>
      <c r="K1524" t="s">
        <v>78</v>
      </c>
      <c r="L1524" t="s">
        <v>2208</v>
      </c>
      <c r="M1524" t="s">
        <v>2209</v>
      </c>
      <c r="N1524" t="s">
        <v>2210</v>
      </c>
      <c r="O1524" t="s">
        <v>82</v>
      </c>
      <c r="P1524" t="str">
        <f>"4170054244                    "</f>
        <v xml:space="preserve">4170054244                    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N1524">
        <v>0</v>
      </c>
      <c r="AO1524">
        <v>0</v>
      </c>
      <c r="AP1524">
        <v>0</v>
      </c>
      <c r="AQ1524">
        <v>236.6</v>
      </c>
      <c r="AR1524">
        <v>0</v>
      </c>
      <c r="AS1524">
        <v>0</v>
      </c>
      <c r="AT1524">
        <v>0</v>
      </c>
      <c r="AU1524">
        <v>0</v>
      </c>
      <c r="AV1524">
        <v>0</v>
      </c>
      <c r="AW1524">
        <v>16.739999999999998</v>
      </c>
      <c r="AX1524">
        <v>0</v>
      </c>
      <c r="AY1524">
        <v>0</v>
      </c>
      <c r="AZ1524">
        <v>0</v>
      </c>
      <c r="BA1524">
        <v>0</v>
      </c>
      <c r="BB1524">
        <v>0</v>
      </c>
      <c r="BC1524">
        <v>0</v>
      </c>
      <c r="BD1524">
        <v>0</v>
      </c>
      <c r="BE1524">
        <v>0</v>
      </c>
      <c r="BF1524">
        <v>0</v>
      </c>
      <c r="BG1524">
        <v>0</v>
      </c>
      <c r="BH1524">
        <v>1</v>
      </c>
      <c r="BI1524">
        <v>8</v>
      </c>
      <c r="BJ1524">
        <v>11.5</v>
      </c>
      <c r="BK1524">
        <v>11.5</v>
      </c>
      <c r="BL1524">
        <v>751.44</v>
      </c>
      <c r="BM1524">
        <v>112.72</v>
      </c>
      <c r="BN1524">
        <v>864.16</v>
      </c>
      <c r="BO1524">
        <v>864.16</v>
      </c>
      <c r="BQ1524" t="s">
        <v>2211</v>
      </c>
      <c r="BR1524" t="s">
        <v>84</v>
      </c>
      <c r="BS1524" s="3">
        <v>45883</v>
      </c>
      <c r="BT1524" s="4">
        <v>0.52361111111111114</v>
      </c>
      <c r="BU1524" t="s">
        <v>2212</v>
      </c>
      <c r="BV1524" t="s">
        <v>86</v>
      </c>
      <c r="BY1524">
        <v>57600</v>
      </c>
      <c r="BZ1524" t="s">
        <v>30</v>
      </c>
      <c r="CC1524" t="s">
        <v>2209</v>
      </c>
      <c r="CD1524">
        <v>5660</v>
      </c>
      <c r="CE1524" t="s">
        <v>117</v>
      </c>
      <c r="CF1524" s="3">
        <v>45883</v>
      </c>
      <c r="CI1524">
        <v>2</v>
      </c>
      <c r="CJ1524">
        <v>2</v>
      </c>
      <c r="CK1524">
        <v>23</v>
      </c>
      <c r="CL1524" t="s">
        <v>90</v>
      </c>
    </row>
    <row r="1525" spans="1:90" x14ac:dyDescent="0.3">
      <c r="A1525" t="s">
        <v>72</v>
      </c>
      <c r="B1525" t="s">
        <v>73</v>
      </c>
      <c r="C1525" t="s">
        <v>74</v>
      </c>
      <c r="E1525" t="str">
        <f>"080067180950"</f>
        <v>080067180950</v>
      </c>
      <c r="F1525" s="3">
        <v>45881</v>
      </c>
      <c r="G1525">
        <v>202605</v>
      </c>
      <c r="H1525" t="s">
        <v>75</v>
      </c>
      <c r="I1525" t="s">
        <v>76</v>
      </c>
      <c r="J1525" t="s">
        <v>77</v>
      </c>
      <c r="K1525" t="s">
        <v>78</v>
      </c>
      <c r="L1525" t="s">
        <v>179</v>
      </c>
      <c r="M1525" t="s">
        <v>180</v>
      </c>
      <c r="N1525" t="s">
        <v>275</v>
      </c>
      <c r="O1525" t="s">
        <v>82</v>
      </c>
      <c r="P1525" t="str">
        <f>"4170054191                    "</f>
        <v xml:space="preserve">4170054191                    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0</v>
      </c>
      <c r="AO1525">
        <v>0</v>
      </c>
      <c r="AP1525">
        <v>0</v>
      </c>
      <c r="AQ1525">
        <v>32.47</v>
      </c>
      <c r="AR1525">
        <v>0</v>
      </c>
      <c r="AS1525">
        <v>0</v>
      </c>
      <c r="AT1525">
        <v>0</v>
      </c>
      <c r="AU1525">
        <v>0</v>
      </c>
      <c r="AV1525">
        <v>0</v>
      </c>
      <c r="AW1525">
        <v>0</v>
      </c>
      <c r="AX1525">
        <v>0</v>
      </c>
      <c r="AY1525">
        <v>0</v>
      </c>
      <c r="AZ1525">
        <v>0</v>
      </c>
      <c r="BA1525">
        <v>0</v>
      </c>
      <c r="BB1525">
        <v>0</v>
      </c>
      <c r="BC1525">
        <v>0</v>
      </c>
      <c r="BD1525">
        <v>0</v>
      </c>
      <c r="BE1525">
        <v>0</v>
      </c>
      <c r="BF1525">
        <v>0</v>
      </c>
      <c r="BG1525">
        <v>0</v>
      </c>
      <c r="BH1525">
        <v>1</v>
      </c>
      <c r="BI1525">
        <v>1</v>
      </c>
      <c r="BJ1525">
        <v>0.2</v>
      </c>
      <c r="BK1525">
        <v>1</v>
      </c>
      <c r="BL1525">
        <v>100.82</v>
      </c>
      <c r="BM1525">
        <v>15.12</v>
      </c>
      <c r="BN1525">
        <v>115.94</v>
      </c>
      <c r="BO1525">
        <v>115.94</v>
      </c>
      <c r="BQ1525" t="s">
        <v>276</v>
      </c>
      <c r="BR1525" t="s">
        <v>84</v>
      </c>
      <c r="BS1525" s="3">
        <v>45882</v>
      </c>
      <c r="BT1525" s="4">
        <v>0.38055555555555554</v>
      </c>
      <c r="BU1525" t="s">
        <v>1747</v>
      </c>
      <c r="BV1525" t="s">
        <v>86</v>
      </c>
      <c r="BY1525">
        <v>1200</v>
      </c>
      <c r="CA1525" t="s">
        <v>184</v>
      </c>
      <c r="CC1525" t="s">
        <v>180</v>
      </c>
      <c r="CD1525">
        <v>1748</v>
      </c>
      <c r="CE1525" t="s">
        <v>109</v>
      </c>
      <c r="CF1525" s="3">
        <v>45882</v>
      </c>
      <c r="CI1525">
        <v>1</v>
      </c>
      <c r="CJ1525">
        <v>1</v>
      </c>
      <c r="CK1525">
        <v>24</v>
      </c>
      <c r="CL1525" t="s">
        <v>90</v>
      </c>
    </row>
    <row r="1526" spans="1:90" x14ac:dyDescent="0.3">
      <c r="A1526" t="s">
        <v>72</v>
      </c>
      <c r="B1526" t="s">
        <v>73</v>
      </c>
      <c r="C1526" t="s">
        <v>74</v>
      </c>
      <c r="E1526" t="str">
        <f>"080067180967"</f>
        <v>080067180967</v>
      </c>
      <c r="F1526" s="3">
        <v>45881</v>
      </c>
      <c r="G1526">
        <v>202605</v>
      </c>
      <c r="H1526" t="s">
        <v>75</v>
      </c>
      <c r="I1526" t="s">
        <v>76</v>
      </c>
      <c r="J1526" t="s">
        <v>77</v>
      </c>
      <c r="K1526" t="s">
        <v>78</v>
      </c>
      <c r="L1526" t="s">
        <v>319</v>
      </c>
      <c r="M1526" t="s">
        <v>320</v>
      </c>
      <c r="N1526" t="s">
        <v>321</v>
      </c>
      <c r="O1526" t="s">
        <v>82</v>
      </c>
      <c r="P1526" t="str">
        <f>"4170054246                    "</f>
        <v xml:space="preserve">4170054246                    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>
        <v>44.73</v>
      </c>
      <c r="AR1526">
        <v>0</v>
      </c>
      <c r="AS1526">
        <v>0</v>
      </c>
      <c r="AT1526">
        <v>0</v>
      </c>
      <c r="AU1526">
        <v>0</v>
      </c>
      <c r="AV1526">
        <v>0</v>
      </c>
      <c r="AW1526">
        <v>0</v>
      </c>
      <c r="AX1526">
        <v>0</v>
      </c>
      <c r="AY1526">
        <v>0</v>
      </c>
      <c r="AZ1526">
        <v>0</v>
      </c>
      <c r="BA1526">
        <v>0</v>
      </c>
      <c r="BB1526">
        <v>0</v>
      </c>
      <c r="BC1526">
        <v>0</v>
      </c>
      <c r="BD1526">
        <v>0</v>
      </c>
      <c r="BE1526">
        <v>0</v>
      </c>
      <c r="BF1526">
        <v>0</v>
      </c>
      <c r="BG1526">
        <v>0</v>
      </c>
      <c r="BH1526">
        <v>1</v>
      </c>
      <c r="BI1526">
        <v>1</v>
      </c>
      <c r="BJ1526">
        <v>0.2</v>
      </c>
      <c r="BK1526">
        <v>1</v>
      </c>
      <c r="BL1526">
        <v>138.88999999999999</v>
      </c>
      <c r="BM1526">
        <v>20.83</v>
      </c>
      <c r="BN1526">
        <v>159.72</v>
      </c>
      <c r="BO1526">
        <v>159.72</v>
      </c>
      <c r="BQ1526" t="s">
        <v>322</v>
      </c>
      <c r="BR1526" t="s">
        <v>84</v>
      </c>
      <c r="BS1526" s="3">
        <v>45882</v>
      </c>
      <c r="BT1526" s="4">
        <v>0.44166666666666665</v>
      </c>
      <c r="BU1526" t="s">
        <v>2213</v>
      </c>
      <c r="BV1526" t="s">
        <v>86</v>
      </c>
      <c r="BY1526">
        <v>1200</v>
      </c>
      <c r="CA1526" t="s">
        <v>324</v>
      </c>
      <c r="CC1526" t="s">
        <v>320</v>
      </c>
      <c r="CD1526">
        <v>2531</v>
      </c>
      <c r="CE1526" t="s">
        <v>109</v>
      </c>
      <c r="CF1526" s="3">
        <v>45883</v>
      </c>
      <c r="CI1526">
        <v>1</v>
      </c>
      <c r="CJ1526">
        <v>1</v>
      </c>
      <c r="CK1526">
        <v>23</v>
      </c>
      <c r="CL1526" t="s">
        <v>90</v>
      </c>
    </row>
    <row r="1527" spans="1:90" x14ac:dyDescent="0.3">
      <c r="A1527" t="s">
        <v>72</v>
      </c>
      <c r="B1527" t="s">
        <v>73</v>
      </c>
      <c r="C1527" t="s">
        <v>74</v>
      </c>
      <c r="E1527" t="str">
        <f>"080067180973"</f>
        <v>080067180973</v>
      </c>
      <c r="F1527" s="3">
        <v>45881</v>
      </c>
      <c r="G1527">
        <v>202605</v>
      </c>
      <c r="H1527" t="s">
        <v>75</v>
      </c>
      <c r="I1527" t="s">
        <v>76</v>
      </c>
      <c r="J1527" t="s">
        <v>77</v>
      </c>
      <c r="K1527" t="s">
        <v>78</v>
      </c>
      <c r="L1527" t="s">
        <v>2214</v>
      </c>
      <c r="M1527" t="s">
        <v>2215</v>
      </c>
      <c r="N1527" t="s">
        <v>2216</v>
      </c>
      <c r="O1527" t="s">
        <v>95</v>
      </c>
      <c r="P1527" t="str">
        <f>"4170054276                    "</f>
        <v xml:space="preserve">4170054276                    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0</v>
      </c>
      <c r="AP1527">
        <v>0</v>
      </c>
      <c r="AQ1527">
        <v>159.43</v>
      </c>
      <c r="AR1527">
        <v>0</v>
      </c>
      <c r="AS1527">
        <v>0</v>
      </c>
      <c r="AT1527">
        <v>0</v>
      </c>
      <c r="AU1527">
        <v>0</v>
      </c>
      <c r="AV1527">
        <v>0</v>
      </c>
      <c r="AW1527">
        <v>0</v>
      </c>
      <c r="AX1527">
        <v>0</v>
      </c>
      <c r="AY1527">
        <v>0</v>
      </c>
      <c r="AZ1527">
        <v>0</v>
      </c>
      <c r="BA1527">
        <v>0</v>
      </c>
      <c r="BB1527">
        <v>0</v>
      </c>
      <c r="BC1527">
        <v>0</v>
      </c>
      <c r="BD1527">
        <v>0</v>
      </c>
      <c r="BE1527">
        <v>0</v>
      </c>
      <c r="BF1527">
        <v>0</v>
      </c>
      <c r="BG1527">
        <v>0</v>
      </c>
      <c r="BH1527">
        <v>3</v>
      </c>
      <c r="BI1527">
        <v>27</v>
      </c>
      <c r="BJ1527">
        <v>44.6</v>
      </c>
      <c r="BK1527">
        <v>45</v>
      </c>
      <c r="BL1527">
        <v>500.95</v>
      </c>
      <c r="BM1527">
        <v>75.14</v>
      </c>
      <c r="BN1527">
        <v>576.09</v>
      </c>
      <c r="BO1527">
        <v>576.09</v>
      </c>
      <c r="BQ1527" t="s">
        <v>2217</v>
      </c>
      <c r="BR1527" t="s">
        <v>84</v>
      </c>
      <c r="BS1527" s="3">
        <v>45883</v>
      </c>
      <c r="BT1527" s="4">
        <v>0.39305555555555555</v>
      </c>
      <c r="BU1527" t="s">
        <v>2218</v>
      </c>
      <c r="BV1527" t="s">
        <v>90</v>
      </c>
      <c r="BW1527" t="s">
        <v>380</v>
      </c>
      <c r="BX1527" t="s">
        <v>2219</v>
      </c>
      <c r="BY1527">
        <v>74400</v>
      </c>
      <c r="CA1527" t="s">
        <v>2220</v>
      </c>
      <c r="CC1527" t="s">
        <v>2215</v>
      </c>
      <c r="CD1527">
        <v>8446</v>
      </c>
      <c r="CE1527" t="s">
        <v>1095</v>
      </c>
      <c r="CF1527" s="3">
        <v>45883</v>
      </c>
      <c r="CI1527">
        <v>1</v>
      </c>
      <c r="CJ1527">
        <v>2</v>
      </c>
      <c r="CK1527">
        <v>43</v>
      </c>
      <c r="CL1527" t="s">
        <v>90</v>
      </c>
    </row>
    <row r="1528" spans="1:90" x14ac:dyDescent="0.3">
      <c r="A1528" t="s">
        <v>72</v>
      </c>
      <c r="B1528" t="s">
        <v>73</v>
      </c>
      <c r="C1528" t="s">
        <v>74</v>
      </c>
      <c r="E1528" t="str">
        <f>"080067181062"</f>
        <v>080067181062</v>
      </c>
      <c r="F1528" s="3">
        <v>45881</v>
      </c>
      <c r="G1528">
        <v>202605</v>
      </c>
      <c r="H1528" t="s">
        <v>75</v>
      </c>
      <c r="I1528" t="s">
        <v>76</v>
      </c>
      <c r="J1528" t="s">
        <v>2221</v>
      </c>
      <c r="K1528" t="s">
        <v>78</v>
      </c>
      <c r="L1528" t="s">
        <v>2214</v>
      </c>
      <c r="M1528" t="s">
        <v>2215</v>
      </c>
      <c r="N1528" t="s">
        <v>2216</v>
      </c>
      <c r="O1528" t="s">
        <v>95</v>
      </c>
      <c r="P1528" t="str">
        <f>"4170054275                    "</f>
        <v xml:space="preserve">4170054275                    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0</v>
      </c>
      <c r="AO1528">
        <v>0</v>
      </c>
      <c r="AP1528">
        <v>0</v>
      </c>
      <c r="AQ1528">
        <v>0</v>
      </c>
      <c r="AR1528">
        <v>0</v>
      </c>
      <c r="AS1528">
        <v>0</v>
      </c>
      <c r="AT1528">
        <v>0</v>
      </c>
      <c r="AU1528">
        <v>0</v>
      </c>
      <c r="AV1528">
        <v>0</v>
      </c>
      <c r="AW1528">
        <v>0</v>
      </c>
      <c r="AX1528">
        <v>0</v>
      </c>
      <c r="AY1528">
        <v>0</v>
      </c>
      <c r="AZ1528">
        <v>0</v>
      </c>
      <c r="BA1528">
        <v>0</v>
      </c>
      <c r="BB1528">
        <v>0</v>
      </c>
      <c r="BC1528">
        <v>0</v>
      </c>
      <c r="BD1528">
        <v>0</v>
      </c>
      <c r="BE1528">
        <v>0</v>
      </c>
      <c r="BF1528">
        <v>0</v>
      </c>
      <c r="BG1528">
        <v>0</v>
      </c>
      <c r="BH1528">
        <v>1</v>
      </c>
      <c r="BI1528">
        <v>9.1999999999999993</v>
      </c>
      <c r="BJ1528">
        <v>14.9</v>
      </c>
      <c r="BK1528">
        <v>15</v>
      </c>
      <c r="BL1528">
        <v>0</v>
      </c>
      <c r="BM1528">
        <v>0</v>
      </c>
      <c r="BN1528">
        <v>0</v>
      </c>
      <c r="BO1528">
        <v>0</v>
      </c>
      <c r="BQ1528" t="s">
        <v>2222</v>
      </c>
      <c r="BR1528" t="s">
        <v>2223</v>
      </c>
      <c r="BS1528" s="3">
        <v>45881</v>
      </c>
      <c r="BT1528" s="4">
        <v>0.52083333333333337</v>
      </c>
      <c r="BU1528" t="s">
        <v>1572</v>
      </c>
      <c r="BV1528" t="s">
        <v>86</v>
      </c>
      <c r="BY1528">
        <v>74400</v>
      </c>
      <c r="BZ1528" t="s">
        <v>87</v>
      </c>
      <c r="CC1528" t="s">
        <v>2215</v>
      </c>
      <c r="CD1528">
        <v>8446</v>
      </c>
      <c r="CE1528" t="s">
        <v>2224</v>
      </c>
      <c r="CF1528" s="3">
        <v>45882</v>
      </c>
      <c r="CI1528">
        <v>1</v>
      </c>
      <c r="CJ1528">
        <v>0</v>
      </c>
      <c r="CK1528">
        <v>-1</v>
      </c>
      <c r="CL1528" t="s">
        <v>90</v>
      </c>
    </row>
    <row r="1529" spans="1:90" x14ac:dyDescent="0.3">
      <c r="A1529" t="s">
        <v>72</v>
      </c>
      <c r="B1529" t="s">
        <v>73</v>
      </c>
      <c r="C1529" t="s">
        <v>74</v>
      </c>
      <c r="E1529" t="str">
        <f>"080067181470"</f>
        <v>080067181470</v>
      </c>
      <c r="F1529" s="3">
        <v>45881</v>
      </c>
      <c r="G1529">
        <v>202605</v>
      </c>
      <c r="H1529" t="s">
        <v>75</v>
      </c>
      <c r="I1529" t="s">
        <v>76</v>
      </c>
      <c r="J1529" t="s">
        <v>77</v>
      </c>
      <c r="K1529" t="s">
        <v>78</v>
      </c>
      <c r="L1529" t="s">
        <v>2214</v>
      </c>
      <c r="M1529" t="s">
        <v>2215</v>
      </c>
      <c r="N1529" t="s">
        <v>2216</v>
      </c>
      <c r="O1529" t="s">
        <v>95</v>
      </c>
      <c r="P1529" t="str">
        <f>"4170054275                    "</f>
        <v xml:space="preserve">4170054275                    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0</v>
      </c>
      <c r="AO1529">
        <v>0</v>
      </c>
      <c r="AP1529">
        <v>0</v>
      </c>
      <c r="AQ1529">
        <v>159.43</v>
      </c>
      <c r="AR1529">
        <v>0</v>
      </c>
      <c r="AS1529">
        <v>0</v>
      </c>
      <c r="AT1529">
        <v>0</v>
      </c>
      <c r="AU1529">
        <v>0</v>
      </c>
      <c r="AV1529">
        <v>0</v>
      </c>
      <c r="AW1529">
        <v>0</v>
      </c>
      <c r="AX1529">
        <v>0</v>
      </c>
      <c r="AY1529">
        <v>0</v>
      </c>
      <c r="AZ1529">
        <v>0</v>
      </c>
      <c r="BA1529">
        <v>0</v>
      </c>
      <c r="BB1529">
        <v>0</v>
      </c>
      <c r="BC1529">
        <v>0</v>
      </c>
      <c r="BD1529">
        <v>0</v>
      </c>
      <c r="BE1529">
        <v>0</v>
      </c>
      <c r="BF1529">
        <v>0</v>
      </c>
      <c r="BG1529">
        <v>0</v>
      </c>
      <c r="BH1529">
        <v>3</v>
      </c>
      <c r="BI1529">
        <v>27.6</v>
      </c>
      <c r="BJ1529">
        <v>44.6</v>
      </c>
      <c r="BK1529">
        <v>45</v>
      </c>
      <c r="BL1529">
        <v>500.95</v>
      </c>
      <c r="BM1529">
        <v>75.14</v>
      </c>
      <c r="BN1529">
        <v>576.09</v>
      </c>
      <c r="BO1529">
        <v>576.09</v>
      </c>
      <c r="BQ1529" t="s">
        <v>2217</v>
      </c>
      <c r="BR1529" t="s">
        <v>84</v>
      </c>
      <c r="BS1529" s="3">
        <v>45883</v>
      </c>
      <c r="BT1529" s="4">
        <v>0.72638888888888886</v>
      </c>
      <c r="BU1529" t="s">
        <v>2218</v>
      </c>
      <c r="BV1529" t="s">
        <v>90</v>
      </c>
      <c r="BW1529" t="s">
        <v>380</v>
      </c>
      <c r="BX1529" t="s">
        <v>2225</v>
      </c>
      <c r="BY1529">
        <v>74400</v>
      </c>
      <c r="CA1529" t="s">
        <v>2220</v>
      </c>
      <c r="CC1529" t="s">
        <v>2215</v>
      </c>
      <c r="CD1529">
        <v>8446</v>
      </c>
      <c r="CE1529" t="s">
        <v>1095</v>
      </c>
      <c r="CF1529" s="3">
        <v>45883</v>
      </c>
      <c r="CI1529">
        <v>1</v>
      </c>
      <c r="CJ1529">
        <v>2</v>
      </c>
      <c r="CK1529">
        <v>43</v>
      </c>
      <c r="CL1529" t="s">
        <v>90</v>
      </c>
    </row>
    <row r="1530" spans="1:90" x14ac:dyDescent="0.3">
      <c r="A1530" t="s">
        <v>72</v>
      </c>
      <c r="B1530" t="s">
        <v>73</v>
      </c>
      <c r="C1530" t="s">
        <v>74</v>
      </c>
      <c r="E1530" t="str">
        <f>"080067181942"</f>
        <v>080067181942</v>
      </c>
      <c r="F1530" s="3">
        <v>45881</v>
      </c>
      <c r="G1530">
        <v>202605</v>
      </c>
      <c r="H1530" t="s">
        <v>75</v>
      </c>
      <c r="I1530" t="s">
        <v>76</v>
      </c>
      <c r="J1530" t="s">
        <v>77</v>
      </c>
      <c r="K1530" t="s">
        <v>78</v>
      </c>
      <c r="L1530" t="s">
        <v>217</v>
      </c>
      <c r="M1530" t="s">
        <v>218</v>
      </c>
      <c r="N1530" t="s">
        <v>2226</v>
      </c>
      <c r="O1530" t="s">
        <v>82</v>
      </c>
      <c r="P1530" t="str">
        <f>"4170054204                    "</f>
        <v xml:space="preserve">4170054204                    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0</v>
      </c>
      <c r="AP1530">
        <v>0</v>
      </c>
      <c r="AQ1530">
        <v>115.35</v>
      </c>
      <c r="AR1530">
        <v>0</v>
      </c>
      <c r="AS1530">
        <v>0</v>
      </c>
      <c r="AT1530">
        <v>0</v>
      </c>
      <c r="AU1530">
        <v>0</v>
      </c>
      <c r="AV1530">
        <v>0</v>
      </c>
      <c r="AW1530">
        <v>0</v>
      </c>
      <c r="AX1530">
        <v>0</v>
      </c>
      <c r="AY1530">
        <v>0</v>
      </c>
      <c r="AZ1530">
        <v>0</v>
      </c>
      <c r="BA1530">
        <v>0</v>
      </c>
      <c r="BB1530">
        <v>0</v>
      </c>
      <c r="BC1530">
        <v>0</v>
      </c>
      <c r="BD1530">
        <v>0</v>
      </c>
      <c r="BE1530">
        <v>0</v>
      </c>
      <c r="BF1530">
        <v>0</v>
      </c>
      <c r="BG1530">
        <v>0</v>
      </c>
      <c r="BH1530">
        <v>1</v>
      </c>
      <c r="BI1530">
        <v>10</v>
      </c>
      <c r="BJ1530">
        <v>3.4</v>
      </c>
      <c r="BK1530">
        <v>10</v>
      </c>
      <c r="BL1530">
        <v>358.19</v>
      </c>
      <c r="BM1530">
        <v>53.73</v>
      </c>
      <c r="BN1530">
        <v>411.92</v>
      </c>
      <c r="BO1530">
        <v>411.92</v>
      </c>
      <c r="BQ1530" t="s">
        <v>2227</v>
      </c>
      <c r="BR1530" t="s">
        <v>84</v>
      </c>
      <c r="BS1530" s="3">
        <v>45882</v>
      </c>
      <c r="BT1530" s="4">
        <v>0.47430555555555554</v>
      </c>
      <c r="BU1530" t="s">
        <v>2228</v>
      </c>
      <c r="BV1530" t="s">
        <v>90</v>
      </c>
      <c r="BW1530" t="s">
        <v>134</v>
      </c>
      <c r="BX1530" t="s">
        <v>135</v>
      </c>
      <c r="BY1530">
        <v>16965</v>
      </c>
      <c r="CA1530" t="s">
        <v>2229</v>
      </c>
      <c r="CC1530" t="s">
        <v>218</v>
      </c>
      <c r="CD1530">
        <v>4072</v>
      </c>
      <c r="CE1530" t="s">
        <v>147</v>
      </c>
      <c r="CF1530" s="3">
        <v>45882</v>
      </c>
      <c r="CI1530">
        <v>1</v>
      </c>
      <c r="CJ1530">
        <v>1</v>
      </c>
      <c r="CK1530">
        <v>21</v>
      </c>
      <c r="CL1530" t="s">
        <v>90</v>
      </c>
    </row>
    <row r="1531" spans="1:90" x14ac:dyDescent="0.3">
      <c r="A1531" t="s">
        <v>72</v>
      </c>
      <c r="B1531" t="s">
        <v>73</v>
      </c>
      <c r="C1531" t="s">
        <v>74</v>
      </c>
      <c r="E1531" t="str">
        <f>"080067181997"</f>
        <v>080067181997</v>
      </c>
      <c r="F1531" s="3">
        <v>45881</v>
      </c>
      <c r="G1531">
        <v>202605</v>
      </c>
      <c r="H1531" t="s">
        <v>75</v>
      </c>
      <c r="I1531" t="s">
        <v>76</v>
      </c>
      <c r="J1531" t="s">
        <v>77</v>
      </c>
      <c r="K1531" t="s">
        <v>78</v>
      </c>
      <c r="L1531" t="s">
        <v>198</v>
      </c>
      <c r="M1531" t="s">
        <v>199</v>
      </c>
      <c r="N1531" t="s">
        <v>200</v>
      </c>
      <c r="O1531" t="s">
        <v>82</v>
      </c>
      <c r="P1531" t="str">
        <f>"4170054229                    "</f>
        <v xml:space="preserve">4170054229                    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0</v>
      </c>
      <c r="AO1531">
        <v>0</v>
      </c>
      <c r="AP1531">
        <v>0</v>
      </c>
      <c r="AQ1531">
        <v>23.09</v>
      </c>
      <c r="AR1531">
        <v>0</v>
      </c>
      <c r="AS1531">
        <v>0</v>
      </c>
      <c r="AT1531">
        <v>0</v>
      </c>
      <c r="AU1531">
        <v>0</v>
      </c>
      <c r="AV1531">
        <v>0</v>
      </c>
      <c r="AW1531">
        <v>0</v>
      </c>
      <c r="AX1531">
        <v>0</v>
      </c>
      <c r="AY1531">
        <v>0</v>
      </c>
      <c r="AZ1531">
        <v>0</v>
      </c>
      <c r="BA1531">
        <v>0</v>
      </c>
      <c r="BB1531">
        <v>0</v>
      </c>
      <c r="BC1531">
        <v>0</v>
      </c>
      <c r="BD1531">
        <v>0</v>
      </c>
      <c r="BE1531">
        <v>0</v>
      </c>
      <c r="BF1531">
        <v>0</v>
      </c>
      <c r="BG1531">
        <v>0</v>
      </c>
      <c r="BH1531">
        <v>1</v>
      </c>
      <c r="BI1531">
        <v>1</v>
      </c>
      <c r="BJ1531">
        <v>1.1000000000000001</v>
      </c>
      <c r="BK1531">
        <v>1.5</v>
      </c>
      <c r="BL1531">
        <v>71.69</v>
      </c>
      <c r="BM1531">
        <v>10.75</v>
      </c>
      <c r="BN1531">
        <v>82.44</v>
      </c>
      <c r="BO1531">
        <v>82.44</v>
      </c>
      <c r="BQ1531" t="s">
        <v>201</v>
      </c>
      <c r="BR1531" t="s">
        <v>84</v>
      </c>
      <c r="BS1531" s="3">
        <v>45882</v>
      </c>
      <c r="BT1531" s="4">
        <v>0.37430555555555556</v>
      </c>
      <c r="BU1531" t="s">
        <v>2230</v>
      </c>
      <c r="BV1531" t="s">
        <v>86</v>
      </c>
      <c r="BY1531">
        <v>5320</v>
      </c>
      <c r="CA1531" t="s">
        <v>203</v>
      </c>
      <c r="CC1531" t="s">
        <v>199</v>
      </c>
      <c r="CD1531">
        <v>6001</v>
      </c>
      <c r="CE1531" t="s">
        <v>147</v>
      </c>
      <c r="CF1531" s="3">
        <v>45882</v>
      </c>
      <c r="CI1531">
        <v>1</v>
      </c>
      <c r="CJ1531">
        <v>1</v>
      </c>
      <c r="CK1531">
        <v>21</v>
      </c>
      <c r="CL1531" t="s">
        <v>90</v>
      </c>
    </row>
    <row r="1532" spans="1:90" x14ac:dyDescent="0.3">
      <c r="A1532" t="s">
        <v>72</v>
      </c>
      <c r="B1532" t="s">
        <v>73</v>
      </c>
      <c r="C1532" t="s">
        <v>74</v>
      </c>
      <c r="E1532" t="str">
        <f>"080067182343"</f>
        <v>080067182343</v>
      </c>
      <c r="F1532" s="3">
        <v>45881</v>
      </c>
      <c r="G1532">
        <v>202605</v>
      </c>
      <c r="H1532" t="s">
        <v>75</v>
      </c>
      <c r="I1532" t="s">
        <v>76</v>
      </c>
      <c r="J1532" t="s">
        <v>77</v>
      </c>
      <c r="K1532" t="s">
        <v>78</v>
      </c>
      <c r="L1532" t="s">
        <v>75</v>
      </c>
      <c r="M1532" t="s">
        <v>76</v>
      </c>
      <c r="N1532" t="s">
        <v>152</v>
      </c>
      <c r="O1532" t="s">
        <v>113</v>
      </c>
      <c r="P1532" t="str">
        <f>"4170054283                    "</f>
        <v xml:space="preserve">4170054283                    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0</v>
      </c>
      <c r="AO1532">
        <v>0</v>
      </c>
      <c r="AP1532">
        <v>0</v>
      </c>
      <c r="AQ1532">
        <v>36.25</v>
      </c>
      <c r="AR1532">
        <v>0</v>
      </c>
      <c r="AS1532">
        <v>0</v>
      </c>
      <c r="AT1532">
        <v>0</v>
      </c>
      <c r="AU1532">
        <v>0</v>
      </c>
      <c r="AV1532">
        <v>0</v>
      </c>
      <c r="AW1532">
        <v>0</v>
      </c>
      <c r="AX1532">
        <v>0</v>
      </c>
      <c r="AY1532">
        <v>0</v>
      </c>
      <c r="AZ1532">
        <v>0</v>
      </c>
      <c r="BA1532">
        <v>0</v>
      </c>
      <c r="BB1532">
        <v>0</v>
      </c>
      <c r="BC1532">
        <v>0</v>
      </c>
      <c r="BD1532">
        <v>0</v>
      </c>
      <c r="BE1532">
        <v>0</v>
      </c>
      <c r="BF1532">
        <v>0</v>
      </c>
      <c r="BG1532">
        <v>0</v>
      </c>
      <c r="BH1532">
        <v>1</v>
      </c>
      <c r="BI1532">
        <v>17</v>
      </c>
      <c r="BJ1532">
        <v>7.2</v>
      </c>
      <c r="BK1532">
        <v>17</v>
      </c>
      <c r="BL1532">
        <v>112.56</v>
      </c>
      <c r="BM1532">
        <v>16.88</v>
      </c>
      <c r="BN1532">
        <v>129.44</v>
      </c>
      <c r="BO1532">
        <v>129.44</v>
      </c>
      <c r="BQ1532" t="s">
        <v>153</v>
      </c>
      <c r="BR1532" t="s">
        <v>84</v>
      </c>
      <c r="BS1532" s="3">
        <v>45882</v>
      </c>
      <c r="BT1532" s="4">
        <v>0.31874999999999998</v>
      </c>
      <c r="BU1532" t="s">
        <v>995</v>
      </c>
      <c r="BV1532" t="s">
        <v>86</v>
      </c>
      <c r="BY1532">
        <v>36000</v>
      </c>
      <c r="CA1532" t="s">
        <v>155</v>
      </c>
      <c r="CC1532" t="s">
        <v>76</v>
      </c>
      <c r="CD1532">
        <v>1600</v>
      </c>
      <c r="CE1532" t="s">
        <v>147</v>
      </c>
      <c r="CF1532" s="3">
        <v>45882</v>
      </c>
      <c r="CI1532">
        <v>1</v>
      </c>
      <c r="CJ1532">
        <v>1</v>
      </c>
      <c r="CK1532">
        <v>32</v>
      </c>
      <c r="CL1532" t="s">
        <v>90</v>
      </c>
    </row>
    <row r="1533" spans="1:90" x14ac:dyDescent="0.3">
      <c r="A1533" t="s">
        <v>72</v>
      </c>
      <c r="B1533" t="s">
        <v>73</v>
      </c>
      <c r="C1533" t="s">
        <v>74</v>
      </c>
      <c r="E1533" t="str">
        <f>"080067182457"</f>
        <v>080067182457</v>
      </c>
      <c r="F1533" s="3">
        <v>45881</v>
      </c>
      <c r="G1533">
        <v>202605</v>
      </c>
      <c r="H1533" t="s">
        <v>75</v>
      </c>
      <c r="I1533" t="s">
        <v>76</v>
      </c>
      <c r="J1533" t="s">
        <v>77</v>
      </c>
      <c r="K1533" t="s">
        <v>78</v>
      </c>
      <c r="L1533" t="s">
        <v>217</v>
      </c>
      <c r="M1533" t="s">
        <v>218</v>
      </c>
      <c r="N1533" t="s">
        <v>422</v>
      </c>
      <c r="O1533" t="s">
        <v>82</v>
      </c>
      <c r="P1533" t="str">
        <f>"4170054273                    "</f>
        <v xml:space="preserve">4170054273                    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0</v>
      </c>
      <c r="AP1533">
        <v>0</v>
      </c>
      <c r="AQ1533">
        <v>23.09</v>
      </c>
      <c r="AR1533">
        <v>0</v>
      </c>
      <c r="AS1533">
        <v>0</v>
      </c>
      <c r="AT1533">
        <v>0</v>
      </c>
      <c r="AU1533">
        <v>0</v>
      </c>
      <c r="AV1533">
        <v>0</v>
      </c>
      <c r="AW1533">
        <v>0</v>
      </c>
      <c r="AX1533">
        <v>0</v>
      </c>
      <c r="AY1533">
        <v>0</v>
      </c>
      <c r="AZ1533">
        <v>0</v>
      </c>
      <c r="BA1533">
        <v>0</v>
      </c>
      <c r="BB1533">
        <v>0</v>
      </c>
      <c r="BC1533">
        <v>0</v>
      </c>
      <c r="BD1533">
        <v>0</v>
      </c>
      <c r="BE1533">
        <v>0</v>
      </c>
      <c r="BF1533">
        <v>0</v>
      </c>
      <c r="BG1533">
        <v>0</v>
      </c>
      <c r="BH1533">
        <v>1</v>
      </c>
      <c r="BI1533">
        <v>1</v>
      </c>
      <c r="BJ1533">
        <v>1.5</v>
      </c>
      <c r="BK1533">
        <v>1.5</v>
      </c>
      <c r="BL1533">
        <v>71.69</v>
      </c>
      <c r="BM1533">
        <v>10.75</v>
      </c>
      <c r="BN1533">
        <v>82.44</v>
      </c>
      <c r="BO1533">
        <v>82.44</v>
      </c>
      <c r="BQ1533" t="s">
        <v>423</v>
      </c>
      <c r="BR1533" t="s">
        <v>84</v>
      </c>
      <c r="BS1533" s="3">
        <v>45882</v>
      </c>
      <c r="BT1533" s="4">
        <v>0.37916666666666665</v>
      </c>
      <c r="BU1533" t="s">
        <v>2231</v>
      </c>
      <c r="BV1533" t="s">
        <v>86</v>
      </c>
      <c r="BY1533">
        <v>7540</v>
      </c>
      <c r="CA1533" t="s">
        <v>425</v>
      </c>
      <c r="CC1533" t="s">
        <v>218</v>
      </c>
      <c r="CD1533">
        <v>4001</v>
      </c>
      <c r="CE1533" t="s">
        <v>147</v>
      </c>
      <c r="CF1533" s="3">
        <v>45882</v>
      </c>
      <c r="CI1533">
        <v>1</v>
      </c>
      <c r="CJ1533">
        <v>1</v>
      </c>
      <c r="CK1533">
        <v>21</v>
      </c>
      <c r="CL1533" t="s">
        <v>90</v>
      </c>
    </row>
    <row r="1534" spans="1:90" x14ac:dyDescent="0.3">
      <c r="A1534" t="s">
        <v>72</v>
      </c>
      <c r="B1534" t="s">
        <v>73</v>
      </c>
      <c r="C1534" t="s">
        <v>74</v>
      </c>
      <c r="E1534" t="str">
        <f>"080067182500"</f>
        <v>080067182500</v>
      </c>
      <c r="F1534" s="3">
        <v>45881</v>
      </c>
      <c r="G1534">
        <v>202605</v>
      </c>
      <c r="H1534" t="s">
        <v>75</v>
      </c>
      <c r="I1534" t="s">
        <v>76</v>
      </c>
      <c r="J1534" t="s">
        <v>77</v>
      </c>
      <c r="K1534" t="s">
        <v>78</v>
      </c>
      <c r="L1534" t="s">
        <v>75</v>
      </c>
      <c r="M1534" t="s">
        <v>76</v>
      </c>
      <c r="N1534" t="s">
        <v>2232</v>
      </c>
      <c r="O1534" t="s">
        <v>82</v>
      </c>
      <c r="P1534" t="str">
        <f>"4170054278                    "</f>
        <v xml:space="preserve">4170054278                    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0</v>
      </c>
      <c r="AP1534">
        <v>0</v>
      </c>
      <c r="AQ1534">
        <v>18.03</v>
      </c>
      <c r="AR1534">
        <v>0</v>
      </c>
      <c r="AS1534">
        <v>0</v>
      </c>
      <c r="AT1534">
        <v>0</v>
      </c>
      <c r="AU1534">
        <v>0</v>
      </c>
      <c r="AV1534">
        <v>0</v>
      </c>
      <c r="AW1534">
        <v>0</v>
      </c>
      <c r="AX1534">
        <v>0</v>
      </c>
      <c r="AY1534">
        <v>0</v>
      </c>
      <c r="AZ1534">
        <v>0</v>
      </c>
      <c r="BA1534">
        <v>0</v>
      </c>
      <c r="BB1534">
        <v>0</v>
      </c>
      <c r="BC1534">
        <v>0</v>
      </c>
      <c r="BD1534">
        <v>0</v>
      </c>
      <c r="BE1534">
        <v>0</v>
      </c>
      <c r="BF1534">
        <v>0</v>
      </c>
      <c r="BG1534">
        <v>0</v>
      </c>
      <c r="BH1534">
        <v>1</v>
      </c>
      <c r="BI1534">
        <v>1</v>
      </c>
      <c r="BJ1534">
        <v>0.2</v>
      </c>
      <c r="BK1534">
        <v>1</v>
      </c>
      <c r="BL1534">
        <v>55.99</v>
      </c>
      <c r="BM1534">
        <v>8.4</v>
      </c>
      <c r="BN1534">
        <v>64.39</v>
      </c>
      <c r="BO1534">
        <v>64.39</v>
      </c>
      <c r="BQ1534" t="s">
        <v>2233</v>
      </c>
      <c r="BR1534" t="s">
        <v>84</v>
      </c>
      <c r="BS1534" s="3">
        <v>45882</v>
      </c>
      <c r="BT1534" s="4">
        <v>0.40486111111111112</v>
      </c>
      <c r="BU1534" t="s">
        <v>2234</v>
      </c>
      <c r="BV1534" t="s">
        <v>86</v>
      </c>
      <c r="BY1534">
        <v>1200</v>
      </c>
      <c r="CC1534" t="s">
        <v>76</v>
      </c>
      <c r="CD1534">
        <v>1601</v>
      </c>
      <c r="CE1534" t="s">
        <v>290</v>
      </c>
      <c r="CF1534" s="3">
        <v>45882</v>
      </c>
      <c r="CI1534">
        <v>1</v>
      </c>
      <c r="CJ1534">
        <v>1</v>
      </c>
      <c r="CK1534">
        <v>22</v>
      </c>
      <c r="CL1534" t="s">
        <v>90</v>
      </c>
    </row>
    <row r="1535" spans="1:90" x14ac:dyDescent="0.3">
      <c r="A1535" t="s">
        <v>72</v>
      </c>
      <c r="B1535" t="s">
        <v>73</v>
      </c>
      <c r="C1535" t="s">
        <v>74</v>
      </c>
      <c r="E1535" t="str">
        <f>"080067182512"</f>
        <v>080067182512</v>
      </c>
      <c r="F1535" s="3">
        <v>45881</v>
      </c>
      <c r="G1535">
        <v>202605</v>
      </c>
      <c r="H1535" t="s">
        <v>75</v>
      </c>
      <c r="I1535" t="s">
        <v>76</v>
      </c>
      <c r="J1535" t="s">
        <v>77</v>
      </c>
      <c r="K1535" t="s">
        <v>78</v>
      </c>
      <c r="L1535" t="s">
        <v>75</v>
      </c>
      <c r="M1535" t="s">
        <v>76</v>
      </c>
      <c r="N1535" t="s">
        <v>548</v>
      </c>
      <c r="O1535" t="s">
        <v>82</v>
      </c>
      <c r="P1535" t="str">
        <f>"4170054245                    "</f>
        <v xml:space="preserve">4170054245                    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0</v>
      </c>
      <c r="AP1535">
        <v>0</v>
      </c>
      <c r="AQ1535">
        <v>18.03</v>
      </c>
      <c r="AR1535">
        <v>0</v>
      </c>
      <c r="AS1535">
        <v>0</v>
      </c>
      <c r="AT1535">
        <v>0</v>
      </c>
      <c r="AU1535">
        <v>0</v>
      </c>
      <c r="AV1535">
        <v>0</v>
      </c>
      <c r="AW1535">
        <v>0</v>
      </c>
      <c r="AX1535">
        <v>0</v>
      </c>
      <c r="AY1535">
        <v>0</v>
      </c>
      <c r="AZ1535">
        <v>0</v>
      </c>
      <c r="BA1535">
        <v>0</v>
      </c>
      <c r="BB1535">
        <v>0</v>
      </c>
      <c r="BC1535">
        <v>0</v>
      </c>
      <c r="BD1535">
        <v>0</v>
      </c>
      <c r="BE1535">
        <v>0</v>
      </c>
      <c r="BF1535">
        <v>0</v>
      </c>
      <c r="BG1535">
        <v>0</v>
      </c>
      <c r="BH1535">
        <v>1</v>
      </c>
      <c r="BI1535">
        <v>3</v>
      </c>
      <c r="BJ1535">
        <v>1.1000000000000001</v>
      </c>
      <c r="BK1535">
        <v>3</v>
      </c>
      <c r="BL1535">
        <v>55.99</v>
      </c>
      <c r="BM1535">
        <v>8.4</v>
      </c>
      <c r="BN1535">
        <v>64.39</v>
      </c>
      <c r="BO1535">
        <v>64.39</v>
      </c>
      <c r="BQ1535" t="s">
        <v>549</v>
      </c>
      <c r="BR1535" t="s">
        <v>84</v>
      </c>
      <c r="BS1535" s="3">
        <v>45882</v>
      </c>
      <c r="BT1535" s="4">
        <v>0.31805555555555554</v>
      </c>
      <c r="BU1535" t="s">
        <v>550</v>
      </c>
      <c r="BV1535" t="s">
        <v>86</v>
      </c>
      <c r="BY1535">
        <v>5320</v>
      </c>
      <c r="CA1535" t="s">
        <v>1327</v>
      </c>
      <c r="CC1535" t="s">
        <v>76</v>
      </c>
      <c r="CD1535">
        <v>1666</v>
      </c>
      <c r="CE1535" t="s">
        <v>147</v>
      </c>
      <c r="CF1535" s="3">
        <v>45882</v>
      </c>
      <c r="CI1535">
        <v>1</v>
      </c>
      <c r="CJ1535">
        <v>1</v>
      </c>
      <c r="CK1535">
        <v>22</v>
      </c>
      <c r="CL1535" t="s">
        <v>90</v>
      </c>
    </row>
    <row r="1536" spans="1:90" x14ac:dyDescent="0.3">
      <c r="A1536" t="s">
        <v>72</v>
      </c>
      <c r="B1536" t="s">
        <v>73</v>
      </c>
      <c r="C1536" t="s">
        <v>74</v>
      </c>
      <c r="E1536" t="str">
        <f>"080067182546"</f>
        <v>080067182546</v>
      </c>
      <c r="F1536" s="3">
        <v>45881</v>
      </c>
      <c r="G1536">
        <v>202605</v>
      </c>
      <c r="H1536" t="s">
        <v>75</v>
      </c>
      <c r="I1536" t="s">
        <v>76</v>
      </c>
      <c r="J1536" t="s">
        <v>77</v>
      </c>
      <c r="K1536" t="s">
        <v>78</v>
      </c>
      <c r="L1536" t="s">
        <v>373</v>
      </c>
      <c r="M1536" t="s">
        <v>374</v>
      </c>
      <c r="N1536" t="s">
        <v>946</v>
      </c>
      <c r="O1536" t="s">
        <v>82</v>
      </c>
      <c r="P1536" t="str">
        <f>"4170054219                    "</f>
        <v xml:space="preserve">4170054219                    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0</v>
      </c>
      <c r="AN1536">
        <v>0</v>
      </c>
      <c r="AO1536">
        <v>0</v>
      </c>
      <c r="AP1536">
        <v>0</v>
      </c>
      <c r="AQ1536">
        <v>23.09</v>
      </c>
      <c r="AR1536">
        <v>0</v>
      </c>
      <c r="AS1536">
        <v>0</v>
      </c>
      <c r="AT1536">
        <v>0</v>
      </c>
      <c r="AU1536">
        <v>0</v>
      </c>
      <c r="AV1536">
        <v>0</v>
      </c>
      <c r="AW1536">
        <v>0</v>
      </c>
      <c r="AX1536">
        <v>0</v>
      </c>
      <c r="AY1536">
        <v>0</v>
      </c>
      <c r="AZ1536">
        <v>0</v>
      </c>
      <c r="BA1536">
        <v>0</v>
      </c>
      <c r="BB1536">
        <v>0</v>
      </c>
      <c r="BC1536">
        <v>0</v>
      </c>
      <c r="BD1536">
        <v>0</v>
      </c>
      <c r="BE1536">
        <v>0</v>
      </c>
      <c r="BF1536">
        <v>0</v>
      </c>
      <c r="BG1536">
        <v>0</v>
      </c>
      <c r="BH1536">
        <v>1</v>
      </c>
      <c r="BI1536">
        <v>1</v>
      </c>
      <c r="BJ1536">
        <v>0.2</v>
      </c>
      <c r="BK1536">
        <v>1</v>
      </c>
      <c r="BL1536">
        <v>71.69</v>
      </c>
      <c r="BM1536">
        <v>10.75</v>
      </c>
      <c r="BN1536">
        <v>82.44</v>
      </c>
      <c r="BO1536">
        <v>82.44</v>
      </c>
      <c r="BQ1536" t="s">
        <v>947</v>
      </c>
      <c r="BR1536" t="s">
        <v>84</v>
      </c>
      <c r="BS1536" s="3">
        <v>45882</v>
      </c>
      <c r="BT1536" s="4">
        <v>0.42986111111111114</v>
      </c>
      <c r="BU1536" t="s">
        <v>948</v>
      </c>
      <c r="BV1536" t="s">
        <v>86</v>
      </c>
      <c r="BY1536">
        <v>1200</v>
      </c>
      <c r="CA1536" t="s">
        <v>203</v>
      </c>
      <c r="CC1536" t="s">
        <v>374</v>
      </c>
      <c r="CD1536">
        <v>6220</v>
      </c>
      <c r="CE1536" t="s">
        <v>109</v>
      </c>
      <c r="CF1536" s="3">
        <v>45882</v>
      </c>
      <c r="CI1536">
        <v>1</v>
      </c>
      <c r="CJ1536">
        <v>1</v>
      </c>
      <c r="CK1536">
        <v>21</v>
      </c>
      <c r="CL1536" t="s">
        <v>90</v>
      </c>
    </row>
    <row r="1537" spans="1:90" x14ac:dyDescent="0.3">
      <c r="A1537" t="s">
        <v>72</v>
      </c>
      <c r="B1537" t="s">
        <v>73</v>
      </c>
      <c r="C1537" t="s">
        <v>74</v>
      </c>
      <c r="E1537" t="str">
        <f>"080067182555"</f>
        <v>080067182555</v>
      </c>
      <c r="F1537" s="3">
        <v>45881</v>
      </c>
      <c r="G1537">
        <v>202605</v>
      </c>
      <c r="H1537" t="s">
        <v>75</v>
      </c>
      <c r="I1537" t="s">
        <v>76</v>
      </c>
      <c r="J1537" t="s">
        <v>77</v>
      </c>
      <c r="K1537" t="s">
        <v>78</v>
      </c>
      <c r="L1537" t="s">
        <v>229</v>
      </c>
      <c r="M1537" t="s">
        <v>230</v>
      </c>
      <c r="N1537" t="s">
        <v>231</v>
      </c>
      <c r="O1537" t="s">
        <v>82</v>
      </c>
      <c r="P1537" t="str">
        <f>"4170054253                    "</f>
        <v xml:space="preserve">4170054253                    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0</v>
      </c>
      <c r="AP1537">
        <v>0</v>
      </c>
      <c r="AQ1537">
        <v>44.73</v>
      </c>
      <c r="AR1537">
        <v>0</v>
      </c>
      <c r="AS1537">
        <v>0</v>
      </c>
      <c r="AT1537">
        <v>0</v>
      </c>
      <c r="AU1537">
        <v>0</v>
      </c>
      <c r="AV1537">
        <v>0</v>
      </c>
      <c r="AW1537">
        <v>0</v>
      </c>
      <c r="AX1537">
        <v>0</v>
      </c>
      <c r="AY1537">
        <v>0</v>
      </c>
      <c r="AZ1537">
        <v>0</v>
      </c>
      <c r="BA1537">
        <v>0</v>
      </c>
      <c r="BB1537">
        <v>0</v>
      </c>
      <c r="BC1537">
        <v>0</v>
      </c>
      <c r="BD1537">
        <v>0</v>
      </c>
      <c r="BE1537">
        <v>0</v>
      </c>
      <c r="BF1537">
        <v>0</v>
      </c>
      <c r="BG1537">
        <v>0</v>
      </c>
      <c r="BH1537">
        <v>1</v>
      </c>
      <c r="BI1537">
        <v>1</v>
      </c>
      <c r="BJ1537">
        <v>1.1000000000000001</v>
      </c>
      <c r="BK1537">
        <v>1.5</v>
      </c>
      <c r="BL1537">
        <v>138.88999999999999</v>
      </c>
      <c r="BM1537">
        <v>20.83</v>
      </c>
      <c r="BN1537">
        <v>159.72</v>
      </c>
      <c r="BO1537">
        <v>159.72</v>
      </c>
      <c r="BQ1537" t="s">
        <v>232</v>
      </c>
      <c r="BR1537" t="s">
        <v>84</v>
      </c>
      <c r="BS1537" s="3">
        <v>45882</v>
      </c>
      <c r="BT1537" s="4">
        <v>0.3215277777777778</v>
      </c>
      <c r="BU1537" t="s">
        <v>233</v>
      </c>
      <c r="BV1537" t="s">
        <v>86</v>
      </c>
      <c r="BY1537">
        <v>5320</v>
      </c>
      <c r="CC1537" t="s">
        <v>230</v>
      </c>
      <c r="CD1537">
        <v>2740</v>
      </c>
      <c r="CE1537" t="s">
        <v>147</v>
      </c>
      <c r="CF1537" s="3">
        <v>45883</v>
      </c>
      <c r="CI1537">
        <v>1</v>
      </c>
      <c r="CJ1537">
        <v>1</v>
      </c>
      <c r="CK1537">
        <v>23</v>
      </c>
      <c r="CL1537" t="s">
        <v>90</v>
      </c>
    </row>
    <row r="1538" spans="1:90" x14ac:dyDescent="0.3">
      <c r="A1538" t="s">
        <v>72</v>
      </c>
      <c r="B1538" t="s">
        <v>73</v>
      </c>
      <c r="C1538" t="s">
        <v>74</v>
      </c>
      <c r="E1538" t="str">
        <f>"080067182594"</f>
        <v>080067182594</v>
      </c>
      <c r="F1538" s="3">
        <v>45881</v>
      </c>
      <c r="G1538">
        <v>202605</v>
      </c>
      <c r="H1538" t="s">
        <v>75</v>
      </c>
      <c r="I1538" t="s">
        <v>76</v>
      </c>
      <c r="J1538" t="s">
        <v>77</v>
      </c>
      <c r="K1538" t="s">
        <v>78</v>
      </c>
      <c r="L1538" t="s">
        <v>75</v>
      </c>
      <c r="M1538" t="s">
        <v>76</v>
      </c>
      <c r="N1538" t="s">
        <v>1789</v>
      </c>
      <c r="O1538" t="s">
        <v>82</v>
      </c>
      <c r="P1538" t="str">
        <f>"4170054260                    "</f>
        <v xml:space="preserve">4170054260                    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>
        <v>18.03</v>
      </c>
      <c r="AR1538">
        <v>0</v>
      </c>
      <c r="AS1538">
        <v>0</v>
      </c>
      <c r="AT1538">
        <v>0</v>
      </c>
      <c r="AU1538">
        <v>0</v>
      </c>
      <c r="AV1538">
        <v>0</v>
      </c>
      <c r="AW1538">
        <v>0</v>
      </c>
      <c r="AX1538">
        <v>0</v>
      </c>
      <c r="AY1538">
        <v>0</v>
      </c>
      <c r="AZ1538">
        <v>0</v>
      </c>
      <c r="BA1538">
        <v>0</v>
      </c>
      <c r="BB1538">
        <v>0</v>
      </c>
      <c r="BC1538">
        <v>0</v>
      </c>
      <c r="BD1538">
        <v>0</v>
      </c>
      <c r="BE1538">
        <v>0</v>
      </c>
      <c r="BF1538">
        <v>0</v>
      </c>
      <c r="BG1538">
        <v>0</v>
      </c>
      <c r="BH1538">
        <v>1</v>
      </c>
      <c r="BI1538">
        <v>1</v>
      </c>
      <c r="BJ1538">
        <v>0.2</v>
      </c>
      <c r="BK1538">
        <v>1</v>
      </c>
      <c r="BL1538">
        <v>55.99</v>
      </c>
      <c r="BM1538">
        <v>8.4</v>
      </c>
      <c r="BN1538">
        <v>64.39</v>
      </c>
      <c r="BO1538">
        <v>64.39</v>
      </c>
      <c r="BQ1538" t="s">
        <v>1790</v>
      </c>
      <c r="BR1538" t="s">
        <v>84</v>
      </c>
      <c r="BS1538" s="3">
        <v>45882</v>
      </c>
      <c r="BT1538" s="4">
        <v>0.33402777777777776</v>
      </c>
      <c r="BU1538" t="s">
        <v>2235</v>
      </c>
      <c r="BV1538" t="s">
        <v>86</v>
      </c>
      <c r="BY1538">
        <v>1200</v>
      </c>
      <c r="CA1538" t="s">
        <v>1743</v>
      </c>
      <c r="CC1538" t="s">
        <v>76</v>
      </c>
      <c r="CD1538">
        <v>1600</v>
      </c>
      <c r="CE1538" t="s">
        <v>109</v>
      </c>
      <c r="CF1538" s="3">
        <v>45882</v>
      </c>
      <c r="CI1538">
        <v>1</v>
      </c>
      <c r="CJ1538">
        <v>1</v>
      </c>
      <c r="CK1538">
        <v>22</v>
      </c>
      <c r="CL1538" t="s">
        <v>90</v>
      </c>
    </row>
    <row r="1539" spans="1:90" x14ac:dyDescent="0.3">
      <c r="A1539" t="s">
        <v>72</v>
      </c>
      <c r="B1539" t="s">
        <v>73</v>
      </c>
      <c r="C1539" t="s">
        <v>74</v>
      </c>
      <c r="E1539" t="str">
        <f>"080067182617"</f>
        <v>080067182617</v>
      </c>
      <c r="F1539" s="3">
        <v>45881</v>
      </c>
      <c r="G1539">
        <v>202605</v>
      </c>
      <c r="H1539" t="s">
        <v>75</v>
      </c>
      <c r="I1539" t="s">
        <v>76</v>
      </c>
      <c r="J1539" t="s">
        <v>77</v>
      </c>
      <c r="K1539" t="s">
        <v>78</v>
      </c>
      <c r="L1539" t="s">
        <v>217</v>
      </c>
      <c r="M1539" t="s">
        <v>218</v>
      </c>
      <c r="N1539" t="s">
        <v>490</v>
      </c>
      <c r="O1539" t="s">
        <v>95</v>
      </c>
      <c r="P1539" t="str">
        <f>"4170054287                    "</f>
        <v xml:space="preserve">4170054287                    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0</v>
      </c>
      <c r="AO1539">
        <v>0</v>
      </c>
      <c r="AP1539">
        <v>0</v>
      </c>
      <c r="AQ1539">
        <v>573.58000000000004</v>
      </c>
      <c r="AR1539">
        <v>0</v>
      </c>
      <c r="AS1539">
        <v>0</v>
      </c>
      <c r="AT1539">
        <v>0</v>
      </c>
      <c r="AU1539">
        <v>0</v>
      </c>
      <c r="AV1539">
        <v>0</v>
      </c>
      <c r="AW1539">
        <v>0</v>
      </c>
      <c r="AX1539">
        <v>0</v>
      </c>
      <c r="AY1539">
        <v>0</v>
      </c>
      <c r="AZ1539">
        <v>0</v>
      </c>
      <c r="BA1539">
        <v>0</v>
      </c>
      <c r="BB1539">
        <v>0</v>
      </c>
      <c r="BC1539">
        <v>0</v>
      </c>
      <c r="BD1539">
        <v>0</v>
      </c>
      <c r="BE1539">
        <v>0</v>
      </c>
      <c r="BF1539">
        <v>0</v>
      </c>
      <c r="BG1539">
        <v>0</v>
      </c>
      <c r="BH1539">
        <v>3</v>
      </c>
      <c r="BI1539">
        <v>259</v>
      </c>
      <c r="BJ1539">
        <v>301.39999999999998</v>
      </c>
      <c r="BK1539">
        <v>302</v>
      </c>
      <c r="BL1539">
        <v>1786.99</v>
      </c>
      <c r="BM1539">
        <v>268.05</v>
      </c>
      <c r="BN1539">
        <v>2055.04</v>
      </c>
      <c r="BO1539">
        <v>2055.04</v>
      </c>
      <c r="BQ1539" t="s">
        <v>491</v>
      </c>
      <c r="BR1539" t="s">
        <v>84</v>
      </c>
      <c r="BS1539" s="3">
        <v>45882</v>
      </c>
      <c r="BT1539" s="4">
        <v>0.66666666666666663</v>
      </c>
      <c r="BU1539" t="s">
        <v>2236</v>
      </c>
      <c r="BV1539" t="s">
        <v>86</v>
      </c>
      <c r="BY1539">
        <v>1507200</v>
      </c>
      <c r="CC1539" t="s">
        <v>218</v>
      </c>
      <c r="CD1539">
        <v>4052</v>
      </c>
      <c r="CE1539" t="s">
        <v>708</v>
      </c>
      <c r="CF1539" s="3">
        <v>45883</v>
      </c>
      <c r="CI1539">
        <v>1</v>
      </c>
      <c r="CJ1539">
        <v>1</v>
      </c>
      <c r="CK1539">
        <v>41</v>
      </c>
      <c r="CL1539" t="s">
        <v>90</v>
      </c>
    </row>
    <row r="1540" spans="1:90" x14ac:dyDescent="0.3">
      <c r="A1540" t="s">
        <v>72</v>
      </c>
      <c r="B1540" t="s">
        <v>73</v>
      </c>
      <c r="C1540" t="s">
        <v>74</v>
      </c>
      <c r="E1540" t="str">
        <f>"080067182656"</f>
        <v>080067182656</v>
      </c>
      <c r="F1540" s="3">
        <v>45881</v>
      </c>
      <c r="G1540">
        <v>202605</v>
      </c>
      <c r="H1540" t="s">
        <v>75</v>
      </c>
      <c r="I1540" t="s">
        <v>76</v>
      </c>
      <c r="J1540" t="s">
        <v>77</v>
      </c>
      <c r="K1540" t="s">
        <v>78</v>
      </c>
      <c r="L1540" t="s">
        <v>373</v>
      </c>
      <c r="M1540" t="s">
        <v>374</v>
      </c>
      <c r="N1540" t="s">
        <v>946</v>
      </c>
      <c r="O1540" t="s">
        <v>82</v>
      </c>
      <c r="P1540" t="str">
        <f>"4170054228                    "</f>
        <v xml:space="preserve">4170054228                    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Q1540">
        <v>23.09</v>
      </c>
      <c r="AR1540">
        <v>0</v>
      </c>
      <c r="AS1540">
        <v>0</v>
      </c>
      <c r="AT1540">
        <v>0</v>
      </c>
      <c r="AU1540">
        <v>0</v>
      </c>
      <c r="AV1540">
        <v>0</v>
      </c>
      <c r="AW1540">
        <v>0</v>
      </c>
      <c r="AX1540">
        <v>0</v>
      </c>
      <c r="AY1540">
        <v>0</v>
      </c>
      <c r="AZ1540">
        <v>0</v>
      </c>
      <c r="BA1540">
        <v>0</v>
      </c>
      <c r="BB1540">
        <v>0</v>
      </c>
      <c r="BC1540">
        <v>0</v>
      </c>
      <c r="BD1540">
        <v>0</v>
      </c>
      <c r="BE1540">
        <v>0</v>
      </c>
      <c r="BF1540">
        <v>0</v>
      </c>
      <c r="BG1540">
        <v>0</v>
      </c>
      <c r="BH1540">
        <v>1</v>
      </c>
      <c r="BI1540">
        <v>1</v>
      </c>
      <c r="BJ1540">
        <v>0.2</v>
      </c>
      <c r="BK1540">
        <v>1</v>
      </c>
      <c r="BL1540">
        <v>71.69</v>
      </c>
      <c r="BM1540">
        <v>10.75</v>
      </c>
      <c r="BN1540">
        <v>82.44</v>
      </c>
      <c r="BO1540">
        <v>82.44</v>
      </c>
      <c r="BQ1540" t="s">
        <v>947</v>
      </c>
      <c r="BR1540" t="s">
        <v>84</v>
      </c>
      <c r="BS1540" s="3">
        <v>45882</v>
      </c>
      <c r="BT1540" s="4">
        <v>0.42986111111111114</v>
      </c>
      <c r="BU1540" t="s">
        <v>948</v>
      </c>
      <c r="BV1540" t="s">
        <v>86</v>
      </c>
      <c r="BY1540">
        <v>1200</v>
      </c>
      <c r="CA1540" t="s">
        <v>203</v>
      </c>
      <c r="CC1540" t="s">
        <v>374</v>
      </c>
      <c r="CD1540">
        <v>6220</v>
      </c>
      <c r="CE1540" t="s">
        <v>109</v>
      </c>
      <c r="CF1540" s="3">
        <v>45882</v>
      </c>
      <c r="CI1540">
        <v>1</v>
      </c>
      <c r="CJ1540">
        <v>1</v>
      </c>
      <c r="CK1540">
        <v>21</v>
      </c>
      <c r="CL1540" t="s">
        <v>90</v>
      </c>
    </row>
    <row r="1541" spans="1:90" x14ac:dyDescent="0.3">
      <c r="A1541" t="s">
        <v>72</v>
      </c>
      <c r="B1541" t="s">
        <v>73</v>
      </c>
      <c r="C1541" t="s">
        <v>74</v>
      </c>
      <c r="E1541" t="str">
        <f>"080067182702"</f>
        <v>080067182702</v>
      </c>
      <c r="F1541" s="3">
        <v>45881</v>
      </c>
      <c r="G1541">
        <v>202605</v>
      </c>
      <c r="H1541" t="s">
        <v>75</v>
      </c>
      <c r="I1541" t="s">
        <v>76</v>
      </c>
      <c r="J1541" t="s">
        <v>77</v>
      </c>
      <c r="K1541" t="s">
        <v>78</v>
      </c>
      <c r="L1541" t="s">
        <v>223</v>
      </c>
      <c r="M1541" t="s">
        <v>224</v>
      </c>
      <c r="N1541" t="s">
        <v>2237</v>
      </c>
      <c r="O1541" t="s">
        <v>82</v>
      </c>
      <c r="P1541" t="str">
        <f>"4170054205                    "</f>
        <v xml:space="preserve">4170054205                    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0</v>
      </c>
      <c r="AP1541">
        <v>0</v>
      </c>
      <c r="AQ1541">
        <v>23.09</v>
      </c>
      <c r="AR1541">
        <v>0</v>
      </c>
      <c r="AS1541">
        <v>0</v>
      </c>
      <c r="AT1541">
        <v>0</v>
      </c>
      <c r="AU1541">
        <v>0</v>
      </c>
      <c r="AV1541">
        <v>0</v>
      </c>
      <c r="AW1541">
        <v>0</v>
      </c>
      <c r="AX1541">
        <v>0</v>
      </c>
      <c r="AY1541">
        <v>0</v>
      </c>
      <c r="AZ1541">
        <v>0</v>
      </c>
      <c r="BA1541">
        <v>0</v>
      </c>
      <c r="BB1541">
        <v>0</v>
      </c>
      <c r="BC1541">
        <v>0</v>
      </c>
      <c r="BD1541">
        <v>0</v>
      </c>
      <c r="BE1541">
        <v>0</v>
      </c>
      <c r="BF1541">
        <v>0</v>
      </c>
      <c r="BG1541">
        <v>0</v>
      </c>
      <c r="BH1541">
        <v>1</v>
      </c>
      <c r="BI1541">
        <v>1</v>
      </c>
      <c r="BJ1541">
        <v>0.2</v>
      </c>
      <c r="BK1541">
        <v>1</v>
      </c>
      <c r="BL1541">
        <v>71.69</v>
      </c>
      <c r="BM1541">
        <v>10.75</v>
      </c>
      <c r="BN1541">
        <v>82.44</v>
      </c>
      <c r="BO1541">
        <v>82.44</v>
      </c>
      <c r="BQ1541" t="s">
        <v>2238</v>
      </c>
      <c r="BR1541" t="s">
        <v>84</v>
      </c>
      <c r="BS1541" s="3">
        <v>45882</v>
      </c>
      <c r="BT1541" s="4">
        <v>0.59791666666666665</v>
      </c>
      <c r="BU1541" t="s">
        <v>2239</v>
      </c>
      <c r="BV1541" t="s">
        <v>86</v>
      </c>
      <c r="BY1541">
        <v>1200</v>
      </c>
      <c r="CA1541" t="s">
        <v>268</v>
      </c>
      <c r="CC1541" t="s">
        <v>224</v>
      </c>
      <c r="CD1541">
        <v>5201</v>
      </c>
      <c r="CE1541" t="s">
        <v>109</v>
      </c>
      <c r="CF1541" s="3">
        <v>45883</v>
      </c>
      <c r="CI1541">
        <v>5</v>
      </c>
      <c r="CJ1541">
        <v>1</v>
      </c>
      <c r="CK1541">
        <v>21</v>
      </c>
      <c r="CL1541" t="s">
        <v>90</v>
      </c>
    </row>
    <row r="1542" spans="1:90" x14ac:dyDescent="0.3">
      <c r="A1542" t="s">
        <v>72</v>
      </c>
      <c r="B1542" t="s">
        <v>73</v>
      </c>
      <c r="C1542" t="s">
        <v>74</v>
      </c>
      <c r="E1542" t="str">
        <f>"080067182775"</f>
        <v>080067182775</v>
      </c>
      <c r="F1542" s="3">
        <v>45881</v>
      </c>
      <c r="G1542">
        <v>202605</v>
      </c>
      <c r="H1542" t="s">
        <v>75</v>
      </c>
      <c r="I1542" t="s">
        <v>76</v>
      </c>
      <c r="J1542" t="s">
        <v>77</v>
      </c>
      <c r="K1542" t="s">
        <v>78</v>
      </c>
      <c r="L1542" t="s">
        <v>217</v>
      </c>
      <c r="M1542" t="s">
        <v>218</v>
      </c>
      <c r="N1542" t="s">
        <v>544</v>
      </c>
      <c r="O1542" t="s">
        <v>82</v>
      </c>
      <c r="P1542" t="str">
        <f>"4170054271                    "</f>
        <v xml:space="preserve">4170054271                    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0</v>
      </c>
      <c r="AO1542">
        <v>0</v>
      </c>
      <c r="AP1542">
        <v>0</v>
      </c>
      <c r="AQ1542">
        <v>23.09</v>
      </c>
      <c r="AR1542">
        <v>0</v>
      </c>
      <c r="AS1542">
        <v>0</v>
      </c>
      <c r="AT1542">
        <v>0</v>
      </c>
      <c r="AU1542">
        <v>0</v>
      </c>
      <c r="AV1542">
        <v>0</v>
      </c>
      <c r="AW1542">
        <v>0</v>
      </c>
      <c r="AX1542">
        <v>0</v>
      </c>
      <c r="AY1542">
        <v>0</v>
      </c>
      <c r="AZ1542">
        <v>0</v>
      </c>
      <c r="BA1542">
        <v>0</v>
      </c>
      <c r="BB1542">
        <v>0</v>
      </c>
      <c r="BC1542">
        <v>0</v>
      </c>
      <c r="BD1542">
        <v>0</v>
      </c>
      <c r="BE1542">
        <v>0</v>
      </c>
      <c r="BF1542">
        <v>0</v>
      </c>
      <c r="BG1542">
        <v>0</v>
      </c>
      <c r="BH1542">
        <v>1</v>
      </c>
      <c r="BI1542">
        <v>1</v>
      </c>
      <c r="BJ1542">
        <v>0.2</v>
      </c>
      <c r="BK1542">
        <v>1</v>
      </c>
      <c r="BL1542">
        <v>71.69</v>
      </c>
      <c r="BM1542">
        <v>10.75</v>
      </c>
      <c r="BN1542">
        <v>82.44</v>
      </c>
      <c r="BO1542">
        <v>82.44</v>
      </c>
      <c r="BQ1542" t="s">
        <v>545</v>
      </c>
      <c r="BR1542" t="s">
        <v>84</v>
      </c>
      <c r="BS1542" s="3">
        <v>45882</v>
      </c>
      <c r="BT1542" s="4">
        <v>0.45416666666666666</v>
      </c>
      <c r="BU1542" t="s">
        <v>2240</v>
      </c>
      <c r="BV1542" t="s">
        <v>90</v>
      </c>
      <c r="BW1542" t="s">
        <v>1167</v>
      </c>
      <c r="BX1542" t="s">
        <v>641</v>
      </c>
      <c r="BY1542">
        <v>1200</v>
      </c>
      <c r="CA1542" t="s">
        <v>953</v>
      </c>
      <c r="CC1542" t="s">
        <v>218</v>
      </c>
      <c r="CD1542">
        <v>4000</v>
      </c>
      <c r="CE1542" t="s">
        <v>109</v>
      </c>
      <c r="CF1542" s="3">
        <v>45882</v>
      </c>
      <c r="CI1542">
        <v>1</v>
      </c>
      <c r="CJ1542">
        <v>1</v>
      </c>
      <c r="CK1542">
        <v>21</v>
      </c>
      <c r="CL1542" t="s">
        <v>90</v>
      </c>
    </row>
    <row r="1543" spans="1:90" x14ac:dyDescent="0.3">
      <c r="A1543" t="s">
        <v>72</v>
      </c>
      <c r="B1543" t="s">
        <v>73</v>
      </c>
      <c r="C1543" t="s">
        <v>74</v>
      </c>
      <c r="E1543" t="str">
        <f>"080067182875"</f>
        <v>080067182875</v>
      </c>
      <c r="F1543" s="3">
        <v>45881</v>
      </c>
      <c r="G1543">
        <v>202605</v>
      </c>
      <c r="H1543" t="s">
        <v>75</v>
      </c>
      <c r="I1543" t="s">
        <v>76</v>
      </c>
      <c r="J1543" t="s">
        <v>77</v>
      </c>
      <c r="K1543" t="s">
        <v>78</v>
      </c>
      <c r="L1543" t="s">
        <v>1316</v>
      </c>
      <c r="M1543" t="s">
        <v>1317</v>
      </c>
      <c r="N1543" t="s">
        <v>2241</v>
      </c>
      <c r="O1543" t="s">
        <v>82</v>
      </c>
      <c r="P1543" t="str">
        <f>"4170054231                    "</f>
        <v xml:space="preserve">4170054231                    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0</v>
      </c>
      <c r="AO1543">
        <v>0</v>
      </c>
      <c r="AP1543">
        <v>0</v>
      </c>
      <c r="AQ1543">
        <v>23.09</v>
      </c>
      <c r="AR1543">
        <v>0</v>
      </c>
      <c r="AS1543">
        <v>0</v>
      </c>
      <c r="AT1543">
        <v>0</v>
      </c>
      <c r="AU1543">
        <v>0</v>
      </c>
      <c r="AV1543">
        <v>0</v>
      </c>
      <c r="AW1543">
        <v>0</v>
      </c>
      <c r="AX1543">
        <v>0</v>
      </c>
      <c r="AY1543">
        <v>0</v>
      </c>
      <c r="AZ1543">
        <v>0</v>
      </c>
      <c r="BA1543">
        <v>0</v>
      </c>
      <c r="BB1543">
        <v>0</v>
      </c>
      <c r="BC1543">
        <v>0</v>
      </c>
      <c r="BD1543">
        <v>0</v>
      </c>
      <c r="BE1543">
        <v>0</v>
      </c>
      <c r="BF1543">
        <v>0</v>
      </c>
      <c r="BG1543">
        <v>0</v>
      </c>
      <c r="BH1543">
        <v>1</v>
      </c>
      <c r="BI1543">
        <v>1</v>
      </c>
      <c r="BJ1543">
        <v>0.2</v>
      </c>
      <c r="BK1543">
        <v>1</v>
      </c>
      <c r="BL1543">
        <v>71.69</v>
      </c>
      <c r="BM1543">
        <v>10.75</v>
      </c>
      <c r="BN1543">
        <v>82.44</v>
      </c>
      <c r="BO1543">
        <v>82.44</v>
      </c>
      <c r="BQ1543" t="s">
        <v>2242</v>
      </c>
      <c r="BR1543" t="s">
        <v>84</v>
      </c>
      <c r="BS1543" s="3">
        <v>45882</v>
      </c>
      <c r="BT1543" s="4">
        <v>0.3888888888888889</v>
      </c>
      <c r="BU1543" t="s">
        <v>2243</v>
      </c>
      <c r="BV1543" t="s">
        <v>86</v>
      </c>
      <c r="BY1543">
        <v>1200</v>
      </c>
      <c r="CA1543" t="s">
        <v>136</v>
      </c>
      <c r="CC1543" t="s">
        <v>1317</v>
      </c>
      <c r="CD1543">
        <v>4026</v>
      </c>
      <c r="CE1543" t="s">
        <v>109</v>
      </c>
      <c r="CF1543" s="3">
        <v>45883</v>
      </c>
      <c r="CI1543">
        <v>1</v>
      </c>
      <c r="CJ1543">
        <v>1</v>
      </c>
      <c r="CK1543">
        <v>21</v>
      </c>
      <c r="CL1543" t="s">
        <v>90</v>
      </c>
    </row>
    <row r="1544" spans="1:90" x14ac:dyDescent="0.3">
      <c r="A1544" t="s">
        <v>72</v>
      </c>
      <c r="B1544" t="s">
        <v>73</v>
      </c>
      <c r="C1544" t="s">
        <v>74</v>
      </c>
      <c r="E1544" t="str">
        <f>"080067182912"</f>
        <v>080067182912</v>
      </c>
      <c r="F1544" s="3">
        <v>45881</v>
      </c>
      <c r="G1544">
        <v>202605</v>
      </c>
      <c r="H1544" t="s">
        <v>75</v>
      </c>
      <c r="I1544" t="s">
        <v>76</v>
      </c>
      <c r="J1544" t="s">
        <v>77</v>
      </c>
      <c r="K1544" t="s">
        <v>78</v>
      </c>
      <c r="L1544" t="s">
        <v>391</v>
      </c>
      <c r="M1544" t="s">
        <v>392</v>
      </c>
      <c r="N1544" t="s">
        <v>393</v>
      </c>
      <c r="O1544" t="s">
        <v>82</v>
      </c>
      <c r="P1544" t="str">
        <f>"4170054293                    "</f>
        <v xml:space="preserve">4170054293                    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0</v>
      </c>
      <c r="AP1544">
        <v>0</v>
      </c>
      <c r="AQ1544">
        <v>44.73</v>
      </c>
      <c r="AR1544">
        <v>0</v>
      </c>
      <c r="AS1544">
        <v>0</v>
      </c>
      <c r="AT1544">
        <v>0</v>
      </c>
      <c r="AU1544">
        <v>0</v>
      </c>
      <c r="AV1544">
        <v>0</v>
      </c>
      <c r="AW1544">
        <v>0</v>
      </c>
      <c r="AX1544">
        <v>0</v>
      </c>
      <c r="AY1544">
        <v>0</v>
      </c>
      <c r="AZ1544">
        <v>0</v>
      </c>
      <c r="BA1544">
        <v>0</v>
      </c>
      <c r="BB1544">
        <v>0</v>
      </c>
      <c r="BC1544">
        <v>0</v>
      </c>
      <c r="BD1544">
        <v>0</v>
      </c>
      <c r="BE1544">
        <v>0</v>
      </c>
      <c r="BF1544">
        <v>0</v>
      </c>
      <c r="BG1544">
        <v>0</v>
      </c>
      <c r="BH1544">
        <v>1</v>
      </c>
      <c r="BI1544">
        <v>1</v>
      </c>
      <c r="BJ1544">
        <v>0.2</v>
      </c>
      <c r="BK1544">
        <v>1</v>
      </c>
      <c r="BL1544">
        <v>138.88999999999999</v>
      </c>
      <c r="BM1544">
        <v>20.83</v>
      </c>
      <c r="BN1544">
        <v>159.72</v>
      </c>
      <c r="BO1544">
        <v>159.72</v>
      </c>
      <c r="BQ1544" t="s">
        <v>394</v>
      </c>
      <c r="BR1544" t="s">
        <v>84</v>
      </c>
      <c r="BS1544" s="3">
        <v>45882</v>
      </c>
      <c r="BT1544" s="4">
        <v>0.47291666666666665</v>
      </c>
      <c r="BU1544" t="s">
        <v>2244</v>
      </c>
      <c r="BV1544" t="s">
        <v>86</v>
      </c>
      <c r="BY1544">
        <v>1200</v>
      </c>
      <c r="CA1544" t="s">
        <v>1347</v>
      </c>
      <c r="CC1544" t="s">
        <v>392</v>
      </c>
      <c r="CD1544">
        <v>6715</v>
      </c>
      <c r="CE1544" t="s">
        <v>109</v>
      </c>
      <c r="CF1544" s="3">
        <v>45883</v>
      </c>
      <c r="CI1544">
        <v>2</v>
      </c>
      <c r="CJ1544">
        <v>1</v>
      </c>
      <c r="CK1544">
        <v>23</v>
      </c>
      <c r="CL1544" t="s">
        <v>90</v>
      </c>
    </row>
    <row r="1545" spans="1:90" x14ac:dyDescent="0.3">
      <c r="A1545" t="s">
        <v>72</v>
      </c>
      <c r="B1545" t="s">
        <v>73</v>
      </c>
      <c r="C1545" t="s">
        <v>74</v>
      </c>
      <c r="E1545" t="str">
        <f>"080067182956"</f>
        <v>080067182956</v>
      </c>
      <c r="F1545" s="3">
        <v>45881</v>
      </c>
      <c r="G1545">
        <v>202605</v>
      </c>
      <c r="H1545" t="s">
        <v>75</v>
      </c>
      <c r="I1545" t="s">
        <v>76</v>
      </c>
      <c r="J1545" t="s">
        <v>77</v>
      </c>
      <c r="K1545" t="s">
        <v>78</v>
      </c>
      <c r="L1545" t="s">
        <v>118</v>
      </c>
      <c r="M1545" t="s">
        <v>118</v>
      </c>
      <c r="N1545" t="s">
        <v>669</v>
      </c>
      <c r="O1545" t="s">
        <v>82</v>
      </c>
      <c r="P1545" t="str">
        <f>"4170054213                    "</f>
        <v xml:space="preserve">4170054213                    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0</v>
      </c>
      <c r="AP1545">
        <v>0</v>
      </c>
      <c r="AQ1545">
        <v>44.73</v>
      </c>
      <c r="AR1545">
        <v>0</v>
      </c>
      <c r="AS1545">
        <v>0</v>
      </c>
      <c r="AT1545">
        <v>0</v>
      </c>
      <c r="AU1545">
        <v>0</v>
      </c>
      <c r="AV1545">
        <v>0</v>
      </c>
      <c r="AW1545">
        <v>0</v>
      </c>
      <c r="AX1545">
        <v>0</v>
      </c>
      <c r="AY1545">
        <v>0</v>
      </c>
      <c r="AZ1545">
        <v>0</v>
      </c>
      <c r="BA1545">
        <v>0</v>
      </c>
      <c r="BB1545">
        <v>0</v>
      </c>
      <c r="BC1545">
        <v>0</v>
      </c>
      <c r="BD1545">
        <v>0</v>
      </c>
      <c r="BE1545">
        <v>0</v>
      </c>
      <c r="BF1545">
        <v>0</v>
      </c>
      <c r="BG1545">
        <v>0</v>
      </c>
      <c r="BH1545">
        <v>1</v>
      </c>
      <c r="BI1545">
        <v>1</v>
      </c>
      <c r="BJ1545">
        <v>0.2</v>
      </c>
      <c r="BK1545">
        <v>1</v>
      </c>
      <c r="BL1545">
        <v>138.88999999999999</v>
      </c>
      <c r="BM1545">
        <v>20.83</v>
      </c>
      <c r="BN1545">
        <v>159.72</v>
      </c>
      <c r="BO1545">
        <v>159.72</v>
      </c>
      <c r="BQ1545" t="s">
        <v>670</v>
      </c>
      <c r="BR1545" t="s">
        <v>84</v>
      </c>
      <c r="BS1545" s="3">
        <v>45882</v>
      </c>
      <c r="BT1545" s="4">
        <v>0.53888888888888886</v>
      </c>
      <c r="BU1545" t="s">
        <v>2155</v>
      </c>
      <c r="BV1545" t="s">
        <v>86</v>
      </c>
      <c r="BY1545">
        <v>1200</v>
      </c>
      <c r="CA1545" t="s">
        <v>122</v>
      </c>
      <c r="CC1545" t="s">
        <v>118</v>
      </c>
      <c r="CD1545">
        <v>7646</v>
      </c>
      <c r="CE1545" t="s">
        <v>109</v>
      </c>
      <c r="CF1545" s="3">
        <v>45883</v>
      </c>
      <c r="CI1545">
        <v>1</v>
      </c>
      <c r="CJ1545">
        <v>1</v>
      </c>
      <c r="CK1545">
        <v>23</v>
      </c>
      <c r="CL1545" t="s">
        <v>90</v>
      </c>
    </row>
    <row r="1546" spans="1:90" x14ac:dyDescent="0.3">
      <c r="A1546" t="s">
        <v>72</v>
      </c>
      <c r="B1546" t="s">
        <v>73</v>
      </c>
      <c r="C1546" t="s">
        <v>74</v>
      </c>
      <c r="E1546" t="str">
        <f>"080067182994"</f>
        <v>080067182994</v>
      </c>
      <c r="F1546" s="3">
        <v>45881</v>
      </c>
      <c r="G1546">
        <v>202605</v>
      </c>
      <c r="H1546" t="s">
        <v>75</v>
      </c>
      <c r="I1546" t="s">
        <v>76</v>
      </c>
      <c r="J1546" t="s">
        <v>77</v>
      </c>
      <c r="K1546" t="s">
        <v>78</v>
      </c>
      <c r="L1546" t="s">
        <v>162</v>
      </c>
      <c r="M1546" t="s">
        <v>163</v>
      </c>
      <c r="N1546" t="s">
        <v>916</v>
      </c>
      <c r="O1546" t="s">
        <v>82</v>
      </c>
      <c r="P1546" t="str">
        <f>"4170054248                    "</f>
        <v xml:space="preserve">4170054248                    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0</v>
      </c>
      <c r="AN1546">
        <v>0</v>
      </c>
      <c r="AO1546">
        <v>0</v>
      </c>
      <c r="AP1546">
        <v>0</v>
      </c>
      <c r="AQ1546">
        <v>23.09</v>
      </c>
      <c r="AR1546">
        <v>0</v>
      </c>
      <c r="AS1546">
        <v>0</v>
      </c>
      <c r="AT1546">
        <v>0</v>
      </c>
      <c r="AU1546">
        <v>0</v>
      </c>
      <c r="AV1546">
        <v>0</v>
      </c>
      <c r="AW1546">
        <v>0</v>
      </c>
      <c r="AX1546">
        <v>0</v>
      </c>
      <c r="AY1546">
        <v>0</v>
      </c>
      <c r="AZ1546">
        <v>0</v>
      </c>
      <c r="BA1546">
        <v>0</v>
      </c>
      <c r="BB1546">
        <v>0</v>
      </c>
      <c r="BC1546">
        <v>0</v>
      </c>
      <c r="BD1546">
        <v>0</v>
      </c>
      <c r="BE1546">
        <v>0</v>
      </c>
      <c r="BF1546">
        <v>0</v>
      </c>
      <c r="BG1546">
        <v>0</v>
      </c>
      <c r="BH1546">
        <v>1</v>
      </c>
      <c r="BI1546">
        <v>1</v>
      </c>
      <c r="BJ1546">
        <v>0.2</v>
      </c>
      <c r="BK1546">
        <v>1</v>
      </c>
      <c r="BL1546">
        <v>71.69</v>
      </c>
      <c r="BM1546">
        <v>10.75</v>
      </c>
      <c r="BN1546">
        <v>82.44</v>
      </c>
      <c r="BO1546">
        <v>82.44</v>
      </c>
      <c r="BQ1546" t="s">
        <v>917</v>
      </c>
      <c r="BR1546" t="s">
        <v>84</v>
      </c>
      <c r="BS1546" s="3">
        <v>45882</v>
      </c>
      <c r="BT1546" s="4">
        <v>0.41666666666666669</v>
      </c>
      <c r="BU1546" t="s">
        <v>918</v>
      </c>
      <c r="BV1546" t="s">
        <v>86</v>
      </c>
      <c r="BY1546">
        <v>1200</v>
      </c>
      <c r="CA1546" t="s">
        <v>919</v>
      </c>
      <c r="CC1546" t="s">
        <v>163</v>
      </c>
      <c r="CD1546">
        <v>3201</v>
      </c>
      <c r="CE1546" t="s">
        <v>109</v>
      </c>
      <c r="CF1546" s="3">
        <v>45883</v>
      </c>
      <c r="CI1546">
        <v>5</v>
      </c>
      <c r="CJ1546">
        <v>1</v>
      </c>
      <c r="CK1546">
        <v>21</v>
      </c>
      <c r="CL1546" t="s">
        <v>90</v>
      </c>
    </row>
    <row r="1547" spans="1:90" x14ac:dyDescent="0.3">
      <c r="A1547" t="s">
        <v>72</v>
      </c>
      <c r="B1547" t="s">
        <v>73</v>
      </c>
      <c r="C1547" t="s">
        <v>74</v>
      </c>
      <c r="E1547" t="str">
        <f>"080067183035"</f>
        <v>080067183035</v>
      </c>
      <c r="F1547" s="3">
        <v>45881</v>
      </c>
      <c r="G1547">
        <v>202605</v>
      </c>
      <c r="H1547" t="s">
        <v>75</v>
      </c>
      <c r="I1547" t="s">
        <v>76</v>
      </c>
      <c r="J1547" t="s">
        <v>77</v>
      </c>
      <c r="K1547" t="s">
        <v>78</v>
      </c>
      <c r="L1547" t="s">
        <v>241</v>
      </c>
      <c r="M1547" t="s">
        <v>242</v>
      </c>
      <c r="N1547" t="s">
        <v>527</v>
      </c>
      <c r="O1547" t="s">
        <v>82</v>
      </c>
      <c r="P1547" t="str">
        <f>"4170054230                    "</f>
        <v xml:space="preserve">4170054230                    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>
        <v>0</v>
      </c>
      <c r="AQ1547">
        <v>18.03</v>
      </c>
      <c r="AR1547">
        <v>0</v>
      </c>
      <c r="AS1547">
        <v>0</v>
      </c>
      <c r="AT1547">
        <v>0</v>
      </c>
      <c r="AU1547">
        <v>0</v>
      </c>
      <c r="AV1547">
        <v>0</v>
      </c>
      <c r="AW1547">
        <v>0</v>
      </c>
      <c r="AX1547">
        <v>0</v>
      </c>
      <c r="AY1547">
        <v>0</v>
      </c>
      <c r="AZ1547">
        <v>0</v>
      </c>
      <c r="BA1547">
        <v>0</v>
      </c>
      <c r="BB1547">
        <v>0</v>
      </c>
      <c r="BC1547">
        <v>0</v>
      </c>
      <c r="BD1547">
        <v>0</v>
      </c>
      <c r="BE1547">
        <v>0</v>
      </c>
      <c r="BF1547">
        <v>0</v>
      </c>
      <c r="BG1547">
        <v>0</v>
      </c>
      <c r="BH1547">
        <v>1</v>
      </c>
      <c r="BI1547">
        <v>1</v>
      </c>
      <c r="BJ1547">
        <v>0.2</v>
      </c>
      <c r="BK1547">
        <v>1</v>
      </c>
      <c r="BL1547">
        <v>55.99</v>
      </c>
      <c r="BM1547">
        <v>8.4</v>
      </c>
      <c r="BN1547">
        <v>64.39</v>
      </c>
      <c r="BO1547">
        <v>64.39</v>
      </c>
      <c r="BQ1547" t="s">
        <v>528</v>
      </c>
      <c r="BR1547" t="s">
        <v>84</v>
      </c>
      <c r="BS1547" s="3">
        <v>45882</v>
      </c>
      <c r="BT1547" s="4">
        <v>0.34444444444444444</v>
      </c>
      <c r="BU1547" t="s">
        <v>2245</v>
      </c>
      <c r="BV1547" t="s">
        <v>86</v>
      </c>
      <c r="BY1547">
        <v>1200</v>
      </c>
      <c r="CA1547" t="s">
        <v>720</v>
      </c>
      <c r="CC1547" t="s">
        <v>242</v>
      </c>
      <c r="CD1547">
        <v>1459</v>
      </c>
      <c r="CE1547" t="s">
        <v>109</v>
      </c>
      <c r="CF1547" s="3">
        <v>45882</v>
      </c>
      <c r="CI1547">
        <v>1</v>
      </c>
      <c r="CJ1547">
        <v>1</v>
      </c>
      <c r="CK1547">
        <v>22</v>
      </c>
      <c r="CL1547" t="s">
        <v>90</v>
      </c>
    </row>
    <row r="1548" spans="1:90" x14ac:dyDescent="0.3">
      <c r="A1548" t="s">
        <v>72</v>
      </c>
      <c r="B1548" t="s">
        <v>73</v>
      </c>
      <c r="C1548" t="s">
        <v>74</v>
      </c>
      <c r="E1548" t="str">
        <f>"080067183068"</f>
        <v>080067183068</v>
      </c>
      <c r="F1548" s="3">
        <v>45881</v>
      </c>
      <c r="G1548">
        <v>202605</v>
      </c>
      <c r="H1548" t="s">
        <v>75</v>
      </c>
      <c r="I1548" t="s">
        <v>76</v>
      </c>
      <c r="J1548" t="s">
        <v>77</v>
      </c>
      <c r="K1548" t="s">
        <v>78</v>
      </c>
      <c r="L1548" t="s">
        <v>179</v>
      </c>
      <c r="M1548" t="s">
        <v>180</v>
      </c>
      <c r="N1548" t="s">
        <v>131</v>
      </c>
      <c r="O1548" t="s">
        <v>82</v>
      </c>
      <c r="P1548" t="str">
        <f>"4170054267                    "</f>
        <v xml:space="preserve">4170054267                    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0</v>
      </c>
      <c r="AP1548">
        <v>0</v>
      </c>
      <c r="AQ1548">
        <v>32.47</v>
      </c>
      <c r="AR1548">
        <v>0</v>
      </c>
      <c r="AS1548">
        <v>0</v>
      </c>
      <c r="AT1548">
        <v>0</v>
      </c>
      <c r="AU1548">
        <v>0</v>
      </c>
      <c r="AV1548">
        <v>0</v>
      </c>
      <c r="AW1548">
        <v>0</v>
      </c>
      <c r="AX1548">
        <v>0</v>
      </c>
      <c r="AY1548">
        <v>0</v>
      </c>
      <c r="AZ1548">
        <v>0</v>
      </c>
      <c r="BA1548">
        <v>0</v>
      </c>
      <c r="BB1548">
        <v>0</v>
      </c>
      <c r="BC1548">
        <v>0</v>
      </c>
      <c r="BD1548">
        <v>0</v>
      </c>
      <c r="BE1548">
        <v>0</v>
      </c>
      <c r="BF1548">
        <v>0</v>
      </c>
      <c r="BG1548">
        <v>0</v>
      </c>
      <c r="BH1548">
        <v>1</v>
      </c>
      <c r="BI1548">
        <v>1</v>
      </c>
      <c r="BJ1548">
        <v>0.2</v>
      </c>
      <c r="BK1548">
        <v>1</v>
      </c>
      <c r="BL1548">
        <v>100.82</v>
      </c>
      <c r="BM1548">
        <v>15.12</v>
      </c>
      <c r="BN1548">
        <v>115.94</v>
      </c>
      <c r="BO1548">
        <v>115.94</v>
      </c>
      <c r="BQ1548" t="s">
        <v>132</v>
      </c>
      <c r="BR1548" t="s">
        <v>84</v>
      </c>
      <c r="BS1548" s="3">
        <v>45882</v>
      </c>
      <c r="BT1548" s="4">
        <v>0.41666666666666669</v>
      </c>
      <c r="BU1548" t="s">
        <v>2246</v>
      </c>
      <c r="BV1548" t="s">
        <v>86</v>
      </c>
      <c r="BY1548">
        <v>1200</v>
      </c>
      <c r="CA1548" t="s">
        <v>457</v>
      </c>
      <c r="CC1548" t="s">
        <v>180</v>
      </c>
      <c r="CD1548">
        <v>1754</v>
      </c>
      <c r="CE1548" t="s">
        <v>109</v>
      </c>
      <c r="CF1548" s="3">
        <v>45882</v>
      </c>
      <c r="CI1548">
        <v>1</v>
      </c>
      <c r="CJ1548">
        <v>1</v>
      </c>
      <c r="CK1548">
        <v>24</v>
      </c>
      <c r="CL1548" t="s">
        <v>90</v>
      </c>
    </row>
    <row r="1549" spans="1:90" x14ac:dyDescent="0.3">
      <c r="A1549" t="s">
        <v>72</v>
      </c>
      <c r="B1549" t="s">
        <v>73</v>
      </c>
      <c r="C1549" t="s">
        <v>74</v>
      </c>
      <c r="E1549" t="str">
        <f>"080067183388"</f>
        <v>080067183388</v>
      </c>
      <c r="F1549" s="3">
        <v>45881</v>
      </c>
      <c r="G1549">
        <v>202605</v>
      </c>
      <c r="H1549" t="s">
        <v>75</v>
      </c>
      <c r="I1549" t="s">
        <v>76</v>
      </c>
      <c r="J1549" t="s">
        <v>77</v>
      </c>
      <c r="K1549" t="s">
        <v>78</v>
      </c>
      <c r="L1549" t="s">
        <v>278</v>
      </c>
      <c r="M1549" t="s">
        <v>279</v>
      </c>
      <c r="N1549" t="s">
        <v>1689</v>
      </c>
      <c r="O1549" t="s">
        <v>95</v>
      </c>
      <c r="P1549" t="str">
        <f>"4170054268                    "</f>
        <v xml:space="preserve">4170054268                    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0</v>
      </c>
      <c r="AP1549">
        <v>0</v>
      </c>
      <c r="AQ1549">
        <v>44.64</v>
      </c>
      <c r="AR1549">
        <v>0</v>
      </c>
      <c r="AS1549">
        <v>0</v>
      </c>
      <c r="AT1549">
        <v>0</v>
      </c>
      <c r="AU1549">
        <v>0</v>
      </c>
      <c r="AV1549">
        <v>0</v>
      </c>
      <c r="AW1549">
        <v>0</v>
      </c>
      <c r="AX1549">
        <v>0</v>
      </c>
      <c r="AY1549">
        <v>0</v>
      </c>
      <c r="AZ1549">
        <v>0</v>
      </c>
      <c r="BA1549">
        <v>0</v>
      </c>
      <c r="BB1549">
        <v>0</v>
      </c>
      <c r="BC1549">
        <v>0</v>
      </c>
      <c r="BD1549">
        <v>0</v>
      </c>
      <c r="BE1549">
        <v>0</v>
      </c>
      <c r="BF1549">
        <v>0</v>
      </c>
      <c r="BG1549">
        <v>0</v>
      </c>
      <c r="BH1549">
        <v>1</v>
      </c>
      <c r="BI1549">
        <v>4</v>
      </c>
      <c r="BJ1549">
        <v>6.9</v>
      </c>
      <c r="BK1549">
        <v>7</v>
      </c>
      <c r="BL1549">
        <v>144.49</v>
      </c>
      <c r="BM1549">
        <v>21.67</v>
      </c>
      <c r="BN1549">
        <v>166.16</v>
      </c>
      <c r="BO1549">
        <v>166.16</v>
      </c>
      <c r="BQ1549" t="s">
        <v>1690</v>
      </c>
      <c r="BR1549" t="s">
        <v>84</v>
      </c>
      <c r="BS1549" s="3">
        <v>45882</v>
      </c>
      <c r="BT1549" s="4">
        <v>0.3659722222222222</v>
      </c>
      <c r="BU1549" t="s">
        <v>1691</v>
      </c>
      <c r="BV1549" t="s">
        <v>86</v>
      </c>
      <c r="BY1549">
        <v>34560</v>
      </c>
      <c r="CA1549" t="s">
        <v>511</v>
      </c>
      <c r="CC1549" t="s">
        <v>279</v>
      </c>
      <c r="CD1549" s="5" t="s">
        <v>962</v>
      </c>
      <c r="CE1549" t="s">
        <v>178</v>
      </c>
      <c r="CF1549" s="3">
        <v>45882</v>
      </c>
      <c r="CI1549">
        <v>1</v>
      </c>
      <c r="CJ1549">
        <v>1</v>
      </c>
      <c r="CK1549">
        <v>41</v>
      </c>
      <c r="CL1549" t="s">
        <v>90</v>
      </c>
    </row>
    <row r="1550" spans="1:90" x14ac:dyDescent="0.3">
      <c r="A1550" t="s">
        <v>72</v>
      </c>
      <c r="B1550" t="s">
        <v>73</v>
      </c>
      <c r="C1550" t="s">
        <v>74</v>
      </c>
      <c r="E1550" t="str">
        <f>"080067183460"</f>
        <v>080067183460</v>
      </c>
      <c r="F1550" s="3">
        <v>45881</v>
      </c>
      <c r="G1550">
        <v>202605</v>
      </c>
      <c r="H1550" t="s">
        <v>75</v>
      </c>
      <c r="I1550" t="s">
        <v>76</v>
      </c>
      <c r="J1550" t="s">
        <v>77</v>
      </c>
      <c r="K1550" t="s">
        <v>78</v>
      </c>
      <c r="L1550" t="s">
        <v>162</v>
      </c>
      <c r="M1550" t="s">
        <v>163</v>
      </c>
      <c r="N1550" t="s">
        <v>811</v>
      </c>
      <c r="O1550" t="s">
        <v>82</v>
      </c>
      <c r="P1550" t="str">
        <f>"4170054301                    "</f>
        <v xml:space="preserve">4170054301                    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Q1550">
        <v>23.09</v>
      </c>
      <c r="AR1550">
        <v>0</v>
      </c>
      <c r="AS1550">
        <v>0</v>
      </c>
      <c r="AT1550">
        <v>0</v>
      </c>
      <c r="AU1550">
        <v>0</v>
      </c>
      <c r="AV1550">
        <v>0</v>
      </c>
      <c r="AW1550">
        <v>0</v>
      </c>
      <c r="AX1550">
        <v>0</v>
      </c>
      <c r="AY1550">
        <v>0</v>
      </c>
      <c r="AZ1550">
        <v>0</v>
      </c>
      <c r="BA1550">
        <v>0</v>
      </c>
      <c r="BB1550">
        <v>0</v>
      </c>
      <c r="BC1550">
        <v>0</v>
      </c>
      <c r="BD1550">
        <v>0</v>
      </c>
      <c r="BE1550">
        <v>0</v>
      </c>
      <c r="BF1550">
        <v>0</v>
      </c>
      <c r="BG1550">
        <v>0</v>
      </c>
      <c r="BH1550">
        <v>1</v>
      </c>
      <c r="BI1550">
        <v>1</v>
      </c>
      <c r="BJ1550">
        <v>0.2</v>
      </c>
      <c r="BK1550">
        <v>1</v>
      </c>
      <c r="BL1550">
        <v>71.69</v>
      </c>
      <c r="BM1550">
        <v>10.75</v>
      </c>
      <c r="BN1550">
        <v>82.44</v>
      </c>
      <c r="BO1550">
        <v>82.44</v>
      </c>
      <c r="BQ1550" t="s">
        <v>812</v>
      </c>
      <c r="BR1550" t="s">
        <v>84</v>
      </c>
      <c r="BS1550" s="3">
        <v>45882</v>
      </c>
      <c r="BT1550" s="4">
        <v>0.41666666666666669</v>
      </c>
      <c r="BU1550" t="s">
        <v>1377</v>
      </c>
      <c r="BV1550" t="s">
        <v>86</v>
      </c>
      <c r="BY1550">
        <v>1200</v>
      </c>
      <c r="CA1550" t="s">
        <v>814</v>
      </c>
      <c r="CC1550" t="s">
        <v>163</v>
      </c>
      <c r="CD1550">
        <v>3201</v>
      </c>
      <c r="CE1550" t="s">
        <v>178</v>
      </c>
      <c r="CF1550" s="3">
        <v>45883</v>
      </c>
      <c r="CI1550">
        <v>1</v>
      </c>
      <c r="CJ1550">
        <v>1</v>
      </c>
      <c r="CK1550">
        <v>21</v>
      </c>
      <c r="CL1550" t="s">
        <v>90</v>
      </c>
    </row>
    <row r="1551" spans="1:90" x14ac:dyDescent="0.3">
      <c r="A1551" t="s">
        <v>72</v>
      </c>
      <c r="B1551" t="s">
        <v>73</v>
      </c>
      <c r="C1551" t="s">
        <v>74</v>
      </c>
      <c r="E1551" t="str">
        <f>"080067183455"</f>
        <v>080067183455</v>
      </c>
      <c r="F1551" s="3">
        <v>45881</v>
      </c>
      <c r="G1551">
        <v>202605</v>
      </c>
      <c r="H1551" t="s">
        <v>75</v>
      </c>
      <c r="I1551" t="s">
        <v>76</v>
      </c>
      <c r="J1551" t="s">
        <v>77</v>
      </c>
      <c r="K1551" t="s">
        <v>78</v>
      </c>
      <c r="L1551" t="s">
        <v>123</v>
      </c>
      <c r="M1551" t="s">
        <v>124</v>
      </c>
      <c r="N1551" t="s">
        <v>406</v>
      </c>
      <c r="O1551" t="s">
        <v>82</v>
      </c>
      <c r="P1551" t="str">
        <f>"4170054193                    "</f>
        <v xml:space="preserve">4170054193                    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Q1551">
        <v>23.09</v>
      </c>
      <c r="AR1551">
        <v>0</v>
      </c>
      <c r="AS1551">
        <v>0</v>
      </c>
      <c r="AT1551">
        <v>0</v>
      </c>
      <c r="AU1551">
        <v>0</v>
      </c>
      <c r="AV1551">
        <v>0</v>
      </c>
      <c r="AW1551">
        <v>0</v>
      </c>
      <c r="AX1551">
        <v>0</v>
      </c>
      <c r="AY1551">
        <v>0</v>
      </c>
      <c r="AZ1551">
        <v>0</v>
      </c>
      <c r="BA1551">
        <v>0</v>
      </c>
      <c r="BB1551">
        <v>0</v>
      </c>
      <c r="BC1551">
        <v>0</v>
      </c>
      <c r="BD1551">
        <v>0</v>
      </c>
      <c r="BE1551">
        <v>0</v>
      </c>
      <c r="BF1551">
        <v>0</v>
      </c>
      <c r="BG1551">
        <v>0</v>
      </c>
      <c r="BH1551">
        <v>1</v>
      </c>
      <c r="BI1551">
        <v>2</v>
      </c>
      <c r="BJ1551">
        <v>1.1000000000000001</v>
      </c>
      <c r="BK1551">
        <v>2</v>
      </c>
      <c r="BL1551">
        <v>71.69</v>
      </c>
      <c r="BM1551">
        <v>10.75</v>
      </c>
      <c r="BN1551">
        <v>82.44</v>
      </c>
      <c r="BO1551">
        <v>82.44</v>
      </c>
      <c r="BQ1551" t="s">
        <v>407</v>
      </c>
      <c r="BR1551" t="s">
        <v>84</v>
      </c>
      <c r="BS1551" s="3">
        <v>45882</v>
      </c>
      <c r="BT1551" s="4">
        <v>0.4236111111111111</v>
      </c>
      <c r="BU1551" t="s">
        <v>408</v>
      </c>
      <c r="BV1551" t="s">
        <v>86</v>
      </c>
      <c r="BY1551">
        <v>5320</v>
      </c>
      <c r="CA1551" t="s">
        <v>192</v>
      </c>
      <c r="CC1551" t="s">
        <v>124</v>
      </c>
      <c r="CD1551">
        <v>7441</v>
      </c>
      <c r="CE1551" t="s">
        <v>178</v>
      </c>
      <c r="CF1551" s="3">
        <v>45883</v>
      </c>
      <c r="CI1551">
        <v>1</v>
      </c>
      <c r="CJ1551">
        <v>1</v>
      </c>
      <c r="CK1551">
        <v>21</v>
      </c>
      <c r="CL1551" t="s">
        <v>90</v>
      </c>
    </row>
    <row r="1552" spans="1:90" x14ac:dyDescent="0.3">
      <c r="A1552" t="s">
        <v>72</v>
      </c>
      <c r="B1552" t="s">
        <v>73</v>
      </c>
      <c r="C1552" t="s">
        <v>74</v>
      </c>
      <c r="E1552" t="str">
        <f>"080067183513"</f>
        <v>080067183513</v>
      </c>
      <c r="F1552" s="3">
        <v>45881</v>
      </c>
      <c r="G1552">
        <v>202605</v>
      </c>
      <c r="H1552" t="s">
        <v>75</v>
      </c>
      <c r="I1552" t="s">
        <v>76</v>
      </c>
      <c r="J1552" t="s">
        <v>77</v>
      </c>
      <c r="K1552" t="s">
        <v>78</v>
      </c>
      <c r="L1552" t="s">
        <v>162</v>
      </c>
      <c r="M1552" t="s">
        <v>163</v>
      </c>
      <c r="N1552" t="s">
        <v>246</v>
      </c>
      <c r="O1552" t="s">
        <v>82</v>
      </c>
      <c r="P1552" t="str">
        <f>"4170054192                    "</f>
        <v xml:space="preserve">4170054192                    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Q1552">
        <v>23.09</v>
      </c>
      <c r="AR1552">
        <v>0</v>
      </c>
      <c r="AS1552">
        <v>0</v>
      </c>
      <c r="AT1552">
        <v>0</v>
      </c>
      <c r="AU1552">
        <v>0</v>
      </c>
      <c r="AV1552">
        <v>0</v>
      </c>
      <c r="AW1552">
        <v>0</v>
      </c>
      <c r="AX1552">
        <v>0</v>
      </c>
      <c r="AY1552">
        <v>0</v>
      </c>
      <c r="AZ1552">
        <v>0</v>
      </c>
      <c r="BA1552">
        <v>0</v>
      </c>
      <c r="BB1552">
        <v>0</v>
      </c>
      <c r="BC1552">
        <v>0</v>
      </c>
      <c r="BD1552">
        <v>0</v>
      </c>
      <c r="BE1552">
        <v>0</v>
      </c>
      <c r="BF1552">
        <v>0</v>
      </c>
      <c r="BG1552">
        <v>0</v>
      </c>
      <c r="BH1552">
        <v>1</v>
      </c>
      <c r="BI1552">
        <v>2</v>
      </c>
      <c r="BJ1552">
        <v>1.5</v>
      </c>
      <c r="BK1552">
        <v>2</v>
      </c>
      <c r="BL1552">
        <v>71.69</v>
      </c>
      <c r="BM1552">
        <v>10.75</v>
      </c>
      <c r="BN1552">
        <v>82.44</v>
      </c>
      <c r="BO1552">
        <v>82.44</v>
      </c>
      <c r="BQ1552" t="s">
        <v>247</v>
      </c>
      <c r="BR1552" t="s">
        <v>84</v>
      </c>
      <c r="BS1552" s="3">
        <v>45882</v>
      </c>
      <c r="BT1552" s="4">
        <v>0.41666666666666669</v>
      </c>
      <c r="BU1552" t="s">
        <v>485</v>
      </c>
      <c r="BV1552" t="s">
        <v>86</v>
      </c>
      <c r="BY1552">
        <v>7540</v>
      </c>
      <c r="CC1552" t="s">
        <v>163</v>
      </c>
      <c r="CD1552">
        <v>3201</v>
      </c>
      <c r="CE1552" t="s">
        <v>147</v>
      </c>
      <c r="CF1552" s="3">
        <v>45883</v>
      </c>
      <c r="CI1552">
        <v>1</v>
      </c>
      <c r="CJ1552">
        <v>1</v>
      </c>
      <c r="CK1552">
        <v>21</v>
      </c>
      <c r="CL1552" t="s">
        <v>90</v>
      </c>
    </row>
    <row r="1553" spans="1:90" x14ac:dyDescent="0.3">
      <c r="A1553" t="s">
        <v>72</v>
      </c>
      <c r="B1553" t="s">
        <v>73</v>
      </c>
      <c r="C1553" t="s">
        <v>74</v>
      </c>
      <c r="E1553" t="str">
        <f>"080067183510"</f>
        <v>080067183510</v>
      </c>
      <c r="F1553" s="3">
        <v>45881</v>
      </c>
      <c r="G1553">
        <v>202605</v>
      </c>
      <c r="H1553" t="s">
        <v>75</v>
      </c>
      <c r="I1553" t="s">
        <v>76</v>
      </c>
      <c r="J1553" t="s">
        <v>77</v>
      </c>
      <c r="K1553" t="s">
        <v>78</v>
      </c>
      <c r="L1553" t="s">
        <v>79</v>
      </c>
      <c r="M1553" t="s">
        <v>80</v>
      </c>
      <c r="N1553" t="s">
        <v>1179</v>
      </c>
      <c r="O1553" t="s">
        <v>82</v>
      </c>
      <c r="P1553" t="str">
        <f>"4170054263                    "</f>
        <v xml:space="preserve">4170054263                    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>
        <v>18.03</v>
      </c>
      <c r="AR1553">
        <v>0</v>
      </c>
      <c r="AS1553">
        <v>0</v>
      </c>
      <c r="AT1553">
        <v>0</v>
      </c>
      <c r="AU1553">
        <v>0</v>
      </c>
      <c r="AV1553">
        <v>0</v>
      </c>
      <c r="AW1553">
        <v>0</v>
      </c>
      <c r="AX1553">
        <v>0</v>
      </c>
      <c r="AY1553">
        <v>0</v>
      </c>
      <c r="AZ1553">
        <v>0</v>
      </c>
      <c r="BA1553">
        <v>0</v>
      </c>
      <c r="BB1553">
        <v>0</v>
      </c>
      <c r="BC1553">
        <v>0</v>
      </c>
      <c r="BD1553">
        <v>0</v>
      </c>
      <c r="BE1553">
        <v>0</v>
      </c>
      <c r="BF1553">
        <v>0</v>
      </c>
      <c r="BG1553">
        <v>0</v>
      </c>
      <c r="BH1553">
        <v>1</v>
      </c>
      <c r="BI1553">
        <v>1</v>
      </c>
      <c r="BJ1553">
        <v>0.2</v>
      </c>
      <c r="BK1553">
        <v>1</v>
      </c>
      <c r="BL1553">
        <v>55.99</v>
      </c>
      <c r="BM1553">
        <v>8.4</v>
      </c>
      <c r="BN1553">
        <v>64.39</v>
      </c>
      <c r="BO1553">
        <v>64.39</v>
      </c>
      <c r="BQ1553" t="s">
        <v>1180</v>
      </c>
      <c r="BR1553" t="s">
        <v>84</v>
      </c>
      <c r="BS1553" s="3">
        <v>45882</v>
      </c>
      <c r="BT1553" s="4">
        <v>0.32222222222222224</v>
      </c>
      <c r="BU1553" t="s">
        <v>2247</v>
      </c>
      <c r="BV1553" t="s">
        <v>86</v>
      </c>
      <c r="BY1553">
        <v>1200</v>
      </c>
      <c r="CA1553" t="s">
        <v>1026</v>
      </c>
      <c r="CC1553" t="s">
        <v>80</v>
      </c>
      <c r="CD1553">
        <v>1406</v>
      </c>
      <c r="CE1553" t="s">
        <v>109</v>
      </c>
      <c r="CF1553" s="3">
        <v>45882</v>
      </c>
      <c r="CI1553">
        <v>1</v>
      </c>
      <c r="CJ1553">
        <v>1</v>
      </c>
      <c r="CK1553">
        <v>22</v>
      </c>
      <c r="CL1553" t="s">
        <v>90</v>
      </c>
    </row>
    <row r="1554" spans="1:90" x14ac:dyDescent="0.3">
      <c r="A1554" t="s">
        <v>72</v>
      </c>
      <c r="B1554" t="s">
        <v>73</v>
      </c>
      <c r="C1554" t="s">
        <v>74</v>
      </c>
      <c r="E1554" t="str">
        <f>"080067183637"</f>
        <v>080067183637</v>
      </c>
      <c r="F1554" s="3">
        <v>45881</v>
      </c>
      <c r="G1554">
        <v>202605</v>
      </c>
      <c r="H1554" t="s">
        <v>75</v>
      </c>
      <c r="I1554" t="s">
        <v>76</v>
      </c>
      <c r="J1554" t="s">
        <v>77</v>
      </c>
      <c r="K1554" t="s">
        <v>78</v>
      </c>
      <c r="L1554" t="s">
        <v>198</v>
      </c>
      <c r="M1554" t="s">
        <v>199</v>
      </c>
      <c r="N1554" t="s">
        <v>2248</v>
      </c>
      <c r="O1554" t="s">
        <v>95</v>
      </c>
      <c r="P1554" t="str">
        <f>"4170054217                    "</f>
        <v xml:space="preserve">4170054217                    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0</v>
      </c>
      <c r="AP1554">
        <v>0</v>
      </c>
      <c r="AQ1554">
        <v>52.01</v>
      </c>
      <c r="AR1554">
        <v>0</v>
      </c>
      <c r="AS1554">
        <v>0</v>
      </c>
      <c r="AT1554">
        <v>0</v>
      </c>
      <c r="AU1554">
        <v>0</v>
      </c>
      <c r="AV1554">
        <v>0</v>
      </c>
      <c r="AW1554">
        <v>0</v>
      </c>
      <c r="AX1554">
        <v>0</v>
      </c>
      <c r="AY1554">
        <v>0</v>
      </c>
      <c r="AZ1554">
        <v>0</v>
      </c>
      <c r="BA1554">
        <v>0</v>
      </c>
      <c r="BB1554">
        <v>0</v>
      </c>
      <c r="BC1554">
        <v>0</v>
      </c>
      <c r="BD1554">
        <v>0</v>
      </c>
      <c r="BE1554">
        <v>0</v>
      </c>
      <c r="BF1554">
        <v>0</v>
      </c>
      <c r="BG1554">
        <v>0</v>
      </c>
      <c r="BH1554">
        <v>1</v>
      </c>
      <c r="BI1554">
        <v>6</v>
      </c>
      <c r="BJ1554">
        <v>18.3</v>
      </c>
      <c r="BK1554">
        <v>19</v>
      </c>
      <c r="BL1554">
        <v>167.38</v>
      </c>
      <c r="BM1554">
        <v>25.11</v>
      </c>
      <c r="BN1554">
        <v>192.49</v>
      </c>
      <c r="BO1554">
        <v>192.49</v>
      </c>
      <c r="BQ1554" t="s">
        <v>2249</v>
      </c>
      <c r="BR1554" t="s">
        <v>84</v>
      </c>
      <c r="BS1554" s="3">
        <v>45887</v>
      </c>
      <c r="BT1554" s="4">
        <v>0.44513888888888886</v>
      </c>
      <c r="BU1554" t="s">
        <v>2250</v>
      </c>
      <c r="BV1554" t="s">
        <v>90</v>
      </c>
      <c r="BW1554" t="s">
        <v>134</v>
      </c>
      <c r="BX1554" t="s">
        <v>747</v>
      </c>
      <c r="BY1554">
        <v>91264</v>
      </c>
      <c r="CA1554" t="s">
        <v>2251</v>
      </c>
      <c r="CC1554" t="s">
        <v>199</v>
      </c>
      <c r="CD1554">
        <v>6000</v>
      </c>
      <c r="CE1554" t="s">
        <v>147</v>
      </c>
      <c r="CF1554" s="3">
        <v>45887</v>
      </c>
      <c r="CI1554">
        <v>3</v>
      </c>
      <c r="CJ1554">
        <v>4</v>
      </c>
      <c r="CK1554">
        <v>41</v>
      </c>
      <c r="CL1554" t="s">
        <v>90</v>
      </c>
    </row>
    <row r="1555" spans="1:90" x14ac:dyDescent="0.3">
      <c r="A1555" t="s">
        <v>72</v>
      </c>
      <c r="B1555" t="s">
        <v>73</v>
      </c>
      <c r="C1555" t="s">
        <v>74</v>
      </c>
      <c r="E1555" t="str">
        <f>"080067183658"</f>
        <v>080067183658</v>
      </c>
      <c r="F1555" s="3">
        <v>45881</v>
      </c>
      <c r="G1555">
        <v>202605</v>
      </c>
      <c r="H1555" t="s">
        <v>75</v>
      </c>
      <c r="I1555" t="s">
        <v>76</v>
      </c>
      <c r="J1555" t="s">
        <v>77</v>
      </c>
      <c r="K1555" t="s">
        <v>78</v>
      </c>
      <c r="L1555" t="s">
        <v>335</v>
      </c>
      <c r="M1555" t="s">
        <v>336</v>
      </c>
      <c r="N1555" t="s">
        <v>727</v>
      </c>
      <c r="O1555" t="s">
        <v>82</v>
      </c>
      <c r="P1555" t="str">
        <f>"4170054279                    "</f>
        <v xml:space="preserve">4170054279                    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>
        <v>44.73</v>
      </c>
      <c r="AR1555">
        <v>0</v>
      </c>
      <c r="AS1555">
        <v>0</v>
      </c>
      <c r="AT1555">
        <v>0</v>
      </c>
      <c r="AU1555">
        <v>0</v>
      </c>
      <c r="AV1555">
        <v>0</v>
      </c>
      <c r="AW1555">
        <v>0</v>
      </c>
      <c r="AX1555">
        <v>0</v>
      </c>
      <c r="AY1555">
        <v>0</v>
      </c>
      <c r="AZ1555">
        <v>0</v>
      </c>
      <c r="BA1555">
        <v>0</v>
      </c>
      <c r="BB1555">
        <v>0</v>
      </c>
      <c r="BC1555">
        <v>0</v>
      </c>
      <c r="BD1555">
        <v>0</v>
      </c>
      <c r="BE1555">
        <v>0</v>
      </c>
      <c r="BF1555">
        <v>0</v>
      </c>
      <c r="BG1555">
        <v>0</v>
      </c>
      <c r="BH1555">
        <v>1</v>
      </c>
      <c r="BI1555">
        <v>1</v>
      </c>
      <c r="BJ1555">
        <v>0.2</v>
      </c>
      <c r="BK1555">
        <v>1</v>
      </c>
      <c r="BL1555">
        <v>138.88999999999999</v>
      </c>
      <c r="BM1555">
        <v>20.83</v>
      </c>
      <c r="BN1555">
        <v>159.72</v>
      </c>
      <c r="BO1555">
        <v>159.72</v>
      </c>
      <c r="BQ1555" t="s">
        <v>728</v>
      </c>
      <c r="BR1555" t="s">
        <v>84</v>
      </c>
      <c r="BS1555" s="3">
        <v>45882</v>
      </c>
      <c r="BT1555" s="4">
        <v>0.41875000000000001</v>
      </c>
      <c r="BU1555" t="s">
        <v>1587</v>
      </c>
      <c r="BV1555" t="s">
        <v>86</v>
      </c>
      <c r="BY1555">
        <v>1200</v>
      </c>
      <c r="CA1555" t="s">
        <v>730</v>
      </c>
      <c r="CC1555" t="s">
        <v>336</v>
      </c>
      <c r="CD1555" s="5" t="s">
        <v>341</v>
      </c>
      <c r="CE1555" t="s">
        <v>109</v>
      </c>
      <c r="CF1555" s="3">
        <v>45883</v>
      </c>
      <c r="CI1555">
        <v>1</v>
      </c>
      <c r="CJ1555">
        <v>1</v>
      </c>
      <c r="CK1555">
        <v>23</v>
      </c>
      <c r="CL1555" t="s">
        <v>90</v>
      </c>
    </row>
    <row r="1556" spans="1:90" x14ac:dyDescent="0.3">
      <c r="A1556" t="s">
        <v>72</v>
      </c>
      <c r="B1556" t="s">
        <v>73</v>
      </c>
      <c r="C1556" t="s">
        <v>74</v>
      </c>
      <c r="E1556" t="str">
        <f>"080067183795"</f>
        <v>080067183795</v>
      </c>
      <c r="F1556" s="3">
        <v>45881</v>
      </c>
      <c r="G1556">
        <v>202605</v>
      </c>
      <c r="H1556" t="s">
        <v>75</v>
      </c>
      <c r="I1556" t="s">
        <v>76</v>
      </c>
      <c r="J1556" t="s">
        <v>77</v>
      </c>
      <c r="K1556" t="s">
        <v>78</v>
      </c>
      <c r="L1556" t="s">
        <v>555</v>
      </c>
      <c r="M1556" t="s">
        <v>556</v>
      </c>
      <c r="N1556" t="s">
        <v>557</v>
      </c>
      <c r="O1556" t="s">
        <v>82</v>
      </c>
      <c r="P1556" t="str">
        <f>"4170054232                    "</f>
        <v xml:space="preserve">4170054232                    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Q1556">
        <v>44.73</v>
      </c>
      <c r="AR1556">
        <v>0</v>
      </c>
      <c r="AS1556">
        <v>0</v>
      </c>
      <c r="AT1556">
        <v>0</v>
      </c>
      <c r="AU1556">
        <v>0</v>
      </c>
      <c r="AV1556">
        <v>0</v>
      </c>
      <c r="AW1556">
        <v>0</v>
      </c>
      <c r="AX1556">
        <v>0</v>
      </c>
      <c r="AY1556">
        <v>0</v>
      </c>
      <c r="AZ1556">
        <v>0</v>
      </c>
      <c r="BA1556">
        <v>0</v>
      </c>
      <c r="BB1556">
        <v>0</v>
      </c>
      <c r="BC1556">
        <v>0</v>
      </c>
      <c r="BD1556">
        <v>0</v>
      </c>
      <c r="BE1556">
        <v>0</v>
      </c>
      <c r="BF1556">
        <v>0</v>
      </c>
      <c r="BG1556">
        <v>0</v>
      </c>
      <c r="BH1556">
        <v>1</v>
      </c>
      <c r="BI1556">
        <v>1</v>
      </c>
      <c r="BJ1556">
        <v>0.2</v>
      </c>
      <c r="BK1556">
        <v>1</v>
      </c>
      <c r="BL1556">
        <v>138.88999999999999</v>
      </c>
      <c r="BM1556">
        <v>20.83</v>
      </c>
      <c r="BN1556">
        <v>159.72</v>
      </c>
      <c r="BO1556">
        <v>159.72</v>
      </c>
      <c r="BQ1556" t="s">
        <v>558</v>
      </c>
      <c r="BR1556" t="s">
        <v>84</v>
      </c>
      <c r="BS1556" s="3">
        <v>45882</v>
      </c>
      <c r="BT1556" s="4">
        <v>0.48680555555555555</v>
      </c>
      <c r="BU1556" t="s">
        <v>2252</v>
      </c>
      <c r="BV1556" t="s">
        <v>86</v>
      </c>
      <c r="BY1556">
        <v>1200</v>
      </c>
      <c r="CA1556" t="s">
        <v>396</v>
      </c>
      <c r="CC1556" t="s">
        <v>556</v>
      </c>
      <c r="CD1556">
        <v>6850</v>
      </c>
      <c r="CE1556" t="s">
        <v>109</v>
      </c>
      <c r="CF1556" s="3">
        <v>45883</v>
      </c>
      <c r="CI1556">
        <v>2</v>
      </c>
      <c r="CJ1556">
        <v>1</v>
      </c>
      <c r="CK1556">
        <v>23</v>
      </c>
      <c r="CL1556" t="s">
        <v>90</v>
      </c>
    </row>
    <row r="1557" spans="1:90" x14ac:dyDescent="0.3">
      <c r="A1557" t="s">
        <v>72</v>
      </c>
      <c r="B1557" t="s">
        <v>73</v>
      </c>
      <c r="C1557" t="s">
        <v>74</v>
      </c>
      <c r="E1557" t="str">
        <f>"080067183816"</f>
        <v>080067183816</v>
      </c>
      <c r="F1557" s="3">
        <v>45881</v>
      </c>
      <c r="G1557">
        <v>202605</v>
      </c>
      <c r="H1557" t="s">
        <v>75</v>
      </c>
      <c r="I1557" t="s">
        <v>76</v>
      </c>
      <c r="J1557" t="s">
        <v>77</v>
      </c>
      <c r="K1557" t="s">
        <v>78</v>
      </c>
      <c r="L1557" t="s">
        <v>123</v>
      </c>
      <c r="M1557" t="s">
        <v>124</v>
      </c>
      <c r="N1557" t="s">
        <v>1488</v>
      </c>
      <c r="O1557" t="s">
        <v>82</v>
      </c>
      <c r="P1557" t="str">
        <f>"4170054320                    "</f>
        <v xml:space="preserve">4170054320                    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Q1557">
        <v>23.09</v>
      </c>
      <c r="AR1557">
        <v>0</v>
      </c>
      <c r="AS1557">
        <v>0</v>
      </c>
      <c r="AT1557">
        <v>0</v>
      </c>
      <c r="AU1557">
        <v>0</v>
      </c>
      <c r="AV1557">
        <v>0</v>
      </c>
      <c r="AW1557">
        <v>0</v>
      </c>
      <c r="AX1557">
        <v>0</v>
      </c>
      <c r="AY1557">
        <v>0</v>
      </c>
      <c r="AZ1557">
        <v>0</v>
      </c>
      <c r="BA1557">
        <v>0</v>
      </c>
      <c r="BB1557">
        <v>0</v>
      </c>
      <c r="BC1557">
        <v>0</v>
      </c>
      <c r="BD1557">
        <v>0</v>
      </c>
      <c r="BE1557">
        <v>0</v>
      </c>
      <c r="BF1557">
        <v>0</v>
      </c>
      <c r="BG1557">
        <v>0</v>
      </c>
      <c r="BH1557">
        <v>1</v>
      </c>
      <c r="BI1557">
        <v>1</v>
      </c>
      <c r="BJ1557">
        <v>1.1000000000000001</v>
      </c>
      <c r="BK1557">
        <v>1.5</v>
      </c>
      <c r="BL1557">
        <v>71.69</v>
      </c>
      <c r="BM1557">
        <v>10.75</v>
      </c>
      <c r="BN1557">
        <v>82.44</v>
      </c>
      <c r="BO1557">
        <v>82.44</v>
      </c>
      <c r="BQ1557" t="s">
        <v>1489</v>
      </c>
      <c r="BR1557" t="s">
        <v>84</v>
      </c>
      <c r="BS1557" s="3">
        <v>45882</v>
      </c>
      <c r="BT1557" s="4">
        <v>0.42777777777777776</v>
      </c>
      <c r="BU1557" t="s">
        <v>1490</v>
      </c>
      <c r="BV1557" t="s">
        <v>86</v>
      </c>
      <c r="BY1557">
        <v>5320</v>
      </c>
      <c r="CA1557" t="s">
        <v>1111</v>
      </c>
      <c r="CC1557" t="s">
        <v>124</v>
      </c>
      <c r="CD1557">
        <v>7800</v>
      </c>
      <c r="CE1557" t="s">
        <v>147</v>
      </c>
      <c r="CF1557" s="3">
        <v>45883</v>
      </c>
      <c r="CI1557">
        <v>1</v>
      </c>
      <c r="CJ1557">
        <v>1</v>
      </c>
      <c r="CK1557">
        <v>21</v>
      </c>
      <c r="CL1557" t="s">
        <v>90</v>
      </c>
    </row>
    <row r="1558" spans="1:90" x14ac:dyDescent="0.3">
      <c r="A1558" t="s">
        <v>72</v>
      </c>
      <c r="B1558" t="s">
        <v>73</v>
      </c>
      <c r="C1558" t="s">
        <v>74</v>
      </c>
      <c r="E1558" t="str">
        <f>"080067183882"</f>
        <v>080067183882</v>
      </c>
      <c r="F1558" s="3">
        <v>45881</v>
      </c>
      <c r="G1558">
        <v>202605</v>
      </c>
      <c r="H1558" t="s">
        <v>75</v>
      </c>
      <c r="I1558" t="s">
        <v>76</v>
      </c>
      <c r="J1558" t="s">
        <v>77</v>
      </c>
      <c r="K1558" t="s">
        <v>78</v>
      </c>
      <c r="L1558" t="s">
        <v>278</v>
      </c>
      <c r="M1558" t="s">
        <v>279</v>
      </c>
      <c r="N1558" t="s">
        <v>2253</v>
      </c>
      <c r="O1558" t="s">
        <v>82</v>
      </c>
      <c r="P1558" t="str">
        <f>"4170054207                    "</f>
        <v xml:space="preserve">4170054207                    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Q1558">
        <v>23.09</v>
      </c>
      <c r="AR1558">
        <v>0</v>
      </c>
      <c r="AS1558">
        <v>0</v>
      </c>
      <c r="AT1558">
        <v>0</v>
      </c>
      <c r="AU1558">
        <v>0</v>
      </c>
      <c r="AV1558">
        <v>0</v>
      </c>
      <c r="AW1558">
        <v>0</v>
      </c>
      <c r="AX1558">
        <v>0</v>
      </c>
      <c r="AY1558">
        <v>0</v>
      </c>
      <c r="AZ1558">
        <v>0</v>
      </c>
      <c r="BA1558">
        <v>0</v>
      </c>
      <c r="BB1558">
        <v>0</v>
      </c>
      <c r="BC1558">
        <v>0</v>
      </c>
      <c r="BD1558">
        <v>0</v>
      </c>
      <c r="BE1558">
        <v>0</v>
      </c>
      <c r="BF1558">
        <v>0</v>
      </c>
      <c r="BG1558">
        <v>0</v>
      </c>
      <c r="BH1558">
        <v>1</v>
      </c>
      <c r="BI1558">
        <v>1</v>
      </c>
      <c r="BJ1558">
        <v>0.2</v>
      </c>
      <c r="BK1558">
        <v>1</v>
      </c>
      <c r="BL1558">
        <v>71.69</v>
      </c>
      <c r="BM1558">
        <v>10.75</v>
      </c>
      <c r="BN1558">
        <v>82.44</v>
      </c>
      <c r="BO1558">
        <v>82.44</v>
      </c>
      <c r="BQ1558" t="s">
        <v>2254</v>
      </c>
      <c r="BR1558" t="s">
        <v>84</v>
      </c>
      <c r="BS1558" s="3">
        <v>45882</v>
      </c>
      <c r="BT1558" s="4">
        <v>0.35902777777777778</v>
      </c>
      <c r="BU1558" t="s">
        <v>2255</v>
      </c>
      <c r="BV1558" t="s">
        <v>86</v>
      </c>
      <c r="BY1558">
        <v>1200</v>
      </c>
      <c r="CA1558" t="s">
        <v>1987</v>
      </c>
      <c r="CC1558" t="s">
        <v>279</v>
      </c>
      <c r="CD1558" s="5" t="s">
        <v>533</v>
      </c>
      <c r="CE1558" t="s">
        <v>109</v>
      </c>
      <c r="CF1558" s="3">
        <v>45882</v>
      </c>
      <c r="CI1558">
        <v>1</v>
      </c>
      <c r="CJ1558">
        <v>1</v>
      </c>
      <c r="CK1558">
        <v>21</v>
      </c>
      <c r="CL1558" t="s">
        <v>90</v>
      </c>
    </row>
    <row r="1559" spans="1:90" x14ac:dyDescent="0.3">
      <c r="A1559" t="s">
        <v>72</v>
      </c>
      <c r="B1559" t="s">
        <v>73</v>
      </c>
      <c r="C1559" t="s">
        <v>74</v>
      </c>
      <c r="E1559" t="str">
        <f>"080067183964"</f>
        <v>080067183964</v>
      </c>
      <c r="F1559" s="3">
        <v>45881</v>
      </c>
      <c r="G1559">
        <v>202605</v>
      </c>
      <c r="H1559" t="s">
        <v>75</v>
      </c>
      <c r="I1559" t="s">
        <v>76</v>
      </c>
      <c r="J1559" t="s">
        <v>77</v>
      </c>
      <c r="K1559" t="s">
        <v>78</v>
      </c>
      <c r="L1559" t="s">
        <v>325</v>
      </c>
      <c r="M1559" t="s">
        <v>326</v>
      </c>
      <c r="N1559" t="s">
        <v>1940</v>
      </c>
      <c r="O1559" t="s">
        <v>82</v>
      </c>
      <c r="P1559" t="str">
        <f>"4170054300                    "</f>
        <v xml:space="preserve">4170054300                    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0</v>
      </c>
      <c r="AP1559">
        <v>0</v>
      </c>
      <c r="AQ1559">
        <v>18.03</v>
      </c>
      <c r="AR1559">
        <v>0</v>
      </c>
      <c r="AS1559">
        <v>0</v>
      </c>
      <c r="AT1559">
        <v>0</v>
      </c>
      <c r="AU1559">
        <v>0</v>
      </c>
      <c r="AV1559">
        <v>0</v>
      </c>
      <c r="AW1559">
        <v>0</v>
      </c>
      <c r="AX1559">
        <v>0</v>
      </c>
      <c r="AY1559">
        <v>0</v>
      </c>
      <c r="AZ1559">
        <v>0</v>
      </c>
      <c r="BA1559">
        <v>0</v>
      </c>
      <c r="BB1559">
        <v>0</v>
      </c>
      <c r="BC1559">
        <v>0</v>
      </c>
      <c r="BD1559">
        <v>0</v>
      </c>
      <c r="BE1559">
        <v>0</v>
      </c>
      <c r="BF1559">
        <v>0</v>
      </c>
      <c r="BG1559">
        <v>0</v>
      </c>
      <c r="BH1559">
        <v>1</v>
      </c>
      <c r="BI1559">
        <v>5</v>
      </c>
      <c r="BJ1559">
        <v>1.1000000000000001</v>
      </c>
      <c r="BK1559">
        <v>5</v>
      </c>
      <c r="BL1559">
        <v>55.99</v>
      </c>
      <c r="BM1559">
        <v>8.4</v>
      </c>
      <c r="BN1559">
        <v>64.39</v>
      </c>
      <c r="BO1559">
        <v>64.39</v>
      </c>
      <c r="BQ1559" t="s">
        <v>1941</v>
      </c>
      <c r="BR1559" t="s">
        <v>84</v>
      </c>
      <c r="BS1559" s="3">
        <v>45882</v>
      </c>
      <c r="BT1559" s="4">
        <v>0.38541666666666669</v>
      </c>
      <c r="BU1559" t="s">
        <v>2256</v>
      </c>
      <c r="BV1559" t="s">
        <v>86</v>
      </c>
      <c r="BY1559">
        <v>5320</v>
      </c>
      <c r="CA1559" t="s">
        <v>331</v>
      </c>
      <c r="CC1559" t="s">
        <v>326</v>
      </c>
      <c r="CD1559">
        <v>2016</v>
      </c>
      <c r="CE1559" t="s">
        <v>147</v>
      </c>
      <c r="CF1559" s="3">
        <v>45882</v>
      </c>
      <c r="CI1559">
        <v>1</v>
      </c>
      <c r="CJ1559">
        <v>1</v>
      </c>
      <c r="CK1559">
        <v>22</v>
      </c>
      <c r="CL1559" t="s">
        <v>90</v>
      </c>
    </row>
    <row r="1560" spans="1:90" x14ac:dyDescent="0.3">
      <c r="A1560" t="s">
        <v>72</v>
      </c>
      <c r="B1560" t="s">
        <v>73</v>
      </c>
      <c r="C1560" t="s">
        <v>74</v>
      </c>
      <c r="E1560" t="str">
        <f>"080067183997"</f>
        <v>080067183997</v>
      </c>
      <c r="F1560" s="3">
        <v>45881</v>
      </c>
      <c r="G1560">
        <v>202605</v>
      </c>
      <c r="H1560" t="s">
        <v>75</v>
      </c>
      <c r="I1560" t="s">
        <v>76</v>
      </c>
      <c r="J1560" t="s">
        <v>77</v>
      </c>
      <c r="K1560" t="s">
        <v>78</v>
      </c>
      <c r="L1560" t="s">
        <v>207</v>
      </c>
      <c r="M1560" t="s">
        <v>208</v>
      </c>
      <c r="N1560" t="s">
        <v>209</v>
      </c>
      <c r="O1560" t="s">
        <v>82</v>
      </c>
      <c r="P1560" t="str">
        <f>"4170054256                    "</f>
        <v xml:space="preserve">4170054256                    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Q1560">
        <v>44.73</v>
      </c>
      <c r="AR1560">
        <v>0</v>
      </c>
      <c r="AS1560">
        <v>0</v>
      </c>
      <c r="AT1560">
        <v>0</v>
      </c>
      <c r="AU1560">
        <v>0</v>
      </c>
      <c r="AV1560">
        <v>0</v>
      </c>
      <c r="AW1560">
        <v>0</v>
      </c>
      <c r="AX1560">
        <v>0</v>
      </c>
      <c r="AY1560">
        <v>0</v>
      </c>
      <c r="AZ1560">
        <v>0</v>
      </c>
      <c r="BA1560">
        <v>0</v>
      </c>
      <c r="BB1560">
        <v>0</v>
      </c>
      <c r="BC1560">
        <v>0</v>
      </c>
      <c r="BD1560">
        <v>0</v>
      </c>
      <c r="BE1560">
        <v>0</v>
      </c>
      <c r="BF1560">
        <v>0</v>
      </c>
      <c r="BG1560">
        <v>0</v>
      </c>
      <c r="BH1560">
        <v>1</v>
      </c>
      <c r="BI1560">
        <v>1</v>
      </c>
      <c r="BJ1560">
        <v>0.2</v>
      </c>
      <c r="BK1560">
        <v>1</v>
      </c>
      <c r="BL1560">
        <v>138.88999999999999</v>
      </c>
      <c r="BM1560">
        <v>20.83</v>
      </c>
      <c r="BN1560">
        <v>159.72</v>
      </c>
      <c r="BO1560">
        <v>159.72</v>
      </c>
      <c r="BQ1560" t="s">
        <v>210</v>
      </c>
      <c r="BR1560" t="s">
        <v>84</v>
      </c>
      <c r="BS1560" s="3">
        <v>45882</v>
      </c>
      <c r="BT1560" s="4">
        <v>0.49722222222222223</v>
      </c>
      <c r="BU1560" t="s">
        <v>2257</v>
      </c>
      <c r="BV1560" t="s">
        <v>86</v>
      </c>
      <c r="BY1560">
        <v>1200</v>
      </c>
      <c r="CA1560" t="s">
        <v>457</v>
      </c>
      <c r="CC1560" t="s">
        <v>208</v>
      </c>
      <c r="CD1560">
        <v>7300</v>
      </c>
      <c r="CE1560" t="s">
        <v>109</v>
      </c>
      <c r="CF1560" s="3">
        <v>45883</v>
      </c>
      <c r="CI1560">
        <v>1</v>
      </c>
      <c r="CJ1560">
        <v>1</v>
      </c>
      <c r="CK1560">
        <v>23</v>
      </c>
      <c r="CL1560" t="s">
        <v>90</v>
      </c>
    </row>
    <row r="1561" spans="1:90" x14ac:dyDescent="0.3">
      <c r="A1561" t="s">
        <v>72</v>
      </c>
      <c r="B1561" t="s">
        <v>73</v>
      </c>
      <c r="C1561" t="s">
        <v>74</v>
      </c>
      <c r="E1561" t="str">
        <f>"080067184069"</f>
        <v>080067184069</v>
      </c>
      <c r="F1561" s="3">
        <v>45881</v>
      </c>
      <c r="G1561">
        <v>202605</v>
      </c>
      <c r="H1561" t="s">
        <v>75</v>
      </c>
      <c r="I1561" t="s">
        <v>76</v>
      </c>
      <c r="J1561" t="s">
        <v>77</v>
      </c>
      <c r="K1561" t="s">
        <v>78</v>
      </c>
      <c r="L1561" t="s">
        <v>123</v>
      </c>
      <c r="M1561" t="s">
        <v>124</v>
      </c>
      <c r="N1561" t="s">
        <v>1096</v>
      </c>
      <c r="O1561" t="s">
        <v>82</v>
      </c>
      <c r="P1561" t="str">
        <f>"4170054240                    "</f>
        <v xml:space="preserve">4170054240                    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0</v>
      </c>
      <c r="AQ1561">
        <v>23.09</v>
      </c>
      <c r="AR1561">
        <v>0</v>
      </c>
      <c r="AS1561">
        <v>0</v>
      </c>
      <c r="AT1561">
        <v>0</v>
      </c>
      <c r="AU1561">
        <v>0</v>
      </c>
      <c r="AV1561">
        <v>0</v>
      </c>
      <c r="AW1561">
        <v>0</v>
      </c>
      <c r="AX1561">
        <v>0</v>
      </c>
      <c r="AY1561">
        <v>0</v>
      </c>
      <c r="AZ1561">
        <v>0</v>
      </c>
      <c r="BA1561">
        <v>0</v>
      </c>
      <c r="BB1561">
        <v>0</v>
      </c>
      <c r="BC1561">
        <v>0</v>
      </c>
      <c r="BD1561">
        <v>0</v>
      </c>
      <c r="BE1561">
        <v>0</v>
      </c>
      <c r="BF1561">
        <v>0</v>
      </c>
      <c r="BG1561">
        <v>0</v>
      </c>
      <c r="BH1561">
        <v>1</v>
      </c>
      <c r="BI1561">
        <v>1</v>
      </c>
      <c r="BJ1561">
        <v>0.2</v>
      </c>
      <c r="BK1561">
        <v>1</v>
      </c>
      <c r="BL1561">
        <v>71.69</v>
      </c>
      <c r="BM1561">
        <v>10.75</v>
      </c>
      <c r="BN1561">
        <v>82.44</v>
      </c>
      <c r="BO1561">
        <v>82.44</v>
      </c>
      <c r="BQ1561" t="s">
        <v>1097</v>
      </c>
      <c r="BR1561" t="s">
        <v>84</v>
      </c>
      <c r="BS1561" s="3">
        <v>45882</v>
      </c>
      <c r="BT1561" s="4">
        <v>0.59236111111111112</v>
      </c>
      <c r="BU1561" t="s">
        <v>2258</v>
      </c>
      <c r="BV1561" t="s">
        <v>90</v>
      </c>
      <c r="BW1561" t="s">
        <v>773</v>
      </c>
      <c r="BX1561" t="s">
        <v>2259</v>
      </c>
      <c r="BY1561">
        <v>1200</v>
      </c>
      <c r="CA1561" t="s">
        <v>2260</v>
      </c>
      <c r="CC1561" t="s">
        <v>124</v>
      </c>
      <c r="CD1561">
        <v>7550</v>
      </c>
      <c r="CE1561" t="s">
        <v>109</v>
      </c>
      <c r="CF1561" s="3">
        <v>45883</v>
      </c>
      <c r="CI1561">
        <v>1</v>
      </c>
      <c r="CJ1561">
        <v>1</v>
      </c>
      <c r="CK1561">
        <v>21</v>
      </c>
      <c r="CL1561" t="s">
        <v>90</v>
      </c>
    </row>
    <row r="1562" spans="1:90" x14ac:dyDescent="0.3">
      <c r="A1562" t="s">
        <v>72</v>
      </c>
      <c r="B1562" t="s">
        <v>73</v>
      </c>
      <c r="C1562" t="s">
        <v>74</v>
      </c>
      <c r="E1562" t="str">
        <f>"080067184070"</f>
        <v>080067184070</v>
      </c>
      <c r="F1562" s="3">
        <v>45881</v>
      </c>
      <c r="G1562">
        <v>202605</v>
      </c>
      <c r="H1562" t="s">
        <v>75</v>
      </c>
      <c r="I1562" t="s">
        <v>76</v>
      </c>
      <c r="J1562" t="s">
        <v>77</v>
      </c>
      <c r="K1562" t="s">
        <v>78</v>
      </c>
      <c r="L1562" t="s">
        <v>1157</v>
      </c>
      <c r="M1562" t="s">
        <v>1158</v>
      </c>
      <c r="N1562" t="s">
        <v>1159</v>
      </c>
      <c r="O1562" t="s">
        <v>82</v>
      </c>
      <c r="P1562" t="str">
        <f>"4170054212                    "</f>
        <v xml:space="preserve">4170054212                    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>
        <v>44.73</v>
      </c>
      <c r="AR1562">
        <v>0</v>
      </c>
      <c r="AS1562">
        <v>0</v>
      </c>
      <c r="AT1562">
        <v>0</v>
      </c>
      <c r="AU1562">
        <v>0</v>
      </c>
      <c r="AV1562">
        <v>0</v>
      </c>
      <c r="AW1562">
        <v>0</v>
      </c>
      <c r="AX1562">
        <v>0</v>
      </c>
      <c r="AY1562">
        <v>0</v>
      </c>
      <c r="AZ1562">
        <v>0</v>
      </c>
      <c r="BA1562">
        <v>0</v>
      </c>
      <c r="BB1562">
        <v>0</v>
      </c>
      <c r="BC1562">
        <v>0</v>
      </c>
      <c r="BD1562">
        <v>0</v>
      </c>
      <c r="BE1562">
        <v>0</v>
      </c>
      <c r="BF1562">
        <v>0</v>
      </c>
      <c r="BG1562">
        <v>0</v>
      </c>
      <c r="BH1562">
        <v>1</v>
      </c>
      <c r="BI1562">
        <v>1</v>
      </c>
      <c r="BJ1562">
        <v>0.2</v>
      </c>
      <c r="BK1562">
        <v>1</v>
      </c>
      <c r="BL1562">
        <v>138.88999999999999</v>
      </c>
      <c r="BM1562">
        <v>20.83</v>
      </c>
      <c r="BN1562">
        <v>159.72</v>
      </c>
      <c r="BO1562">
        <v>159.72</v>
      </c>
      <c r="BQ1562" t="s">
        <v>1160</v>
      </c>
      <c r="BR1562" t="s">
        <v>84</v>
      </c>
      <c r="BS1562" s="3">
        <v>45882</v>
      </c>
      <c r="BT1562" s="4">
        <v>0.4152777777777778</v>
      </c>
      <c r="BU1562" t="s">
        <v>1161</v>
      </c>
      <c r="BV1562" t="s">
        <v>86</v>
      </c>
      <c r="BY1562">
        <v>1200</v>
      </c>
      <c r="CA1562" t="s">
        <v>2261</v>
      </c>
      <c r="CC1562" t="s">
        <v>1158</v>
      </c>
      <c r="CD1562">
        <v>2302</v>
      </c>
      <c r="CE1562" t="s">
        <v>109</v>
      </c>
      <c r="CF1562" s="3">
        <v>45882</v>
      </c>
      <c r="CI1562">
        <v>1</v>
      </c>
      <c r="CJ1562">
        <v>1</v>
      </c>
      <c r="CK1562">
        <v>23</v>
      </c>
      <c r="CL1562" t="s">
        <v>90</v>
      </c>
    </row>
    <row r="1563" spans="1:90" x14ac:dyDescent="0.3">
      <c r="A1563" t="s">
        <v>72</v>
      </c>
      <c r="B1563" t="s">
        <v>73</v>
      </c>
      <c r="C1563" t="s">
        <v>74</v>
      </c>
      <c r="E1563" t="str">
        <f>"080067184117"</f>
        <v>080067184117</v>
      </c>
      <c r="F1563" s="3">
        <v>45881</v>
      </c>
      <c r="G1563">
        <v>202605</v>
      </c>
      <c r="H1563" t="s">
        <v>75</v>
      </c>
      <c r="I1563" t="s">
        <v>76</v>
      </c>
      <c r="J1563" t="s">
        <v>77</v>
      </c>
      <c r="K1563" t="s">
        <v>78</v>
      </c>
      <c r="L1563" t="s">
        <v>123</v>
      </c>
      <c r="M1563" t="s">
        <v>124</v>
      </c>
      <c r="N1563" t="s">
        <v>125</v>
      </c>
      <c r="O1563" t="s">
        <v>82</v>
      </c>
      <c r="P1563" t="str">
        <f>"4170054286                    "</f>
        <v xml:space="preserve">4170054286                    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0</v>
      </c>
      <c r="AN1563">
        <v>0</v>
      </c>
      <c r="AO1563">
        <v>0</v>
      </c>
      <c r="AP1563">
        <v>0</v>
      </c>
      <c r="AQ1563">
        <v>23.09</v>
      </c>
      <c r="AR1563">
        <v>0</v>
      </c>
      <c r="AS1563">
        <v>0</v>
      </c>
      <c r="AT1563">
        <v>0</v>
      </c>
      <c r="AU1563">
        <v>0</v>
      </c>
      <c r="AV1563">
        <v>0</v>
      </c>
      <c r="AW1563">
        <v>0</v>
      </c>
      <c r="AX1563">
        <v>0</v>
      </c>
      <c r="AY1563">
        <v>0</v>
      </c>
      <c r="AZ1563">
        <v>0</v>
      </c>
      <c r="BA1563">
        <v>0</v>
      </c>
      <c r="BB1563">
        <v>0</v>
      </c>
      <c r="BC1563">
        <v>0</v>
      </c>
      <c r="BD1563">
        <v>0</v>
      </c>
      <c r="BE1563">
        <v>0</v>
      </c>
      <c r="BF1563">
        <v>0</v>
      </c>
      <c r="BG1563">
        <v>0</v>
      </c>
      <c r="BH1563">
        <v>1</v>
      </c>
      <c r="BI1563">
        <v>1</v>
      </c>
      <c r="BJ1563">
        <v>0.2</v>
      </c>
      <c r="BK1563">
        <v>1</v>
      </c>
      <c r="BL1563">
        <v>71.69</v>
      </c>
      <c r="BM1563">
        <v>10.75</v>
      </c>
      <c r="BN1563">
        <v>82.44</v>
      </c>
      <c r="BO1563">
        <v>82.44</v>
      </c>
      <c r="BQ1563" t="s">
        <v>126</v>
      </c>
      <c r="BR1563" t="s">
        <v>84</v>
      </c>
      <c r="BS1563" s="3">
        <v>45882</v>
      </c>
      <c r="BT1563" s="4">
        <v>0.32500000000000001</v>
      </c>
      <c r="BU1563" t="s">
        <v>2207</v>
      </c>
      <c r="BV1563" t="s">
        <v>86</v>
      </c>
      <c r="BY1563">
        <v>1200</v>
      </c>
      <c r="CA1563" t="s">
        <v>128</v>
      </c>
      <c r="CC1563" t="s">
        <v>124</v>
      </c>
      <c r="CD1563">
        <v>7530</v>
      </c>
      <c r="CE1563" t="s">
        <v>109</v>
      </c>
      <c r="CF1563" s="3">
        <v>45883</v>
      </c>
      <c r="CI1563">
        <v>1</v>
      </c>
      <c r="CJ1563">
        <v>1</v>
      </c>
      <c r="CK1563">
        <v>21</v>
      </c>
      <c r="CL1563" t="s">
        <v>90</v>
      </c>
    </row>
    <row r="1564" spans="1:90" x14ac:dyDescent="0.3">
      <c r="A1564" t="s">
        <v>72</v>
      </c>
      <c r="B1564" t="s">
        <v>73</v>
      </c>
      <c r="C1564" t="s">
        <v>74</v>
      </c>
      <c r="E1564" t="str">
        <f>"080067184211"</f>
        <v>080067184211</v>
      </c>
      <c r="F1564" s="3">
        <v>45881</v>
      </c>
      <c r="G1564">
        <v>202605</v>
      </c>
      <c r="H1564" t="s">
        <v>75</v>
      </c>
      <c r="I1564" t="s">
        <v>76</v>
      </c>
      <c r="J1564" t="s">
        <v>77</v>
      </c>
      <c r="K1564" t="s">
        <v>78</v>
      </c>
      <c r="L1564" t="s">
        <v>217</v>
      </c>
      <c r="M1564" t="s">
        <v>218</v>
      </c>
      <c r="N1564" t="s">
        <v>544</v>
      </c>
      <c r="O1564" t="s">
        <v>82</v>
      </c>
      <c r="P1564" t="str">
        <f>"4170054262                    "</f>
        <v xml:space="preserve">4170054262                    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0</v>
      </c>
      <c r="AO1564">
        <v>0</v>
      </c>
      <c r="AP1564">
        <v>0</v>
      </c>
      <c r="AQ1564">
        <v>23.09</v>
      </c>
      <c r="AR1564">
        <v>0</v>
      </c>
      <c r="AS1564">
        <v>0</v>
      </c>
      <c r="AT1564">
        <v>0</v>
      </c>
      <c r="AU1564">
        <v>0</v>
      </c>
      <c r="AV1564">
        <v>0</v>
      </c>
      <c r="AW1564">
        <v>0</v>
      </c>
      <c r="AX1564">
        <v>0</v>
      </c>
      <c r="AY1564">
        <v>0</v>
      </c>
      <c r="AZ1564">
        <v>0</v>
      </c>
      <c r="BA1564">
        <v>0</v>
      </c>
      <c r="BB1564">
        <v>0</v>
      </c>
      <c r="BC1564">
        <v>0</v>
      </c>
      <c r="BD1564">
        <v>0</v>
      </c>
      <c r="BE1564">
        <v>0</v>
      </c>
      <c r="BF1564">
        <v>0</v>
      </c>
      <c r="BG1564">
        <v>0</v>
      </c>
      <c r="BH1564">
        <v>1</v>
      </c>
      <c r="BI1564">
        <v>1</v>
      </c>
      <c r="BJ1564">
        <v>0.2</v>
      </c>
      <c r="BK1564">
        <v>1</v>
      </c>
      <c r="BL1564">
        <v>71.69</v>
      </c>
      <c r="BM1564">
        <v>10.75</v>
      </c>
      <c r="BN1564">
        <v>82.44</v>
      </c>
      <c r="BO1564">
        <v>82.44</v>
      </c>
      <c r="BQ1564" t="s">
        <v>545</v>
      </c>
      <c r="BR1564" t="s">
        <v>84</v>
      </c>
      <c r="BS1564" s="3">
        <v>45882</v>
      </c>
      <c r="BT1564" s="4">
        <v>0.45416666666666666</v>
      </c>
      <c r="BU1564" t="s">
        <v>1901</v>
      </c>
      <c r="BV1564" t="s">
        <v>90</v>
      </c>
      <c r="BW1564" t="s">
        <v>1167</v>
      </c>
      <c r="BX1564" t="s">
        <v>641</v>
      </c>
      <c r="BY1564">
        <v>1200</v>
      </c>
      <c r="CC1564" t="s">
        <v>218</v>
      </c>
      <c r="CD1564">
        <v>4000</v>
      </c>
      <c r="CE1564" t="s">
        <v>109</v>
      </c>
      <c r="CF1564" s="3">
        <v>45882</v>
      </c>
      <c r="CI1564">
        <v>1</v>
      </c>
      <c r="CJ1564">
        <v>1</v>
      </c>
      <c r="CK1564">
        <v>21</v>
      </c>
      <c r="CL1564" t="s">
        <v>90</v>
      </c>
    </row>
    <row r="1565" spans="1:90" x14ac:dyDescent="0.3">
      <c r="A1565" t="s">
        <v>72</v>
      </c>
      <c r="B1565" t="s">
        <v>73</v>
      </c>
      <c r="C1565" t="s">
        <v>74</v>
      </c>
      <c r="E1565" t="str">
        <f>"080067184233"</f>
        <v>080067184233</v>
      </c>
      <c r="F1565" s="3">
        <v>45881</v>
      </c>
      <c r="G1565">
        <v>202605</v>
      </c>
      <c r="H1565" t="s">
        <v>75</v>
      </c>
      <c r="I1565" t="s">
        <v>76</v>
      </c>
      <c r="J1565" t="s">
        <v>77</v>
      </c>
      <c r="K1565" t="s">
        <v>78</v>
      </c>
      <c r="L1565" t="s">
        <v>75</v>
      </c>
      <c r="M1565" t="s">
        <v>76</v>
      </c>
      <c r="N1565" t="s">
        <v>548</v>
      </c>
      <c r="O1565" t="s">
        <v>82</v>
      </c>
      <c r="P1565" t="str">
        <f>"4170054226                    "</f>
        <v xml:space="preserve">4170054226                    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Q1565">
        <v>18.03</v>
      </c>
      <c r="AR1565">
        <v>0</v>
      </c>
      <c r="AS1565">
        <v>0</v>
      </c>
      <c r="AT1565">
        <v>0</v>
      </c>
      <c r="AU1565">
        <v>0</v>
      </c>
      <c r="AV1565">
        <v>0</v>
      </c>
      <c r="AW1565">
        <v>0</v>
      </c>
      <c r="AX1565">
        <v>0</v>
      </c>
      <c r="AY1565">
        <v>0</v>
      </c>
      <c r="AZ1565">
        <v>0</v>
      </c>
      <c r="BA1565">
        <v>0</v>
      </c>
      <c r="BB1565">
        <v>0</v>
      </c>
      <c r="BC1565">
        <v>0</v>
      </c>
      <c r="BD1565">
        <v>0</v>
      </c>
      <c r="BE1565">
        <v>0</v>
      </c>
      <c r="BF1565">
        <v>0</v>
      </c>
      <c r="BG1565">
        <v>0</v>
      </c>
      <c r="BH1565">
        <v>1</v>
      </c>
      <c r="BI1565">
        <v>1</v>
      </c>
      <c r="BJ1565">
        <v>0.2</v>
      </c>
      <c r="BK1565">
        <v>1</v>
      </c>
      <c r="BL1565">
        <v>55.99</v>
      </c>
      <c r="BM1565">
        <v>8.4</v>
      </c>
      <c r="BN1565">
        <v>64.39</v>
      </c>
      <c r="BO1565">
        <v>64.39</v>
      </c>
      <c r="BQ1565" t="s">
        <v>549</v>
      </c>
      <c r="BR1565" t="s">
        <v>84</v>
      </c>
      <c r="BS1565" s="3">
        <v>45882</v>
      </c>
      <c r="BT1565" s="4">
        <v>0.31805555555555554</v>
      </c>
      <c r="BU1565" t="s">
        <v>550</v>
      </c>
      <c r="BV1565" t="s">
        <v>86</v>
      </c>
      <c r="BY1565">
        <v>1200</v>
      </c>
      <c r="CA1565" t="s">
        <v>1327</v>
      </c>
      <c r="CC1565" t="s">
        <v>76</v>
      </c>
      <c r="CD1565">
        <v>1666</v>
      </c>
      <c r="CE1565" t="s">
        <v>109</v>
      </c>
      <c r="CF1565" s="3">
        <v>45882</v>
      </c>
      <c r="CI1565">
        <v>1</v>
      </c>
      <c r="CJ1565">
        <v>1</v>
      </c>
      <c r="CK1565">
        <v>22</v>
      </c>
      <c r="CL1565" t="s">
        <v>90</v>
      </c>
    </row>
    <row r="1566" spans="1:90" x14ac:dyDescent="0.3">
      <c r="A1566" t="s">
        <v>72</v>
      </c>
      <c r="B1566" t="s">
        <v>73</v>
      </c>
      <c r="C1566" t="s">
        <v>74</v>
      </c>
      <c r="E1566" t="str">
        <f>"080067184282"</f>
        <v>080067184282</v>
      </c>
      <c r="F1566" s="3">
        <v>45881</v>
      </c>
      <c r="G1566">
        <v>202605</v>
      </c>
      <c r="H1566" t="s">
        <v>75</v>
      </c>
      <c r="I1566" t="s">
        <v>76</v>
      </c>
      <c r="J1566" t="s">
        <v>77</v>
      </c>
      <c r="K1566" t="s">
        <v>78</v>
      </c>
      <c r="L1566" t="s">
        <v>118</v>
      </c>
      <c r="M1566" t="s">
        <v>118</v>
      </c>
      <c r="N1566" t="s">
        <v>1965</v>
      </c>
      <c r="O1566" t="s">
        <v>82</v>
      </c>
      <c r="P1566" t="str">
        <f>"4170054243                    "</f>
        <v xml:space="preserve">4170054243                    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>
        <v>0</v>
      </c>
      <c r="AQ1566">
        <v>44.73</v>
      </c>
      <c r="AR1566">
        <v>0</v>
      </c>
      <c r="AS1566">
        <v>0</v>
      </c>
      <c r="AT1566">
        <v>0</v>
      </c>
      <c r="AU1566">
        <v>0</v>
      </c>
      <c r="AV1566">
        <v>0</v>
      </c>
      <c r="AW1566">
        <v>0</v>
      </c>
      <c r="AX1566">
        <v>0</v>
      </c>
      <c r="AY1566">
        <v>0</v>
      </c>
      <c r="AZ1566">
        <v>0</v>
      </c>
      <c r="BA1566">
        <v>0</v>
      </c>
      <c r="BB1566">
        <v>0</v>
      </c>
      <c r="BC1566">
        <v>0</v>
      </c>
      <c r="BD1566">
        <v>0</v>
      </c>
      <c r="BE1566">
        <v>0</v>
      </c>
      <c r="BF1566">
        <v>0</v>
      </c>
      <c r="BG1566">
        <v>0</v>
      </c>
      <c r="BH1566">
        <v>1</v>
      </c>
      <c r="BI1566">
        <v>1</v>
      </c>
      <c r="BJ1566">
        <v>0.2</v>
      </c>
      <c r="BK1566">
        <v>1</v>
      </c>
      <c r="BL1566">
        <v>138.88999999999999</v>
      </c>
      <c r="BM1566">
        <v>20.83</v>
      </c>
      <c r="BN1566">
        <v>159.72</v>
      </c>
      <c r="BO1566">
        <v>159.72</v>
      </c>
      <c r="BQ1566" t="s">
        <v>1966</v>
      </c>
      <c r="BR1566" t="s">
        <v>84</v>
      </c>
      <c r="BS1566" s="3">
        <v>45882</v>
      </c>
      <c r="BT1566" s="4">
        <v>0.53819444444444442</v>
      </c>
      <c r="BU1566" t="s">
        <v>121</v>
      </c>
      <c r="BV1566" t="s">
        <v>86</v>
      </c>
      <c r="BY1566">
        <v>1200</v>
      </c>
      <c r="CA1566" t="s">
        <v>122</v>
      </c>
      <c r="CC1566" t="s">
        <v>118</v>
      </c>
      <c r="CD1566">
        <v>7646</v>
      </c>
      <c r="CE1566" t="s">
        <v>109</v>
      </c>
      <c r="CF1566" s="3">
        <v>45883</v>
      </c>
      <c r="CI1566">
        <v>1</v>
      </c>
      <c r="CJ1566">
        <v>1</v>
      </c>
      <c r="CK1566">
        <v>23</v>
      </c>
      <c r="CL1566" t="s">
        <v>90</v>
      </c>
    </row>
    <row r="1567" spans="1:90" x14ac:dyDescent="0.3">
      <c r="A1567" t="s">
        <v>72</v>
      </c>
      <c r="B1567" t="s">
        <v>73</v>
      </c>
      <c r="C1567" t="s">
        <v>74</v>
      </c>
      <c r="E1567" t="str">
        <f>"080067184311"</f>
        <v>080067184311</v>
      </c>
      <c r="F1567" s="3">
        <v>45881</v>
      </c>
      <c r="G1567">
        <v>202605</v>
      </c>
      <c r="H1567" t="s">
        <v>75</v>
      </c>
      <c r="I1567" t="s">
        <v>76</v>
      </c>
      <c r="J1567" t="s">
        <v>77</v>
      </c>
      <c r="K1567" t="s">
        <v>78</v>
      </c>
      <c r="L1567" t="s">
        <v>137</v>
      </c>
      <c r="M1567" t="s">
        <v>138</v>
      </c>
      <c r="N1567" t="s">
        <v>261</v>
      </c>
      <c r="O1567" t="s">
        <v>82</v>
      </c>
      <c r="P1567" t="str">
        <f>"4170054277                    "</f>
        <v xml:space="preserve">4170054277                    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Q1567">
        <v>23.09</v>
      </c>
      <c r="AR1567">
        <v>0</v>
      </c>
      <c r="AS1567">
        <v>0</v>
      </c>
      <c r="AT1567">
        <v>0</v>
      </c>
      <c r="AU1567">
        <v>0</v>
      </c>
      <c r="AV1567">
        <v>0</v>
      </c>
      <c r="AW1567">
        <v>0</v>
      </c>
      <c r="AX1567">
        <v>0</v>
      </c>
      <c r="AY1567">
        <v>0</v>
      </c>
      <c r="AZ1567">
        <v>0</v>
      </c>
      <c r="BA1567">
        <v>0</v>
      </c>
      <c r="BB1567">
        <v>0</v>
      </c>
      <c r="BC1567">
        <v>0</v>
      </c>
      <c r="BD1567">
        <v>0</v>
      </c>
      <c r="BE1567">
        <v>0</v>
      </c>
      <c r="BF1567">
        <v>0</v>
      </c>
      <c r="BG1567">
        <v>0</v>
      </c>
      <c r="BH1567">
        <v>1</v>
      </c>
      <c r="BI1567">
        <v>1</v>
      </c>
      <c r="BJ1567">
        <v>0.2</v>
      </c>
      <c r="BK1567">
        <v>1</v>
      </c>
      <c r="BL1567">
        <v>71.69</v>
      </c>
      <c r="BM1567">
        <v>10.75</v>
      </c>
      <c r="BN1567">
        <v>82.44</v>
      </c>
      <c r="BO1567">
        <v>82.44</v>
      </c>
      <c r="BQ1567" t="s">
        <v>262</v>
      </c>
      <c r="BR1567" t="s">
        <v>84</v>
      </c>
      <c r="BS1567" s="3">
        <v>45882</v>
      </c>
      <c r="BT1567" s="4">
        <v>0.37708333333333333</v>
      </c>
      <c r="BU1567" t="s">
        <v>263</v>
      </c>
      <c r="BV1567" t="s">
        <v>86</v>
      </c>
      <c r="BY1567">
        <v>1200</v>
      </c>
      <c r="CA1567" t="s">
        <v>264</v>
      </c>
      <c r="CC1567" t="s">
        <v>138</v>
      </c>
      <c r="CD1567">
        <v>3608</v>
      </c>
      <c r="CE1567" t="s">
        <v>109</v>
      </c>
      <c r="CF1567" s="3">
        <v>45882</v>
      </c>
      <c r="CI1567">
        <v>1</v>
      </c>
      <c r="CJ1567">
        <v>1</v>
      </c>
      <c r="CK1567">
        <v>21</v>
      </c>
      <c r="CL1567" t="s">
        <v>90</v>
      </c>
    </row>
    <row r="1568" spans="1:90" x14ac:dyDescent="0.3">
      <c r="A1568" t="s">
        <v>72</v>
      </c>
      <c r="B1568" t="s">
        <v>73</v>
      </c>
      <c r="C1568" t="s">
        <v>74</v>
      </c>
      <c r="E1568" t="str">
        <f>"080067184372"</f>
        <v>080067184372</v>
      </c>
      <c r="F1568" s="3">
        <v>45881</v>
      </c>
      <c r="G1568">
        <v>202605</v>
      </c>
      <c r="H1568" t="s">
        <v>75</v>
      </c>
      <c r="I1568" t="s">
        <v>76</v>
      </c>
      <c r="J1568" t="s">
        <v>77</v>
      </c>
      <c r="K1568" t="s">
        <v>78</v>
      </c>
      <c r="L1568" t="s">
        <v>79</v>
      </c>
      <c r="M1568" t="s">
        <v>80</v>
      </c>
      <c r="N1568" t="s">
        <v>2163</v>
      </c>
      <c r="O1568" t="s">
        <v>82</v>
      </c>
      <c r="P1568" t="str">
        <f>"4170054315                    "</f>
        <v xml:space="preserve">4170054315                    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0</v>
      </c>
      <c r="AO1568">
        <v>0</v>
      </c>
      <c r="AP1568">
        <v>0</v>
      </c>
      <c r="AQ1568">
        <v>18.03</v>
      </c>
      <c r="AR1568">
        <v>0</v>
      </c>
      <c r="AS1568">
        <v>0</v>
      </c>
      <c r="AT1568">
        <v>0</v>
      </c>
      <c r="AU1568">
        <v>0</v>
      </c>
      <c r="AV1568">
        <v>0</v>
      </c>
      <c r="AW1568">
        <v>0</v>
      </c>
      <c r="AX1568">
        <v>0</v>
      </c>
      <c r="AY1568">
        <v>0</v>
      </c>
      <c r="AZ1568">
        <v>0</v>
      </c>
      <c r="BA1568">
        <v>0</v>
      </c>
      <c r="BB1568">
        <v>0</v>
      </c>
      <c r="BC1568">
        <v>0</v>
      </c>
      <c r="BD1568">
        <v>0</v>
      </c>
      <c r="BE1568">
        <v>0</v>
      </c>
      <c r="BF1568">
        <v>0</v>
      </c>
      <c r="BG1568">
        <v>0</v>
      </c>
      <c r="BH1568">
        <v>1</v>
      </c>
      <c r="BI1568">
        <v>1</v>
      </c>
      <c r="BJ1568">
        <v>0.2</v>
      </c>
      <c r="BK1568">
        <v>1</v>
      </c>
      <c r="BL1568">
        <v>55.99</v>
      </c>
      <c r="BM1568">
        <v>8.4</v>
      </c>
      <c r="BN1568">
        <v>64.39</v>
      </c>
      <c r="BO1568">
        <v>64.39</v>
      </c>
      <c r="BQ1568" t="s">
        <v>2164</v>
      </c>
      <c r="BR1568" t="s">
        <v>84</v>
      </c>
      <c r="BS1568" s="3">
        <v>45882</v>
      </c>
      <c r="BT1568" s="4">
        <v>0.35833333333333334</v>
      </c>
      <c r="BU1568" t="s">
        <v>2165</v>
      </c>
      <c r="BV1568" t="s">
        <v>86</v>
      </c>
      <c r="BY1568">
        <v>1200</v>
      </c>
      <c r="CA1568" t="s">
        <v>188</v>
      </c>
      <c r="CC1568" t="s">
        <v>80</v>
      </c>
      <c r="CD1568">
        <v>1401</v>
      </c>
      <c r="CE1568" t="s">
        <v>109</v>
      </c>
      <c r="CF1568" s="3">
        <v>45883</v>
      </c>
      <c r="CI1568">
        <v>1</v>
      </c>
      <c r="CJ1568">
        <v>1</v>
      </c>
      <c r="CK1568">
        <v>22</v>
      </c>
      <c r="CL1568" t="s">
        <v>90</v>
      </c>
    </row>
    <row r="1569" spans="1:90" x14ac:dyDescent="0.3">
      <c r="A1569" t="s">
        <v>72</v>
      </c>
      <c r="B1569" t="s">
        <v>73</v>
      </c>
      <c r="C1569" t="s">
        <v>74</v>
      </c>
      <c r="E1569" t="str">
        <f>"080067184409"</f>
        <v>080067184409</v>
      </c>
      <c r="F1569" s="3">
        <v>45881</v>
      </c>
      <c r="G1569">
        <v>202605</v>
      </c>
      <c r="H1569" t="s">
        <v>75</v>
      </c>
      <c r="I1569" t="s">
        <v>76</v>
      </c>
      <c r="J1569" t="s">
        <v>77</v>
      </c>
      <c r="K1569" t="s">
        <v>78</v>
      </c>
      <c r="L1569" t="s">
        <v>198</v>
      </c>
      <c r="M1569" t="s">
        <v>199</v>
      </c>
      <c r="N1569" t="s">
        <v>955</v>
      </c>
      <c r="O1569" t="s">
        <v>82</v>
      </c>
      <c r="P1569" t="str">
        <f>"4170054251                    "</f>
        <v xml:space="preserve">4170054251                    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0</v>
      </c>
      <c r="AO1569">
        <v>0</v>
      </c>
      <c r="AP1569">
        <v>0</v>
      </c>
      <c r="AQ1569">
        <v>23.09</v>
      </c>
      <c r="AR1569">
        <v>0</v>
      </c>
      <c r="AS1569">
        <v>0</v>
      </c>
      <c r="AT1569">
        <v>0</v>
      </c>
      <c r="AU1569">
        <v>0</v>
      </c>
      <c r="AV1569">
        <v>0</v>
      </c>
      <c r="AW1569">
        <v>0</v>
      </c>
      <c r="AX1569">
        <v>0</v>
      </c>
      <c r="AY1569">
        <v>0</v>
      </c>
      <c r="AZ1569">
        <v>0</v>
      </c>
      <c r="BA1569">
        <v>0</v>
      </c>
      <c r="BB1569">
        <v>0</v>
      </c>
      <c r="BC1569">
        <v>0</v>
      </c>
      <c r="BD1569">
        <v>0</v>
      </c>
      <c r="BE1569">
        <v>0</v>
      </c>
      <c r="BF1569">
        <v>0</v>
      </c>
      <c r="BG1569">
        <v>0</v>
      </c>
      <c r="BH1569">
        <v>1</v>
      </c>
      <c r="BI1569">
        <v>1</v>
      </c>
      <c r="BJ1569">
        <v>0.2</v>
      </c>
      <c r="BK1569">
        <v>1</v>
      </c>
      <c r="BL1569">
        <v>71.69</v>
      </c>
      <c r="BM1569">
        <v>10.75</v>
      </c>
      <c r="BN1569">
        <v>82.44</v>
      </c>
      <c r="BO1569">
        <v>82.44</v>
      </c>
      <c r="BQ1569" t="s">
        <v>956</v>
      </c>
      <c r="BR1569" t="s">
        <v>84</v>
      </c>
      <c r="BS1569" s="3">
        <v>45882</v>
      </c>
      <c r="BT1569" s="4">
        <v>0.36249999999999999</v>
      </c>
      <c r="BU1569" t="s">
        <v>1874</v>
      </c>
      <c r="BV1569" t="s">
        <v>86</v>
      </c>
      <c r="BY1569">
        <v>1200</v>
      </c>
      <c r="CA1569" t="s">
        <v>433</v>
      </c>
      <c r="CC1569" t="s">
        <v>199</v>
      </c>
      <c r="CD1569">
        <v>6012</v>
      </c>
      <c r="CE1569" t="s">
        <v>109</v>
      </c>
      <c r="CF1569" s="3">
        <v>45882</v>
      </c>
      <c r="CI1569">
        <v>1</v>
      </c>
      <c r="CJ1569">
        <v>1</v>
      </c>
      <c r="CK1569">
        <v>21</v>
      </c>
      <c r="CL1569" t="s">
        <v>90</v>
      </c>
    </row>
    <row r="1570" spans="1:90" x14ac:dyDescent="0.3">
      <c r="A1570" t="s">
        <v>72</v>
      </c>
      <c r="B1570" t="s">
        <v>73</v>
      </c>
      <c r="C1570" t="s">
        <v>74</v>
      </c>
      <c r="E1570" t="str">
        <f>"080067184462"</f>
        <v>080067184462</v>
      </c>
      <c r="F1570" s="3">
        <v>45881</v>
      </c>
      <c r="G1570">
        <v>202605</v>
      </c>
      <c r="H1570" t="s">
        <v>75</v>
      </c>
      <c r="I1570" t="s">
        <v>76</v>
      </c>
      <c r="J1570" t="s">
        <v>77</v>
      </c>
      <c r="K1570" t="s">
        <v>78</v>
      </c>
      <c r="L1570" t="s">
        <v>198</v>
      </c>
      <c r="M1570" t="s">
        <v>199</v>
      </c>
      <c r="N1570" t="s">
        <v>469</v>
      </c>
      <c r="O1570" t="s">
        <v>82</v>
      </c>
      <c r="P1570" t="str">
        <f>"4170054319                    "</f>
        <v xml:space="preserve">4170054319                    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Q1570">
        <v>23.09</v>
      </c>
      <c r="AR1570">
        <v>0</v>
      </c>
      <c r="AS1570">
        <v>0</v>
      </c>
      <c r="AT1570">
        <v>0</v>
      </c>
      <c r="AU1570">
        <v>0</v>
      </c>
      <c r="AV1570">
        <v>0</v>
      </c>
      <c r="AW1570">
        <v>0</v>
      </c>
      <c r="AX1570">
        <v>0</v>
      </c>
      <c r="AY1570">
        <v>0</v>
      </c>
      <c r="AZ1570">
        <v>0</v>
      </c>
      <c r="BA1570">
        <v>0</v>
      </c>
      <c r="BB1570">
        <v>0</v>
      </c>
      <c r="BC1570">
        <v>0</v>
      </c>
      <c r="BD1570">
        <v>0</v>
      </c>
      <c r="BE1570">
        <v>0</v>
      </c>
      <c r="BF1570">
        <v>0</v>
      </c>
      <c r="BG1570">
        <v>0</v>
      </c>
      <c r="BH1570">
        <v>1</v>
      </c>
      <c r="BI1570">
        <v>1</v>
      </c>
      <c r="BJ1570">
        <v>0.2</v>
      </c>
      <c r="BK1570">
        <v>1</v>
      </c>
      <c r="BL1570">
        <v>71.69</v>
      </c>
      <c r="BM1570">
        <v>10.75</v>
      </c>
      <c r="BN1570">
        <v>82.44</v>
      </c>
      <c r="BO1570">
        <v>82.44</v>
      </c>
      <c r="BQ1570" t="s">
        <v>470</v>
      </c>
      <c r="BR1570" t="s">
        <v>84</v>
      </c>
      <c r="BS1570" s="3">
        <v>45882</v>
      </c>
      <c r="BT1570" s="4">
        <v>0.3888888888888889</v>
      </c>
      <c r="BU1570" t="s">
        <v>471</v>
      </c>
      <c r="BV1570" t="s">
        <v>86</v>
      </c>
      <c r="BY1570">
        <v>1200</v>
      </c>
      <c r="CA1570" t="s">
        <v>1570</v>
      </c>
      <c r="CC1570" t="s">
        <v>199</v>
      </c>
      <c r="CD1570">
        <v>6001</v>
      </c>
      <c r="CE1570" t="s">
        <v>109</v>
      </c>
      <c r="CF1570" s="3">
        <v>45882</v>
      </c>
      <c r="CI1570">
        <v>1</v>
      </c>
      <c r="CJ1570">
        <v>1</v>
      </c>
      <c r="CK1570">
        <v>21</v>
      </c>
      <c r="CL1570" t="s">
        <v>90</v>
      </c>
    </row>
    <row r="1571" spans="1:90" x14ac:dyDescent="0.3">
      <c r="A1571" t="s">
        <v>72</v>
      </c>
      <c r="B1571" t="s">
        <v>73</v>
      </c>
      <c r="C1571" t="s">
        <v>74</v>
      </c>
      <c r="E1571" t="str">
        <f>"080067184471"</f>
        <v>080067184471</v>
      </c>
      <c r="F1571" s="3">
        <v>45881</v>
      </c>
      <c r="G1571">
        <v>202605</v>
      </c>
      <c r="H1571" t="s">
        <v>75</v>
      </c>
      <c r="I1571" t="s">
        <v>76</v>
      </c>
      <c r="J1571" t="s">
        <v>77</v>
      </c>
      <c r="K1571" t="s">
        <v>78</v>
      </c>
      <c r="L1571" t="s">
        <v>198</v>
      </c>
      <c r="M1571" t="s">
        <v>199</v>
      </c>
      <c r="N1571" t="s">
        <v>1001</v>
      </c>
      <c r="O1571" t="s">
        <v>82</v>
      </c>
      <c r="P1571" t="str">
        <f>"4170054265                    "</f>
        <v xml:space="preserve">4170054265                    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Q1571">
        <v>23.09</v>
      </c>
      <c r="AR1571">
        <v>0</v>
      </c>
      <c r="AS1571">
        <v>0</v>
      </c>
      <c r="AT1571">
        <v>0</v>
      </c>
      <c r="AU1571">
        <v>0</v>
      </c>
      <c r="AV1571">
        <v>0</v>
      </c>
      <c r="AW1571">
        <v>0</v>
      </c>
      <c r="AX1571">
        <v>0</v>
      </c>
      <c r="AY1571">
        <v>0</v>
      </c>
      <c r="AZ1571">
        <v>0</v>
      </c>
      <c r="BA1571">
        <v>0</v>
      </c>
      <c r="BB1571">
        <v>0</v>
      </c>
      <c r="BC1571">
        <v>0</v>
      </c>
      <c r="BD1571">
        <v>0</v>
      </c>
      <c r="BE1571">
        <v>0</v>
      </c>
      <c r="BF1571">
        <v>0</v>
      </c>
      <c r="BG1571">
        <v>0</v>
      </c>
      <c r="BH1571">
        <v>1</v>
      </c>
      <c r="BI1571">
        <v>1</v>
      </c>
      <c r="BJ1571">
        <v>0.2</v>
      </c>
      <c r="BK1571">
        <v>1</v>
      </c>
      <c r="BL1571">
        <v>71.69</v>
      </c>
      <c r="BM1571">
        <v>10.75</v>
      </c>
      <c r="BN1571">
        <v>82.44</v>
      </c>
      <c r="BO1571">
        <v>82.44</v>
      </c>
      <c r="BQ1571" t="s">
        <v>1002</v>
      </c>
      <c r="BR1571" t="s">
        <v>84</v>
      </c>
      <c r="BS1571" s="3">
        <v>45882</v>
      </c>
      <c r="BT1571" s="4">
        <v>0.43541666666666667</v>
      </c>
      <c r="BU1571" t="s">
        <v>2262</v>
      </c>
      <c r="BV1571" t="s">
        <v>86</v>
      </c>
      <c r="BY1571">
        <v>1200</v>
      </c>
      <c r="CA1571" t="s">
        <v>689</v>
      </c>
      <c r="CC1571" t="s">
        <v>199</v>
      </c>
      <c r="CD1571">
        <v>6001</v>
      </c>
      <c r="CE1571" t="s">
        <v>109</v>
      </c>
      <c r="CF1571" s="3">
        <v>45882</v>
      </c>
      <c r="CI1571">
        <v>1</v>
      </c>
      <c r="CJ1571">
        <v>1</v>
      </c>
      <c r="CK1571">
        <v>21</v>
      </c>
      <c r="CL1571" t="s">
        <v>90</v>
      </c>
    </row>
    <row r="1572" spans="1:90" x14ac:dyDescent="0.3">
      <c r="A1572" t="s">
        <v>72</v>
      </c>
      <c r="B1572" t="s">
        <v>73</v>
      </c>
      <c r="C1572" t="s">
        <v>74</v>
      </c>
      <c r="E1572" t="str">
        <f>"080067184487"</f>
        <v>080067184487</v>
      </c>
      <c r="F1572" s="3">
        <v>45881</v>
      </c>
      <c r="G1572">
        <v>202605</v>
      </c>
      <c r="H1572" t="s">
        <v>75</v>
      </c>
      <c r="I1572" t="s">
        <v>76</v>
      </c>
      <c r="J1572" t="s">
        <v>77</v>
      </c>
      <c r="K1572" t="s">
        <v>78</v>
      </c>
      <c r="L1572" t="s">
        <v>325</v>
      </c>
      <c r="M1572" t="s">
        <v>326</v>
      </c>
      <c r="N1572" t="s">
        <v>1459</v>
      </c>
      <c r="O1572" t="s">
        <v>82</v>
      </c>
      <c r="P1572" t="str">
        <f>"4170054214                    "</f>
        <v xml:space="preserve">4170054214                    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Q1572">
        <v>18.03</v>
      </c>
      <c r="AR1572">
        <v>0</v>
      </c>
      <c r="AS1572">
        <v>0</v>
      </c>
      <c r="AT1572">
        <v>0</v>
      </c>
      <c r="AU1572">
        <v>0</v>
      </c>
      <c r="AV1572">
        <v>0</v>
      </c>
      <c r="AW1572">
        <v>0</v>
      </c>
      <c r="AX1572">
        <v>0</v>
      </c>
      <c r="AY1572">
        <v>0</v>
      </c>
      <c r="AZ1572">
        <v>0</v>
      </c>
      <c r="BA1572">
        <v>0</v>
      </c>
      <c r="BB1572">
        <v>0</v>
      </c>
      <c r="BC1572">
        <v>0</v>
      </c>
      <c r="BD1572">
        <v>0</v>
      </c>
      <c r="BE1572">
        <v>0</v>
      </c>
      <c r="BF1572">
        <v>0</v>
      </c>
      <c r="BG1572">
        <v>0</v>
      </c>
      <c r="BH1572">
        <v>1</v>
      </c>
      <c r="BI1572">
        <v>1</v>
      </c>
      <c r="BJ1572">
        <v>0.2</v>
      </c>
      <c r="BK1572">
        <v>1</v>
      </c>
      <c r="BL1572">
        <v>55.99</v>
      </c>
      <c r="BM1572">
        <v>8.4</v>
      </c>
      <c r="BN1572">
        <v>64.39</v>
      </c>
      <c r="BO1572">
        <v>64.39</v>
      </c>
      <c r="BQ1572" t="s">
        <v>1460</v>
      </c>
      <c r="BR1572" t="s">
        <v>84</v>
      </c>
      <c r="BS1572" s="3">
        <v>45882</v>
      </c>
      <c r="BT1572" s="4">
        <v>0.37569444444444444</v>
      </c>
      <c r="BU1572" t="s">
        <v>2000</v>
      </c>
      <c r="BV1572" t="s">
        <v>86</v>
      </c>
      <c r="BY1572">
        <v>1200</v>
      </c>
      <c r="CA1572" t="s">
        <v>331</v>
      </c>
      <c r="CC1572" t="s">
        <v>326</v>
      </c>
      <c r="CD1572">
        <v>2013</v>
      </c>
      <c r="CE1572" t="s">
        <v>109</v>
      </c>
      <c r="CF1572" s="3">
        <v>45882</v>
      </c>
      <c r="CI1572">
        <v>1</v>
      </c>
      <c r="CJ1572">
        <v>1</v>
      </c>
      <c r="CK1572">
        <v>22</v>
      </c>
      <c r="CL1572" t="s">
        <v>90</v>
      </c>
    </row>
    <row r="1573" spans="1:90" x14ac:dyDescent="0.3">
      <c r="A1573" t="s">
        <v>72</v>
      </c>
      <c r="B1573" t="s">
        <v>73</v>
      </c>
      <c r="C1573" t="s">
        <v>74</v>
      </c>
      <c r="E1573" t="str">
        <f>"080067184491"</f>
        <v>080067184491</v>
      </c>
      <c r="F1573" s="3">
        <v>45881</v>
      </c>
      <c r="G1573">
        <v>202605</v>
      </c>
      <c r="H1573" t="s">
        <v>75</v>
      </c>
      <c r="I1573" t="s">
        <v>76</v>
      </c>
      <c r="J1573" t="s">
        <v>77</v>
      </c>
      <c r="K1573" t="s">
        <v>78</v>
      </c>
      <c r="L1573" t="s">
        <v>118</v>
      </c>
      <c r="M1573" t="s">
        <v>118</v>
      </c>
      <c r="N1573" t="s">
        <v>669</v>
      </c>
      <c r="O1573" t="s">
        <v>82</v>
      </c>
      <c r="P1573" t="str">
        <f>"4170054317                    "</f>
        <v xml:space="preserve">4170054317                    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>
        <v>44.73</v>
      </c>
      <c r="AR1573">
        <v>0</v>
      </c>
      <c r="AS1573">
        <v>0</v>
      </c>
      <c r="AT1573">
        <v>0</v>
      </c>
      <c r="AU1573">
        <v>0</v>
      </c>
      <c r="AV1573">
        <v>0</v>
      </c>
      <c r="AW1573">
        <v>0</v>
      </c>
      <c r="AX1573">
        <v>0</v>
      </c>
      <c r="AY1573">
        <v>0</v>
      </c>
      <c r="AZ1573">
        <v>0</v>
      </c>
      <c r="BA1573">
        <v>0</v>
      </c>
      <c r="BB1573">
        <v>0</v>
      </c>
      <c r="BC1573">
        <v>0</v>
      </c>
      <c r="BD1573">
        <v>0</v>
      </c>
      <c r="BE1573">
        <v>0</v>
      </c>
      <c r="BF1573">
        <v>0</v>
      </c>
      <c r="BG1573">
        <v>0</v>
      </c>
      <c r="BH1573">
        <v>1</v>
      </c>
      <c r="BI1573">
        <v>1</v>
      </c>
      <c r="BJ1573">
        <v>0.2</v>
      </c>
      <c r="BK1573">
        <v>1</v>
      </c>
      <c r="BL1573">
        <v>138.88999999999999</v>
      </c>
      <c r="BM1573">
        <v>20.83</v>
      </c>
      <c r="BN1573">
        <v>159.72</v>
      </c>
      <c r="BO1573">
        <v>159.72</v>
      </c>
      <c r="BQ1573" t="s">
        <v>670</v>
      </c>
      <c r="BR1573" t="s">
        <v>84</v>
      </c>
      <c r="BS1573" s="3">
        <v>45882</v>
      </c>
      <c r="BT1573" s="4">
        <v>0.53888888888888886</v>
      </c>
      <c r="BU1573" t="s">
        <v>2155</v>
      </c>
      <c r="BV1573" t="s">
        <v>86</v>
      </c>
      <c r="BY1573">
        <v>1200</v>
      </c>
      <c r="CA1573" t="s">
        <v>122</v>
      </c>
      <c r="CC1573" t="s">
        <v>118</v>
      </c>
      <c r="CD1573">
        <v>7646</v>
      </c>
      <c r="CE1573" t="s">
        <v>109</v>
      </c>
      <c r="CF1573" s="3">
        <v>45883</v>
      </c>
      <c r="CI1573">
        <v>1</v>
      </c>
      <c r="CJ1573">
        <v>1</v>
      </c>
      <c r="CK1573">
        <v>23</v>
      </c>
      <c r="CL1573" t="s">
        <v>90</v>
      </c>
    </row>
    <row r="1574" spans="1:90" x14ac:dyDescent="0.3">
      <c r="A1574" t="s">
        <v>72</v>
      </c>
      <c r="B1574" t="s">
        <v>73</v>
      </c>
      <c r="C1574" t="s">
        <v>74</v>
      </c>
      <c r="E1574" t="str">
        <f>"080067184576"</f>
        <v>080067184576</v>
      </c>
      <c r="F1574" s="3">
        <v>45881</v>
      </c>
      <c r="G1574">
        <v>202605</v>
      </c>
      <c r="H1574" t="s">
        <v>75</v>
      </c>
      <c r="I1574" t="s">
        <v>76</v>
      </c>
      <c r="J1574" t="s">
        <v>77</v>
      </c>
      <c r="K1574" t="s">
        <v>78</v>
      </c>
      <c r="L1574" t="s">
        <v>241</v>
      </c>
      <c r="M1574" t="s">
        <v>242</v>
      </c>
      <c r="N1574" t="s">
        <v>494</v>
      </c>
      <c r="O1574" t="s">
        <v>82</v>
      </c>
      <c r="P1574" t="str">
        <f>"4170054284                    "</f>
        <v xml:space="preserve">4170054284                    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Q1574">
        <v>18.03</v>
      </c>
      <c r="AR1574">
        <v>0</v>
      </c>
      <c r="AS1574">
        <v>0</v>
      </c>
      <c r="AT1574">
        <v>0</v>
      </c>
      <c r="AU1574">
        <v>0</v>
      </c>
      <c r="AV1574">
        <v>0</v>
      </c>
      <c r="AW1574">
        <v>0</v>
      </c>
      <c r="AX1574">
        <v>0</v>
      </c>
      <c r="AY1574">
        <v>0</v>
      </c>
      <c r="AZ1574">
        <v>0</v>
      </c>
      <c r="BA1574">
        <v>0</v>
      </c>
      <c r="BB1574">
        <v>0</v>
      </c>
      <c r="BC1574">
        <v>0</v>
      </c>
      <c r="BD1574">
        <v>0</v>
      </c>
      <c r="BE1574">
        <v>0</v>
      </c>
      <c r="BF1574">
        <v>0</v>
      </c>
      <c r="BG1574">
        <v>0</v>
      </c>
      <c r="BH1574">
        <v>1</v>
      </c>
      <c r="BI1574">
        <v>1</v>
      </c>
      <c r="BJ1574">
        <v>0.2</v>
      </c>
      <c r="BK1574">
        <v>1</v>
      </c>
      <c r="BL1574">
        <v>55.99</v>
      </c>
      <c r="BM1574">
        <v>8.4</v>
      </c>
      <c r="BN1574">
        <v>64.39</v>
      </c>
      <c r="BO1574">
        <v>64.39</v>
      </c>
      <c r="BQ1574" t="s">
        <v>495</v>
      </c>
      <c r="BR1574" t="s">
        <v>84</v>
      </c>
      <c r="BS1574" s="3">
        <v>45882</v>
      </c>
      <c r="BT1574" s="4">
        <v>0.41388888888888886</v>
      </c>
      <c r="BU1574" t="s">
        <v>1936</v>
      </c>
      <c r="BV1574" t="s">
        <v>86</v>
      </c>
      <c r="BY1574">
        <v>1200</v>
      </c>
      <c r="CA1574" t="s">
        <v>576</v>
      </c>
      <c r="CC1574" t="s">
        <v>242</v>
      </c>
      <c r="CD1574">
        <v>1459</v>
      </c>
      <c r="CE1574" t="s">
        <v>109</v>
      </c>
      <c r="CF1574" s="3">
        <v>45882</v>
      </c>
      <c r="CI1574">
        <v>1</v>
      </c>
      <c r="CJ1574">
        <v>1</v>
      </c>
      <c r="CK1574">
        <v>22</v>
      </c>
      <c r="CL1574" t="s">
        <v>90</v>
      </c>
    </row>
    <row r="1575" spans="1:90" x14ac:dyDescent="0.3">
      <c r="A1575" t="s">
        <v>72</v>
      </c>
      <c r="B1575" t="s">
        <v>73</v>
      </c>
      <c r="C1575" t="s">
        <v>74</v>
      </c>
      <c r="E1575" t="str">
        <f>"080067184596"</f>
        <v>080067184596</v>
      </c>
      <c r="F1575" s="3">
        <v>45881</v>
      </c>
      <c r="G1575">
        <v>202605</v>
      </c>
      <c r="H1575" t="s">
        <v>75</v>
      </c>
      <c r="I1575" t="s">
        <v>76</v>
      </c>
      <c r="J1575" t="s">
        <v>77</v>
      </c>
      <c r="K1575" t="s">
        <v>78</v>
      </c>
      <c r="L1575" t="s">
        <v>75</v>
      </c>
      <c r="M1575" t="s">
        <v>76</v>
      </c>
      <c r="N1575" t="s">
        <v>537</v>
      </c>
      <c r="O1575" t="s">
        <v>82</v>
      </c>
      <c r="P1575" t="str">
        <f>"4170054247                    "</f>
        <v xml:space="preserve">4170054247                    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0</v>
      </c>
      <c r="AO1575">
        <v>0</v>
      </c>
      <c r="AP1575">
        <v>0</v>
      </c>
      <c r="AQ1575">
        <v>18.03</v>
      </c>
      <c r="AR1575">
        <v>0</v>
      </c>
      <c r="AS1575">
        <v>0</v>
      </c>
      <c r="AT1575">
        <v>0</v>
      </c>
      <c r="AU1575">
        <v>0</v>
      </c>
      <c r="AV1575">
        <v>0</v>
      </c>
      <c r="AW1575">
        <v>0</v>
      </c>
      <c r="AX1575">
        <v>0</v>
      </c>
      <c r="AY1575">
        <v>0</v>
      </c>
      <c r="AZ1575">
        <v>0</v>
      </c>
      <c r="BA1575">
        <v>0</v>
      </c>
      <c r="BB1575">
        <v>0</v>
      </c>
      <c r="BC1575">
        <v>0</v>
      </c>
      <c r="BD1575">
        <v>0</v>
      </c>
      <c r="BE1575">
        <v>0</v>
      </c>
      <c r="BF1575">
        <v>0</v>
      </c>
      <c r="BG1575">
        <v>0</v>
      </c>
      <c r="BH1575">
        <v>1</v>
      </c>
      <c r="BI1575">
        <v>2</v>
      </c>
      <c r="BJ1575">
        <v>1.1000000000000001</v>
      </c>
      <c r="BK1575">
        <v>2</v>
      </c>
      <c r="BL1575">
        <v>55.99</v>
      </c>
      <c r="BM1575">
        <v>8.4</v>
      </c>
      <c r="BN1575">
        <v>64.39</v>
      </c>
      <c r="BO1575">
        <v>64.39</v>
      </c>
      <c r="BQ1575" t="s">
        <v>538</v>
      </c>
      <c r="BR1575" t="s">
        <v>84</v>
      </c>
      <c r="BS1575" s="3">
        <v>45882</v>
      </c>
      <c r="BT1575" s="4">
        <v>0.3888888888888889</v>
      </c>
      <c r="BU1575" t="s">
        <v>738</v>
      </c>
      <c r="BV1575" t="s">
        <v>86</v>
      </c>
      <c r="BY1575">
        <v>5320</v>
      </c>
      <c r="CA1575" t="s">
        <v>739</v>
      </c>
      <c r="CC1575" t="s">
        <v>76</v>
      </c>
      <c r="CD1575">
        <v>1619</v>
      </c>
      <c r="CE1575" t="s">
        <v>147</v>
      </c>
      <c r="CF1575" s="3">
        <v>45882</v>
      </c>
      <c r="CI1575">
        <v>1</v>
      </c>
      <c r="CJ1575">
        <v>1</v>
      </c>
      <c r="CK1575">
        <v>22</v>
      </c>
      <c r="CL1575" t="s">
        <v>90</v>
      </c>
    </row>
    <row r="1576" spans="1:90" x14ac:dyDescent="0.3">
      <c r="A1576" t="s">
        <v>72</v>
      </c>
      <c r="B1576" t="s">
        <v>73</v>
      </c>
      <c r="C1576" t="s">
        <v>74</v>
      </c>
      <c r="E1576" t="str">
        <f>"080067184599"</f>
        <v>080067184599</v>
      </c>
      <c r="F1576" s="3">
        <v>45881</v>
      </c>
      <c r="G1576">
        <v>202605</v>
      </c>
      <c r="H1576" t="s">
        <v>75</v>
      </c>
      <c r="I1576" t="s">
        <v>76</v>
      </c>
      <c r="J1576" t="s">
        <v>77</v>
      </c>
      <c r="K1576" t="s">
        <v>78</v>
      </c>
      <c r="L1576" t="s">
        <v>325</v>
      </c>
      <c r="M1576" t="s">
        <v>326</v>
      </c>
      <c r="N1576" t="s">
        <v>458</v>
      </c>
      <c r="O1576" t="s">
        <v>82</v>
      </c>
      <c r="P1576" t="str">
        <f>"4170054309                    "</f>
        <v xml:space="preserve">4170054309                    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0</v>
      </c>
      <c r="AO1576">
        <v>0</v>
      </c>
      <c r="AP1576">
        <v>0</v>
      </c>
      <c r="AQ1576">
        <v>18.03</v>
      </c>
      <c r="AR1576">
        <v>0</v>
      </c>
      <c r="AS1576">
        <v>0</v>
      </c>
      <c r="AT1576">
        <v>0</v>
      </c>
      <c r="AU1576">
        <v>0</v>
      </c>
      <c r="AV1576">
        <v>0</v>
      </c>
      <c r="AW1576">
        <v>0</v>
      </c>
      <c r="AX1576">
        <v>0</v>
      </c>
      <c r="AY1576">
        <v>0</v>
      </c>
      <c r="AZ1576">
        <v>0</v>
      </c>
      <c r="BA1576">
        <v>0</v>
      </c>
      <c r="BB1576">
        <v>0</v>
      </c>
      <c r="BC1576">
        <v>0</v>
      </c>
      <c r="BD1576">
        <v>0</v>
      </c>
      <c r="BE1576">
        <v>0</v>
      </c>
      <c r="BF1576">
        <v>0</v>
      </c>
      <c r="BG1576">
        <v>0</v>
      </c>
      <c r="BH1576">
        <v>1</v>
      </c>
      <c r="BI1576">
        <v>1</v>
      </c>
      <c r="BJ1576">
        <v>0.2</v>
      </c>
      <c r="BK1576">
        <v>1</v>
      </c>
      <c r="BL1576">
        <v>55.99</v>
      </c>
      <c r="BM1576">
        <v>8.4</v>
      </c>
      <c r="BN1576">
        <v>64.39</v>
      </c>
      <c r="BO1576">
        <v>64.39</v>
      </c>
      <c r="BQ1576" t="s">
        <v>459</v>
      </c>
      <c r="BR1576" t="s">
        <v>84</v>
      </c>
      <c r="BS1576" s="3">
        <v>45882</v>
      </c>
      <c r="BT1576" s="4">
        <v>0.4236111111111111</v>
      </c>
      <c r="BU1576" t="s">
        <v>2263</v>
      </c>
      <c r="BV1576" t="s">
        <v>86</v>
      </c>
      <c r="BY1576">
        <v>1200</v>
      </c>
      <c r="CC1576" t="s">
        <v>326</v>
      </c>
      <c r="CD1576">
        <v>2197</v>
      </c>
      <c r="CE1576" t="s">
        <v>109</v>
      </c>
      <c r="CF1576" s="3">
        <v>45882</v>
      </c>
      <c r="CI1576">
        <v>1</v>
      </c>
      <c r="CJ1576">
        <v>1</v>
      </c>
      <c r="CK1576">
        <v>22</v>
      </c>
      <c r="CL1576" t="s">
        <v>90</v>
      </c>
    </row>
    <row r="1577" spans="1:90" x14ac:dyDescent="0.3">
      <c r="A1577" t="s">
        <v>72</v>
      </c>
      <c r="B1577" t="s">
        <v>73</v>
      </c>
      <c r="C1577" t="s">
        <v>74</v>
      </c>
      <c r="E1577" t="str">
        <f>"080067184615"</f>
        <v>080067184615</v>
      </c>
      <c r="F1577" s="3">
        <v>45881</v>
      </c>
      <c r="G1577">
        <v>202605</v>
      </c>
      <c r="H1577" t="s">
        <v>75</v>
      </c>
      <c r="I1577" t="s">
        <v>76</v>
      </c>
      <c r="J1577" t="s">
        <v>77</v>
      </c>
      <c r="K1577" t="s">
        <v>78</v>
      </c>
      <c r="L1577" t="s">
        <v>123</v>
      </c>
      <c r="M1577" t="s">
        <v>124</v>
      </c>
      <c r="N1577" t="s">
        <v>125</v>
      </c>
      <c r="O1577" t="s">
        <v>82</v>
      </c>
      <c r="P1577" t="str">
        <f>"4170054321                    "</f>
        <v xml:space="preserve">4170054321                    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0</v>
      </c>
      <c r="AP1577">
        <v>0</v>
      </c>
      <c r="AQ1577">
        <v>23.09</v>
      </c>
      <c r="AR1577">
        <v>0</v>
      </c>
      <c r="AS1577">
        <v>0</v>
      </c>
      <c r="AT1577">
        <v>0</v>
      </c>
      <c r="AU1577">
        <v>0</v>
      </c>
      <c r="AV1577">
        <v>0</v>
      </c>
      <c r="AW1577">
        <v>0</v>
      </c>
      <c r="AX1577">
        <v>0</v>
      </c>
      <c r="AY1577">
        <v>0</v>
      </c>
      <c r="AZ1577">
        <v>0</v>
      </c>
      <c r="BA1577">
        <v>0</v>
      </c>
      <c r="BB1577">
        <v>0</v>
      </c>
      <c r="BC1577">
        <v>0</v>
      </c>
      <c r="BD1577">
        <v>0</v>
      </c>
      <c r="BE1577">
        <v>0</v>
      </c>
      <c r="BF1577">
        <v>0</v>
      </c>
      <c r="BG1577">
        <v>0</v>
      </c>
      <c r="BH1577">
        <v>1</v>
      </c>
      <c r="BI1577">
        <v>1</v>
      </c>
      <c r="BJ1577">
        <v>0.2</v>
      </c>
      <c r="BK1577">
        <v>1</v>
      </c>
      <c r="BL1577">
        <v>71.69</v>
      </c>
      <c r="BM1577">
        <v>10.75</v>
      </c>
      <c r="BN1577">
        <v>82.44</v>
      </c>
      <c r="BO1577">
        <v>82.44</v>
      </c>
      <c r="BQ1577" t="s">
        <v>126</v>
      </c>
      <c r="BR1577" t="s">
        <v>84</v>
      </c>
      <c r="BS1577" s="3">
        <v>45882</v>
      </c>
      <c r="BT1577" s="4">
        <v>0.32500000000000001</v>
      </c>
      <c r="BU1577" t="s">
        <v>2207</v>
      </c>
      <c r="BV1577" t="s">
        <v>86</v>
      </c>
      <c r="BY1577">
        <v>1200</v>
      </c>
      <c r="CA1577" t="s">
        <v>128</v>
      </c>
      <c r="CC1577" t="s">
        <v>124</v>
      </c>
      <c r="CD1577">
        <v>7530</v>
      </c>
      <c r="CE1577" t="s">
        <v>109</v>
      </c>
      <c r="CF1577" s="3">
        <v>45883</v>
      </c>
      <c r="CI1577">
        <v>1</v>
      </c>
      <c r="CJ1577">
        <v>1</v>
      </c>
      <c r="CK1577">
        <v>21</v>
      </c>
      <c r="CL1577" t="s">
        <v>90</v>
      </c>
    </row>
    <row r="1578" spans="1:90" x14ac:dyDescent="0.3">
      <c r="A1578" t="s">
        <v>72</v>
      </c>
      <c r="B1578" t="s">
        <v>73</v>
      </c>
      <c r="C1578" t="s">
        <v>74</v>
      </c>
      <c r="E1578" t="str">
        <f>"080067184629"</f>
        <v>080067184629</v>
      </c>
      <c r="F1578" s="3">
        <v>45881</v>
      </c>
      <c r="G1578">
        <v>202605</v>
      </c>
      <c r="H1578" t="s">
        <v>75</v>
      </c>
      <c r="I1578" t="s">
        <v>76</v>
      </c>
      <c r="J1578" t="s">
        <v>77</v>
      </c>
      <c r="K1578" t="s">
        <v>78</v>
      </c>
      <c r="L1578" t="s">
        <v>75</v>
      </c>
      <c r="M1578" t="s">
        <v>76</v>
      </c>
      <c r="N1578" t="s">
        <v>2264</v>
      </c>
      <c r="O1578" t="s">
        <v>82</v>
      </c>
      <c r="P1578" t="str">
        <f>"4170054292                    "</f>
        <v xml:space="preserve">4170054292                    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>
        <v>18.03</v>
      </c>
      <c r="AR1578">
        <v>0</v>
      </c>
      <c r="AS1578">
        <v>0</v>
      </c>
      <c r="AT1578">
        <v>0</v>
      </c>
      <c r="AU1578">
        <v>0</v>
      </c>
      <c r="AV1578">
        <v>0</v>
      </c>
      <c r="AW1578">
        <v>0</v>
      </c>
      <c r="AX1578">
        <v>0</v>
      </c>
      <c r="AY1578">
        <v>0</v>
      </c>
      <c r="AZ1578">
        <v>0</v>
      </c>
      <c r="BA1578">
        <v>0</v>
      </c>
      <c r="BB1578">
        <v>0</v>
      </c>
      <c r="BC1578">
        <v>0</v>
      </c>
      <c r="BD1578">
        <v>0</v>
      </c>
      <c r="BE1578">
        <v>0</v>
      </c>
      <c r="BF1578">
        <v>0</v>
      </c>
      <c r="BG1578">
        <v>0</v>
      </c>
      <c r="BH1578">
        <v>2</v>
      </c>
      <c r="BI1578">
        <v>7</v>
      </c>
      <c r="BJ1578">
        <v>6</v>
      </c>
      <c r="BK1578">
        <v>7</v>
      </c>
      <c r="BL1578">
        <v>55.99</v>
      </c>
      <c r="BM1578">
        <v>8.4</v>
      </c>
      <c r="BN1578">
        <v>64.39</v>
      </c>
      <c r="BO1578">
        <v>64.39</v>
      </c>
      <c r="BQ1578" t="s">
        <v>2265</v>
      </c>
      <c r="BR1578" t="s">
        <v>84</v>
      </c>
      <c r="BS1578" s="3">
        <v>45882</v>
      </c>
      <c r="BT1578" s="4">
        <v>0.38194444444444442</v>
      </c>
      <c r="BU1578" t="s">
        <v>2266</v>
      </c>
      <c r="BV1578" t="s">
        <v>86</v>
      </c>
      <c r="BY1578">
        <v>29896</v>
      </c>
      <c r="CA1578" t="s">
        <v>146</v>
      </c>
      <c r="CC1578" t="s">
        <v>76</v>
      </c>
      <c r="CD1578">
        <v>1609</v>
      </c>
      <c r="CE1578" t="s">
        <v>117</v>
      </c>
      <c r="CF1578" s="3">
        <v>45882</v>
      </c>
      <c r="CI1578">
        <v>1</v>
      </c>
      <c r="CJ1578">
        <v>1</v>
      </c>
      <c r="CK1578">
        <v>22</v>
      </c>
      <c r="CL1578" t="s">
        <v>90</v>
      </c>
    </row>
    <row r="1579" spans="1:90" x14ac:dyDescent="0.3">
      <c r="A1579" t="s">
        <v>72</v>
      </c>
      <c r="B1579" t="s">
        <v>73</v>
      </c>
      <c r="C1579" t="s">
        <v>74</v>
      </c>
      <c r="E1579" t="str">
        <f>"080067184638"</f>
        <v>080067184638</v>
      </c>
      <c r="F1579" s="3">
        <v>45881</v>
      </c>
      <c r="G1579">
        <v>202605</v>
      </c>
      <c r="H1579" t="s">
        <v>75</v>
      </c>
      <c r="I1579" t="s">
        <v>76</v>
      </c>
      <c r="J1579" t="s">
        <v>77</v>
      </c>
      <c r="K1579" t="s">
        <v>78</v>
      </c>
      <c r="L1579" t="s">
        <v>241</v>
      </c>
      <c r="M1579" t="s">
        <v>242</v>
      </c>
      <c r="N1579" t="s">
        <v>1251</v>
      </c>
      <c r="O1579" t="s">
        <v>82</v>
      </c>
      <c r="P1579" t="str">
        <f>"4170054291                    "</f>
        <v xml:space="preserve">4170054291                    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Q1579">
        <v>18.03</v>
      </c>
      <c r="AR1579">
        <v>0</v>
      </c>
      <c r="AS1579">
        <v>0</v>
      </c>
      <c r="AT1579">
        <v>0</v>
      </c>
      <c r="AU1579">
        <v>0</v>
      </c>
      <c r="AV1579">
        <v>0</v>
      </c>
      <c r="AW1579">
        <v>0</v>
      </c>
      <c r="AX1579">
        <v>0</v>
      </c>
      <c r="AY1579">
        <v>0</v>
      </c>
      <c r="AZ1579">
        <v>0</v>
      </c>
      <c r="BA1579">
        <v>0</v>
      </c>
      <c r="BB1579">
        <v>0</v>
      </c>
      <c r="BC1579">
        <v>0</v>
      </c>
      <c r="BD1579">
        <v>0</v>
      </c>
      <c r="BE1579">
        <v>0</v>
      </c>
      <c r="BF1579">
        <v>0</v>
      </c>
      <c r="BG1579">
        <v>0</v>
      </c>
      <c r="BH1579">
        <v>1</v>
      </c>
      <c r="BI1579">
        <v>1</v>
      </c>
      <c r="BJ1579">
        <v>0.2</v>
      </c>
      <c r="BK1579">
        <v>1</v>
      </c>
      <c r="BL1579">
        <v>55.99</v>
      </c>
      <c r="BM1579">
        <v>8.4</v>
      </c>
      <c r="BN1579">
        <v>64.39</v>
      </c>
      <c r="BO1579">
        <v>64.39</v>
      </c>
      <c r="BQ1579" t="s">
        <v>1252</v>
      </c>
      <c r="BR1579" t="s">
        <v>84</v>
      </c>
      <c r="BS1579" s="3">
        <v>45882</v>
      </c>
      <c r="BT1579" s="4">
        <v>0.30416666666666664</v>
      </c>
      <c r="BU1579" t="s">
        <v>2017</v>
      </c>
      <c r="BV1579" t="s">
        <v>86</v>
      </c>
      <c r="BY1579">
        <v>1200</v>
      </c>
      <c r="CA1579" t="s">
        <v>720</v>
      </c>
      <c r="CC1579" t="s">
        <v>242</v>
      </c>
      <c r="CD1579">
        <v>1459</v>
      </c>
      <c r="CE1579" t="s">
        <v>109</v>
      </c>
      <c r="CF1579" s="3">
        <v>45882</v>
      </c>
      <c r="CI1579">
        <v>1</v>
      </c>
      <c r="CJ1579">
        <v>1</v>
      </c>
      <c r="CK1579">
        <v>22</v>
      </c>
      <c r="CL1579" t="s">
        <v>90</v>
      </c>
    </row>
    <row r="1580" spans="1:90" x14ac:dyDescent="0.3">
      <c r="A1580" t="s">
        <v>72</v>
      </c>
      <c r="B1580" t="s">
        <v>73</v>
      </c>
      <c r="C1580" t="s">
        <v>74</v>
      </c>
      <c r="E1580" t="str">
        <f>"080067184676"</f>
        <v>080067184676</v>
      </c>
      <c r="F1580" s="3">
        <v>45881</v>
      </c>
      <c r="G1580">
        <v>202605</v>
      </c>
      <c r="H1580" t="s">
        <v>75</v>
      </c>
      <c r="I1580" t="s">
        <v>76</v>
      </c>
      <c r="J1580" t="s">
        <v>77</v>
      </c>
      <c r="K1580" t="s">
        <v>78</v>
      </c>
      <c r="L1580" t="s">
        <v>217</v>
      </c>
      <c r="M1580" t="s">
        <v>218</v>
      </c>
      <c r="N1580" t="s">
        <v>2267</v>
      </c>
      <c r="O1580" t="s">
        <v>82</v>
      </c>
      <c r="P1580" t="str">
        <f>"4170054238                    "</f>
        <v xml:space="preserve">4170054238                    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Q1580">
        <v>34.619999999999997</v>
      </c>
      <c r="AR1580">
        <v>0</v>
      </c>
      <c r="AS1580">
        <v>0</v>
      </c>
      <c r="AT1580">
        <v>0</v>
      </c>
      <c r="AU1580">
        <v>0</v>
      </c>
      <c r="AV1580">
        <v>0</v>
      </c>
      <c r="AW1580">
        <v>0</v>
      </c>
      <c r="AX1580">
        <v>0</v>
      </c>
      <c r="AY1580">
        <v>0</v>
      </c>
      <c r="AZ1580">
        <v>0</v>
      </c>
      <c r="BA1580">
        <v>0</v>
      </c>
      <c r="BB1580">
        <v>0</v>
      </c>
      <c r="BC1580">
        <v>0</v>
      </c>
      <c r="BD1580">
        <v>0</v>
      </c>
      <c r="BE1580">
        <v>0</v>
      </c>
      <c r="BF1580">
        <v>0</v>
      </c>
      <c r="BG1580">
        <v>0</v>
      </c>
      <c r="BH1580">
        <v>1</v>
      </c>
      <c r="BI1580">
        <v>3</v>
      </c>
      <c r="BJ1580">
        <v>1.5</v>
      </c>
      <c r="BK1580">
        <v>3</v>
      </c>
      <c r="BL1580">
        <v>107.5</v>
      </c>
      <c r="BM1580">
        <v>16.13</v>
      </c>
      <c r="BN1580">
        <v>123.63</v>
      </c>
      <c r="BO1580">
        <v>123.63</v>
      </c>
      <c r="BQ1580" t="s">
        <v>2268</v>
      </c>
      <c r="BR1580" t="s">
        <v>84</v>
      </c>
      <c r="BS1580" s="3">
        <v>45882</v>
      </c>
      <c r="BT1580" s="4">
        <v>0.36736111111111114</v>
      </c>
      <c r="BU1580" t="s">
        <v>1548</v>
      </c>
      <c r="BV1580" t="s">
        <v>86</v>
      </c>
      <c r="BY1580">
        <v>7540</v>
      </c>
      <c r="CA1580" t="s">
        <v>2229</v>
      </c>
      <c r="CC1580" t="s">
        <v>218</v>
      </c>
      <c r="CD1580">
        <v>4052</v>
      </c>
      <c r="CE1580" t="s">
        <v>147</v>
      </c>
      <c r="CF1580" s="3">
        <v>45882</v>
      </c>
      <c r="CI1580">
        <v>1</v>
      </c>
      <c r="CJ1580">
        <v>1</v>
      </c>
      <c r="CK1580">
        <v>21</v>
      </c>
      <c r="CL1580" t="s">
        <v>90</v>
      </c>
    </row>
    <row r="1581" spans="1:90" x14ac:dyDescent="0.3">
      <c r="A1581" t="s">
        <v>72</v>
      </c>
      <c r="B1581" t="s">
        <v>73</v>
      </c>
      <c r="C1581" t="s">
        <v>74</v>
      </c>
      <c r="E1581" t="str">
        <f>"080067184685"</f>
        <v>080067184685</v>
      </c>
      <c r="F1581" s="3">
        <v>45881</v>
      </c>
      <c r="G1581">
        <v>202605</v>
      </c>
      <c r="H1581" t="s">
        <v>75</v>
      </c>
      <c r="I1581" t="s">
        <v>76</v>
      </c>
      <c r="J1581" t="s">
        <v>77</v>
      </c>
      <c r="K1581" t="s">
        <v>78</v>
      </c>
      <c r="L1581" t="s">
        <v>75</v>
      </c>
      <c r="M1581" t="s">
        <v>76</v>
      </c>
      <c r="N1581" t="s">
        <v>2269</v>
      </c>
      <c r="O1581" t="s">
        <v>82</v>
      </c>
      <c r="P1581" t="str">
        <f>"4170054285                    "</f>
        <v xml:space="preserve">4170054285                    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Q1581">
        <v>18.03</v>
      </c>
      <c r="AR1581">
        <v>0</v>
      </c>
      <c r="AS1581">
        <v>0</v>
      </c>
      <c r="AT1581">
        <v>0</v>
      </c>
      <c r="AU1581">
        <v>0</v>
      </c>
      <c r="AV1581">
        <v>0</v>
      </c>
      <c r="AW1581">
        <v>0</v>
      </c>
      <c r="AX1581">
        <v>0</v>
      </c>
      <c r="AY1581">
        <v>0</v>
      </c>
      <c r="AZ1581">
        <v>0</v>
      </c>
      <c r="BA1581">
        <v>0</v>
      </c>
      <c r="BB1581">
        <v>0</v>
      </c>
      <c r="BC1581">
        <v>0</v>
      </c>
      <c r="BD1581">
        <v>0</v>
      </c>
      <c r="BE1581">
        <v>0</v>
      </c>
      <c r="BF1581">
        <v>0</v>
      </c>
      <c r="BG1581">
        <v>0</v>
      </c>
      <c r="BH1581">
        <v>1</v>
      </c>
      <c r="BI1581">
        <v>1</v>
      </c>
      <c r="BJ1581">
        <v>0.2</v>
      </c>
      <c r="BK1581">
        <v>1</v>
      </c>
      <c r="BL1581">
        <v>55.99</v>
      </c>
      <c r="BM1581">
        <v>8.4</v>
      </c>
      <c r="BN1581">
        <v>64.39</v>
      </c>
      <c r="BO1581">
        <v>64.39</v>
      </c>
      <c r="BQ1581" t="s">
        <v>2270</v>
      </c>
      <c r="BR1581" t="s">
        <v>84</v>
      </c>
      <c r="BS1581" s="3">
        <v>45882</v>
      </c>
      <c r="BT1581" s="4">
        <v>0.39027777777777778</v>
      </c>
      <c r="BU1581" t="s">
        <v>2271</v>
      </c>
      <c r="BV1581" t="s">
        <v>86</v>
      </c>
      <c r="BY1581">
        <v>1200</v>
      </c>
      <c r="CC1581" t="s">
        <v>76</v>
      </c>
      <c r="CD1581">
        <v>1685</v>
      </c>
      <c r="CE1581" t="s">
        <v>109</v>
      </c>
      <c r="CF1581" s="3">
        <v>45883</v>
      </c>
      <c r="CI1581">
        <v>1</v>
      </c>
      <c r="CJ1581">
        <v>1</v>
      </c>
      <c r="CK1581">
        <v>22</v>
      </c>
      <c r="CL1581" t="s">
        <v>90</v>
      </c>
    </row>
    <row r="1582" spans="1:90" x14ac:dyDescent="0.3">
      <c r="A1582" t="s">
        <v>72</v>
      </c>
      <c r="B1582" t="s">
        <v>73</v>
      </c>
      <c r="C1582" t="s">
        <v>74</v>
      </c>
      <c r="E1582" t="str">
        <f>"080067184723"</f>
        <v>080067184723</v>
      </c>
      <c r="F1582" s="3">
        <v>45881</v>
      </c>
      <c r="G1582">
        <v>202605</v>
      </c>
      <c r="H1582" t="s">
        <v>75</v>
      </c>
      <c r="I1582" t="s">
        <v>76</v>
      </c>
      <c r="J1582" t="s">
        <v>77</v>
      </c>
      <c r="K1582" t="s">
        <v>78</v>
      </c>
      <c r="L1582" t="s">
        <v>278</v>
      </c>
      <c r="M1582" t="s">
        <v>279</v>
      </c>
      <c r="N1582" t="s">
        <v>280</v>
      </c>
      <c r="O1582" t="s">
        <v>95</v>
      </c>
      <c r="P1582" t="str">
        <f>"4170054234                    "</f>
        <v xml:space="preserve">4170054234                    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0</v>
      </c>
      <c r="AP1582">
        <v>0</v>
      </c>
      <c r="AQ1582">
        <v>44.64</v>
      </c>
      <c r="AR1582">
        <v>0</v>
      </c>
      <c r="AS1582">
        <v>0</v>
      </c>
      <c r="AT1582">
        <v>0</v>
      </c>
      <c r="AU1582">
        <v>0</v>
      </c>
      <c r="AV1582">
        <v>0</v>
      </c>
      <c r="AW1582">
        <v>0</v>
      </c>
      <c r="AX1582">
        <v>0</v>
      </c>
      <c r="AY1582">
        <v>0</v>
      </c>
      <c r="AZ1582">
        <v>0</v>
      </c>
      <c r="BA1582">
        <v>0</v>
      </c>
      <c r="BB1582">
        <v>0</v>
      </c>
      <c r="BC1582">
        <v>0</v>
      </c>
      <c r="BD1582">
        <v>0</v>
      </c>
      <c r="BE1582">
        <v>0</v>
      </c>
      <c r="BF1582">
        <v>0</v>
      </c>
      <c r="BG1582">
        <v>0</v>
      </c>
      <c r="BH1582">
        <v>1</v>
      </c>
      <c r="BI1582">
        <v>5</v>
      </c>
      <c r="BJ1582">
        <v>2</v>
      </c>
      <c r="BK1582">
        <v>5</v>
      </c>
      <c r="BL1582">
        <v>144.49</v>
      </c>
      <c r="BM1582">
        <v>21.67</v>
      </c>
      <c r="BN1582">
        <v>166.16</v>
      </c>
      <c r="BO1582">
        <v>166.16</v>
      </c>
      <c r="BQ1582" t="s">
        <v>281</v>
      </c>
      <c r="BR1582" t="s">
        <v>84</v>
      </c>
      <c r="BS1582" s="3">
        <v>45883</v>
      </c>
      <c r="BT1582" s="4">
        <v>0.64027777777777772</v>
      </c>
      <c r="BU1582" t="s">
        <v>282</v>
      </c>
      <c r="BV1582" t="s">
        <v>90</v>
      </c>
      <c r="BW1582" t="s">
        <v>380</v>
      </c>
      <c r="BX1582" t="s">
        <v>1043</v>
      </c>
      <c r="BY1582">
        <v>9918</v>
      </c>
      <c r="CA1582" t="s">
        <v>283</v>
      </c>
      <c r="CC1582" t="s">
        <v>279</v>
      </c>
      <c r="CD1582" s="5" t="s">
        <v>284</v>
      </c>
      <c r="CE1582" t="s">
        <v>147</v>
      </c>
      <c r="CF1582" s="3">
        <v>45883</v>
      </c>
      <c r="CI1582">
        <v>1</v>
      </c>
      <c r="CJ1582">
        <v>2</v>
      </c>
      <c r="CK1582">
        <v>41</v>
      </c>
      <c r="CL1582" t="s">
        <v>90</v>
      </c>
    </row>
    <row r="1583" spans="1:90" x14ac:dyDescent="0.3">
      <c r="A1583" t="s">
        <v>72</v>
      </c>
      <c r="B1583" t="s">
        <v>73</v>
      </c>
      <c r="C1583" t="s">
        <v>74</v>
      </c>
      <c r="E1583" t="str">
        <f>"080067184733"</f>
        <v>080067184733</v>
      </c>
      <c r="F1583" s="3">
        <v>45881</v>
      </c>
      <c r="G1583">
        <v>202605</v>
      </c>
      <c r="H1583" t="s">
        <v>75</v>
      </c>
      <c r="I1583" t="s">
        <v>76</v>
      </c>
      <c r="J1583" t="s">
        <v>77</v>
      </c>
      <c r="K1583" t="s">
        <v>78</v>
      </c>
      <c r="L1583" t="s">
        <v>1254</v>
      </c>
      <c r="M1583" t="s">
        <v>1255</v>
      </c>
      <c r="N1583" t="s">
        <v>1256</v>
      </c>
      <c r="O1583" t="s">
        <v>82</v>
      </c>
      <c r="P1583" t="str">
        <f>"4170054236                    "</f>
        <v xml:space="preserve">4170054236                    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0</v>
      </c>
      <c r="AO1583">
        <v>0</v>
      </c>
      <c r="AP1583">
        <v>0</v>
      </c>
      <c r="AQ1583">
        <v>44.73</v>
      </c>
      <c r="AR1583">
        <v>0</v>
      </c>
      <c r="AS1583">
        <v>0</v>
      </c>
      <c r="AT1583">
        <v>0</v>
      </c>
      <c r="AU1583">
        <v>0</v>
      </c>
      <c r="AV1583">
        <v>0</v>
      </c>
      <c r="AW1583">
        <v>0</v>
      </c>
      <c r="AX1583">
        <v>0</v>
      </c>
      <c r="AY1583">
        <v>0</v>
      </c>
      <c r="AZ1583">
        <v>0</v>
      </c>
      <c r="BA1583">
        <v>0</v>
      </c>
      <c r="BB1583">
        <v>0</v>
      </c>
      <c r="BC1583">
        <v>0</v>
      </c>
      <c r="BD1583">
        <v>0</v>
      </c>
      <c r="BE1583">
        <v>0</v>
      </c>
      <c r="BF1583">
        <v>0</v>
      </c>
      <c r="BG1583">
        <v>0</v>
      </c>
      <c r="BH1583">
        <v>1</v>
      </c>
      <c r="BI1583">
        <v>1</v>
      </c>
      <c r="BJ1583">
        <v>0.2</v>
      </c>
      <c r="BK1583">
        <v>1</v>
      </c>
      <c r="BL1583">
        <v>138.88999999999999</v>
      </c>
      <c r="BM1583">
        <v>20.83</v>
      </c>
      <c r="BN1583">
        <v>159.72</v>
      </c>
      <c r="BO1583">
        <v>159.72</v>
      </c>
      <c r="BQ1583" t="s">
        <v>1257</v>
      </c>
      <c r="BR1583" t="s">
        <v>84</v>
      </c>
      <c r="BS1583" s="3">
        <v>45882</v>
      </c>
      <c r="BT1583" s="4">
        <v>0.41666666666666669</v>
      </c>
      <c r="BU1583" t="s">
        <v>2272</v>
      </c>
      <c r="BV1583" t="s">
        <v>86</v>
      </c>
      <c r="BY1583">
        <v>1200</v>
      </c>
      <c r="CA1583" t="s">
        <v>1259</v>
      </c>
      <c r="CC1583" t="s">
        <v>1255</v>
      </c>
      <c r="CD1583">
        <v>3290</v>
      </c>
      <c r="CE1583" t="s">
        <v>2273</v>
      </c>
      <c r="CF1583" s="3">
        <v>45883</v>
      </c>
      <c r="CI1583">
        <v>1</v>
      </c>
      <c r="CJ1583">
        <v>1</v>
      </c>
      <c r="CK1583">
        <v>23</v>
      </c>
      <c r="CL1583" t="s">
        <v>90</v>
      </c>
    </row>
    <row r="1584" spans="1:90" x14ac:dyDescent="0.3">
      <c r="A1584" t="s">
        <v>72</v>
      </c>
      <c r="B1584" t="s">
        <v>73</v>
      </c>
      <c r="C1584" t="s">
        <v>74</v>
      </c>
      <c r="E1584" t="str">
        <f>"080067184759"</f>
        <v>080067184759</v>
      </c>
      <c r="F1584" s="3">
        <v>45881</v>
      </c>
      <c r="G1584">
        <v>202605</v>
      </c>
      <c r="H1584" t="s">
        <v>75</v>
      </c>
      <c r="I1584" t="s">
        <v>76</v>
      </c>
      <c r="J1584" t="s">
        <v>77</v>
      </c>
      <c r="K1584" t="s">
        <v>78</v>
      </c>
      <c r="L1584" t="s">
        <v>335</v>
      </c>
      <c r="M1584" t="s">
        <v>336</v>
      </c>
      <c r="N1584" t="s">
        <v>727</v>
      </c>
      <c r="O1584" t="s">
        <v>82</v>
      </c>
      <c r="P1584" t="str">
        <f>"4170054269                    "</f>
        <v xml:space="preserve">4170054269                    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0</v>
      </c>
      <c r="AO1584">
        <v>0</v>
      </c>
      <c r="AP1584">
        <v>0</v>
      </c>
      <c r="AQ1584">
        <v>44.73</v>
      </c>
      <c r="AR1584">
        <v>0</v>
      </c>
      <c r="AS1584">
        <v>0</v>
      </c>
      <c r="AT1584">
        <v>0</v>
      </c>
      <c r="AU1584">
        <v>0</v>
      </c>
      <c r="AV1584">
        <v>0</v>
      </c>
      <c r="AW1584">
        <v>0</v>
      </c>
      <c r="AX1584">
        <v>0</v>
      </c>
      <c r="AY1584">
        <v>0</v>
      </c>
      <c r="AZ1584">
        <v>0</v>
      </c>
      <c r="BA1584">
        <v>0</v>
      </c>
      <c r="BB1584">
        <v>0</v>
      </c>
      <c r="BC1584">
        <v>0</v>
      </c>
      <c r="BD1584">
        <v>0</v>
      </c>
      <c r="BE1584">
        <v>0</v>
      </c>
      <c r="BF1584">
        <v>0</v>
      </c>
      <c r="BG1584">
        <v>0</v>
      </c>
      <c r="BH1584">
        <v>1</v>
      </c>
      <c r="BI1584">
        <v>2</v>
      </c>
      <c r="BJ1584">
        <v>1.1000000000000001</v>
      </c>
      <c r="BK1584">
        <v>2</v>
      </c>
      <c r="BL1584">
        <v>138.88999999999999</v>
      </c>
      <c r="BM1584">
        <v>20.83</v>
      </c>
      <c r="BN1584">
        <v>159.72</v>
      </c>
      <c r="BO1584">
        <v>159.72</v>
      </c>
      <c r="BQ1584" t="s">
        <v>728</v>
      </c>
      <c r="BR1584" t="s">
        <v>84</v>
      </c>
      <c r="BS1584" s="3">
        <v>45882</v>
      </c>
      <c r="BT1584" s="4">
        <v>0.41944444444444445</v>
      </c>
      <c r="BU1584" t="s">
        <v>1587</v>
      </c>
      <c r="BV1584" t="s">
        <v>86</v>
      </c>
      <c r="BY1584">
        <v>5320</v>
      </c>
      <c r="CA1584" t="s">
        <v>730</v>
      </c>
      <c r="CC1584" t="s">
        <v>336</v>
      </c>
      <c r="CD1584" s="5" t="s">
        <v>341</v>
      </c>
      <c r="CE1584" t="s">
        <v>147</v>
      </c>
      <c r="CF1584" s="3">
        <v>45883</v>
      </c>
      <c r="CI1584">
        <v>1</v>
      </c>
      <c r="CJ1584">
        <v>1</v>
      </c>
      <c r="CK1584">
        <v>23</v>
      </c>
      <c r="CL1584" t="s">
        <v>90</v>
      </c>
    </row>
    <row r="1585" spans="1:90" x14ac:dyDescent="0.3">
      <c r="A1585" t="s">
        <v>72</v>
      </c>
      <c r="B1585" t="s">
        <v>73</v>
      </c>
      <c r="C1585" t="s">
        <v>74</v>
      </c>
      <c r="E1585" t="str">
        <f>"080067184758"</f>
        <v>080067184758</v>
      </c>
      <c r="F1585" s="3">
        <v>45881</v>
      </c>
      <c r="G1585">
        <v>202605</v>
      </c>
      <c r="H1585" t="s">
        <v>75</v>
      </c>
      <c r="I1585" t="s">
        <v>76</v>
      </c>
      <c r="J1585" t="s">
        <v>77</v>
      </c>
      <c r="K1585" t="s">
        <v>78</v>
      </c>
      <c r="L1585" t="s">
        <v>217</v>
      </c>
      <c r="M1585" t="s">
        <v>218</v>
      </c>
      <c r="N1585" t="s">
        <v>2267</v>
      </c>
      <c r="O1585" t="s">
        <v>82</v>
      </c>
      <c r="P1585" t="str">
        <f>"4170054239                    "</f>
        <v xml:space="preserve">4170054239                    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0</v>
      </c>
      <c r="AP1585">
        <v>0</v>
      </c>
      <c r="AQ1585">
        <v>23.09</v>
      </c>
      <c r="AR1585">
        <v>0</v>
      </c>
      <c r="AS1585">
        <v>0</v>
      </c>
      <c r="AT1585">
        <v>0</v>
      </c>
      <c r="AU1585">
        <v>0</v>
      </c>
      <c r="AV1585">
        <v>0</v>
      </c>
      <c r="AW1585">
        <v>0</v>
      </c>
      <c r="AX1585">
        <v>0</v>
      </c>
      <c r="AY1585">
        <v>0</v>
      </c>
      <c r="AZ1585">
        <v>0</v>
      </c>
      <c r="BA1585">
        <v>0</v>
      </c>
      <c r="BB1585">
        <v>0</v>
      </c>
      <c r="BC1585">
        <v>0</v>
      </c>
      <c r="BD1585">
        <v>0</v>
      </c>
      <c r="BE1585">
        <v>0</v>
      </c>
      <c r="BF1585">
        <v>0</v>
      </c>
      <c r="BG1585">
        <v>0</v>
      </c>
      <c r="BH1585">
        <v>1</v>
      </c>
      <c r="BI1585">
        <v>1</v>
      </c>
      <c r="BJ1585">
        <v>0.2</v>
      </c>
      <c r="BK1585">
        <v>1</v>
      </c>
      <c r="BL1585">
        <v>71.69</v>
      </c>
      <c r="BM1585">
        <v>10.75</v>
      </c>
      <c r="BN1585">
        <v>82.44</v>
      </c>
      <c r="BO1585">
        <v>82.44</v>
      </c>
      <c r="BQ1585" t="s">
        <v>2268</v>
      </c>
      <c r="BR1585" t="s">
        <v>84</v>
      </c>
      <c r="BS1585" s="3">
        <v>45882</v>
      </c>
      <c r="BT1585" s="4">
        <v>0.36736111111111114</v>
      </c>
      <c r="BU1585" t="s">
        <v>1548</v>
      </c>
      <c r="BV1585" t="s">
        <v>86</v>
      </c>
      <c r="BY1585">
        <v>1200</v>
      </c>
      <c r="CA1585" t="s">
        <v>2229</v>
      </c>
      <c r="CC1585" t="s">
        <v>218</v>
      </c>
      <c r="CD1585">
        <v>4052</v>
      </c>
      <c r="CE1585" t="s">
        <v>109</v>
      </c>
      <c r="CF1585" s="3">
        <v>45882</v>
      </c>
      <c r="CI1585">
        <v>1</v>
      </c>
      <c r="CJ1585">
        <v>1</v>
      </c>
      <c r="CK1585">
        <v>21</v>
      </c>
      <c r="CL1585" t="s">
        <v>90</v>
      </c>
    </row>
    <row r="1586" spans="1:90" x14ac:dyDescent="0.3">
      <c r="A1586" t="s">
        <v>72</v>
      </c>
      <c r="B1586" t="s">
        <v>73</v>
      </c>
      <c r="C1586" t="s">
        <v>74</v>
      </c>
      <c r="E1586" t="str">
        <f>"080067184792"</f>
        <v>080067184792</v>
      </c>
      <c r="F1586" s="3">
        <v>45881</v>
      </c>
      <c r="G1586">
        <v>202605</v>
      </c>
      <c r="H1586" t="s">
        <v>75</v>
      </c>
      <c r="I1586" t="s">
        <v>76</v>
      </c>
      <c r="J1586" t="s">
        <v>77</v>
      </c>
      <c r="K1586" t="s">
        <v>78</v>
      </c>
      <c r="L1586" t="s">
        <v>123</v>
      </c>
      <c r="M1586" t="s">
        <v>124</v>
      </c>
      <c r="N1586" t="s">
        <v>2274</v>
      </c>
      <c r="O1586" t="s">
        <v>82</v>
      </c>
      <c r="P1586" t="str">
        <f>"4170054222                    "</f>
        <v xml:space="preserve">4170054222                    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0</v>
      </c>
      <c r="AO1586">
        <v>0</v>
      </c>
      <c r="AP1586">
        <v>0</v>
      </c>
      <c r="AQ1586">
        <v>23.09</v>
      </c>
      <c r="AR1586">
        <v>0</v>
      </c>
      <c r="AS1586">
        <v>0</v>
      </c>
      <c r="AT1586">
        <v>0</v>
      </c>
      <c r="AU1586">
        <v>0</v>
      </c>
      <c r="AV1586">
        <v>0</v>
      </c>
      <c r="AW1586">
        <v>0</v>
      </c>
      <c r="AX1586">
        <v>0</v>
      </c>
      <c r="AY1586">
        <v>0</v>
      </c>
      <c r="AZ1586">
        <v>0</v>
      </c>
      <c r="BA1586">
        <v>0</v>
      </c>
      <c r="BB1586">
        <v>0</v>
      </c>
      <c r="BC1586">
        <v>0</v>
      </c>
      <c r="BD1586">
        <v>0</v>
      </c>
      <c r="BE1586">
        <v>0</v>
      </c>
      <c r="BF1586">
        <v>0</v>
      </c>
      <c r="BG1586">
        <v>0</v>
      </c>
      <c r="BH1586">
        <v>1</v>
      </c>
      <c r="BI1586">
        <v>1</v>
      </c>
      <c r="BJ1586">
        <v>0.2</v>
      </c>
      <c r="BK1586">
        <v>1</v>
      </c>
      <c r="BL1586">
        <v>71.69</v>
      </c>
      <c r="BM1586">
        <v>10.75</v>
      </c>
      <c r="BN1586">
        <v>82.44</v>
      </c>
      <c r="BO1586">
        <v>82.44</v>
      </c>
      <c r="BQ1586" t="s">
        <v>2275</v>
      </c>
      <c r="BR1586" t="s">
        <v>84</v>
      </c>
      <c r="BS1586" s="3">
        <v>45883</v>
      </c>
      <c r="BT1586" s="4">
        <v>0.41944444444444445</v>
      </c>
      <c r="BU1586" t="s">
        <v>2276</v>
      </c>
      <c r="BV1586" t="s">
        <v>90</v>
      </c>
      <c r="BW1586" t="s">
        <v>2277</v>
      </c>
      <c r="BX1586" t="s">
        <v>843</v>
      </c>
      <c r="BY1586">
        <v>1200</v>
      </c>
      <c r="CA1586" t="s">
        <v>171</v>
      </c>
      <c r="CC1586" t="s">
        <v>124</v>
      </c>
      <c r="CD1586">
        <v>7530</v>
      </c>
      <c r="CE1586" t="s">
        <v>109</v>
      </c>
      <c r="CF1586" s="3">
        <v>45884</v>
      </c>
      <c r="CI1586">
        <v>1</v>
      </c>
      <c r="CJ1586">
        <v>2</v>
      </c>
      <c r="CK1586">
        <v>21</v>
      </c>
      <c r="CL1586" t="s">
        <v>90</v>
      </c>
    </row>
    <row r="1587" spans="1:90" x14ac:dyDescent="0.3">
      <c r="A1587" t="s">
        <v>72</v>
      </c>
      <c r="B1587" t="s">
        <v>73</v>
      </c>
      <c r="C1587" t="s">
        <v>74</v>
      </c>
      <c r="E1587" t="str">
        <f>"080067184794"</f>
        <v>080067184794</v>
      </c>
      <c r="F1587" s="3">
        <v>45881</v>
      </c>
      <c r="G1587">
        <v>202605</v>
      </c>
      <c r="H1587" t="s">
        <v>75</v>
      </c>
      <c r="I1587" t="s">
        <v>76</v>
      </c>
      <c r="J1587" t="s">
        <v>77</v>
      </c>
      <c r="K1587" t="s">
        <v>78</v>
      </c>
      <c r="L1587" t="s">
        <v>75</v>
      </c>
      <c r="M1587" t="s">
        <v>76</v>
      </c>
      <c r="N1587" t="s">
        <v>1789</v>
      </c>
      <c r="O1587" t="s">
        <v>82</v>
      </c>
      <c r="P1587" t="str">
        <f>"4170054281                    "</f>
        <v xml:space="preserve">4170054281                    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0</v>
      </c>
      <c r="AO1587">
        <v>0</v>
      </c>
      <c r="AP1587">
        <v>0</v>
      </c>
      <c r="AQ1587">
        <v>20.190000000000001</v>
      </c>
      <c r="AR1587">
        <v>0</v>
      </c>
      <c r="AS1587">
        <v>0</v>
      </c>
      <c r="AT1587">
        <v>0</v>
      </c>
      <c r="AU1587">
        <v>0</v>
      </c>
      <c r="AV1587">
        <v>0</v>
      </c>
      <c r="AW1587">
        <v>0</v>
      </c>
      <c r="AX1587">
        <v>0</v>
      </c>
      <c r="AY1587">
        <v>0</v>
      </c>
      <c r="AZ1587">
        <v>0</v>
      </c>
      <c r="BA1587">
        <v>0</v>
      </c>
      <c r="BB1587">
        <v>0</v>
      </c>
      <c r="BC1587">
        <v>0</v>
      </c>
      <c r="BD1587">
        <v>0</v>
      </c>
      <c r="BE1587">
        <v>0</v>
      </c>
      <c r="BF1587">
        <v>0</v>
      </c>
      <c r="BG1587">
        <v>0</v>
      </c>
      <c r="BH1587">
        <v>1</v>
      </c>
      <c r="BI1587">
        <v>6</v>
      </c>
      <c r="BJ1587">
        <v>8.8000000000000007</v>
      </c>
      <c r="BK1587">
        <v>9</v>
      </c>
      <c r="BL1587">
        <v>62.7</v>
      </c>
      <c r="BM1587">
        <v>9.41</v>
      </c>
      <c r="BN1587">
        <v>72.11</v>
      </c>
      <c r="BO1587">
        <v>72.11</v>
      </c>
      <c r="BQ1587" t="s">
        <v>1790</v>
      </c>
      <c r="BR1587" t="s">
        <v>84</v>
      </c>
      <c r="BS1587" s="3">
        <v>45882</v>
      </c>
      <c r="BT1587" s="4">
        <v>0.33402777777777776</v>
      </c>
      <c r="BU1587" t="s">
        <v>2235</v>
      </c>
      <c r="BV1587" t="s">
        <v>86</v>
      </c>
      <c r="BY1587">
        <v>43928</v>
      </c>
      <c r="CA1587" t="s">
        <v>1743</v>
      </c>
      <c r="CC1587" t="s">
        <v>76</v>
      </c>
      <c r="CD1587">
        <v>1600</v>
      </c>
      <c r="CE1587" t="s">
        <v>117</v>
      </c>
      <c r="CF1587" s="3">
        <v>45882</v>
      </c>
      <c r="CI1587">
        <v>1</v>
      </c>
      <c r="CJ1587">
        <v>1</v>
      </c>
      <c r="CK1587">
        <v>22</v>
      </c>
      <c r="CL1587" t="s">
        <v>90</v>
      </c>
    </row>
    <row r="1588" spans="1:90" x14ac:dyDescent="0.3">
      <c r="A1588" t="s">
        <v>72</v>
      </c>
      <c r="B1588" t="s">
        <v>73</v>
      </c>
      <c r="C1588" t="s">
        <v>74</v>
      </c>
      <c r="E1588" t="str">
        <f>"080067184825"</f>
        <v>080067184825</v>
      </c>
      <c r="F1588" s="3">
        <v>45881</v>
      </c>
      <c r="G1588">
        <v>202605</v>
      </c>
      <c r="H1588" t="s">
        <v>75</v>
      </c>
      <c r="I1588" t="s">
        <v>76</v>
      </c>
      <c r="J1588" t="s">
        <v>77</v>
      </c>
      <c r="K1588" t="s">
        <v>78</v>
      </c>
      <c r="L1588" t="s">
        <v>79</v>
      </c>
      <c r="M1588" t="s">
        <v>80</v>
      </c>
      <c r="N1588" t="s">
        <v>2278</v>
      </c>
      <c r="O1588" t="s">
        <v>95</v>
      </c>
      <c r="P1588" t="str">
        <f>"4170054223                    "</f>
        <v xml:space="preserve">4170054223                    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0</v>
      </c>
      <c r="AP1588">
        <v>0</v>
      </c>
      <c r="AQ1588">
        <v>38.479999999999997</v>
      </c>
      <c r="AR1588">
        <v>0</v>
      </c>
      <c r="AS1588">
        <v>0</v>
      </c>
      <c r="AT1588">
        <v>0</v>
      </c>
      <c r="AU1588">
        <v>0</v>
      </c>
      <c r="AV1588">
        <v>0</v>
      </c>
      <c r="AW1588">
        <v>0</v>
      </c>
      <c r="AX1588">
        <v>0</v>
      </c>
      <c r="AY1588">
        <v>0</v>
      </c>
      <c r="AZ1588">
        <v>0</v>
      </c>
      <c r="BA1588">
        <v>0</v>
      </c>
      <c r="BB1588">
        <v>0</v>
      </c>
      <c r="BC1588">
        <v>0</v>
      </c>
      <c r="BD1588">
        <v>0</v>
      </c>
      <c r="BE1588">
        <v>0</v>
      </c>
      <c r="BF1588">
        <v>0</v>
      </c>
      <c r="BG1588">
        <v>0</v>
      </c>
      <c r="BH1588">
        <v>1</v>
      </c>
      <c r="BI1588">
        <v>7</v>
      </c>
      <c r="BJ1588">
        <v>18.3</v>
      </c>
      <c r="BK1588">
        <v>19</v>
      </c>
      <c r="BL1588">
        <v>125.35</v>
      </c>
      <c r="BM1588">
        <v>18.8</v>
      </c>
      <c r="BN1588">
        <v>144.15</v>
      </c>
      <c r="BO1588">
        <v>144.15</v>
      </c>
      <c r="BQ1588" t="s">
        <v>2279</v>
      </c>
      <c r="BR1588" t="s">
        <v>84</v>
      </c>
      <c r="BS1588" s="3">
        <v>45882</v>
      </c>
      <c r="BT1588" s="4">
        <v>0.35416666666666669</v>
      </c>
      <c r="BU1588" t="s">
        <v>2280</v>
      </c>
      <c r="BV1588" t="s">
        <v>86</v>
      </c>
      <c r="BY1588">
        <v>91264</v>
      </c>
      <c r="CA1588" t="s">
        <v>1069</v>
      </c>
      <c r="CC1588" t="s">
        <v>80</v>
      </c>
      <c r="CD1588">
        <v>1422</v>
      </c>
      <c r="CE1588" t="s">
        <v>147</v>
      </c>
      <c r="CF1588" s="3">
        <v>45883</v>
      </c>
      <c r="CI1588">
        <v>1</v>
      </c>
      <c r="CJ1588">
        <v>1</v>
      </c>
      <c r="CK1588">
        <v>42</v>
      </c>
      <c r="CL1588" t="s">
        <v>90</v>
      </c>
    </row>
    <row r="1589" spans="1:90" x14ac:dyDescent="0.3">
      <c r="A1589" t="s">
        <v>72</v>
      </c>
      <c r="B1589" t="s">
        <v>73</v>
      </c>
      <c r="C1589" t="s">
        <v>74</v>
      </c>
      <c r="E1589" t="str">
        <f>"080067185105"</f>
        <v>080067185105</v>
      </c>
      <c r="F1589" s="3">
        <v>45881</v>
      </c>
      <c r="G1589">
        <v>202605</v>
      </c>
      <c r="H1589" t="s">
        <v>75</v>
      </c>
      <c r="I1589" t="s">
        <v>76</v>
      </c>
      <c r="J1589" t="s">
        <v>77</v>
      </c>
      <c r="K1589" t="s">
        <v>78</v>
      </c>
      <c r="L1589" t="s">
        <v>198</v>
      </c>
      <c r="M1589" t="s">
        <v>199</v>
      </c>
      <c r="N1589" t="s">
        <v>598</v>
      </c>
      <c r="O1589" t="s">
        <v>82</v>
      </c>
      <c r="P1589" t="str">
        <f>"4170054288                    "</f>
        <v xml:space="preserve">4170054288                    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0</v>
      </c>
      <c r="AO1589">
        <v>0</v>
      </c>
      <c r="AP1589">
        <v>0</v>
      </c>
      <c r="AQ1589">
        <v>34.619999999999997</v>
      </c>
      <c r="AR1589">
        <v>0</v>
      </c>
      <c r="AS1589">
        <v>0</v>
      </c>
      <c r="AT1589">
        <v>0</v>
      </c>
      <c r="AU1589">
        <v>0</v>
      </c>
      <c r="AV1589">
        <v>0</v>
      </c>
      <c r="AW1589">
        <v>0</v>
      </c>
      <c r="AX1589">
        <v>0</v>
      </c>
      <c r="AY1589">
        <v>0</v>
      </c>
      <c r="AZ1589">
        <v>0</v>
      </c>
      <c r="BA1589">
        <v>0</v>
      </c>
      <c r="BB1589">
        <v>0</v>
      </c>
      <c r="BC1589">
        <v>0</v>
      </c>
      <c r="BD1589">
        <v>0</v>
      </c>
      <c r="BE1589">
        <v>0</v>
      </c>
      <c r="BF1589">
        <v>0</v>
      </c>
      <c r="BG1589">
        <v>0</v>
      </c>
      <c r="BH1589">
        <v>1</v>
      </c>
      <c r="BI1589">
        <v>3</v>
      </c>
      <c r="BJ1589">
        <v>1.7</v>
      </c>
      <c r="BK1589">
        <v>3</v>
      </c>
      <c r="BL1589">
        <v>107.5</v>
      </c>
      <c r="BM1589">
        <v>16.13</v>
      </c>
      <c r="BN1589">
        <v>123.63</v>
      </c>
      <c r="BO1589">
        <v>123.63</v>
      </c>
      <c r="BQ1589" t="s">
        <v>599</v>
      </c>
      <c r="BR1589" t="s">
        <v>84</v>
      </c>
      <c r="BS1589" s="3">
        <v>45882</v>
      </c>
      <c r="BT1589" s="4">
        <v>0.37083333333333335</v>
      </c>
      <c r="BU1589" t="s">
        <v>1871</v>
      </c>
      <c r="BV1589" t="s">
        <v>86</v>
      </c>
      <c r="BY1589">
        <v>8512</v>
      </c>
      <c r="CA1589" t="s">
        <v>601</v>
      </c>
      <c r="CC1589" t="s">
        <v>199</v>
      </c>
      <c r="CD1589">
        <v>6001</v>
      </c>
      <c r="CE1589" t="s">
        <v>147</v>
      </c>
      <c r="CF1589" s="3">
        <v>45882</v>
      </c>
      <c r="CI1589">
        <v>1</v>
      </c>
      <c r="CJ1589">
        <v>1</v>
      </c>
      <c r="CK1589">
        <v>21</v>
      </c>
      <c r="CL1589" t="s">
        <v>90</v>
      </c>
    </row>
    <row r="1590" spans="1:90" x14ac:dyDescent="0.3">
      <c r="A1590" t="s">
        <v>72</v>
      </c>
      <c r="B1590" t="s">
        <v>73</v>
      </c>
      <c r="C1590" t="s">
        <v>74</v>
      </c>
      <c r="E1590" t="str">
        <f>"080067185158"</f>
        <v>080067185158</v>
      </c>
      <c r="F1590" s="3">
        <v>45881</v>
      </c>
      <c r="G1590">
        <v>202605</v>
      </c>
      <c r="H1590" t="s">
        <v>75</v>
      </c>
      <c r="I1590" t="s">
        <v>76</v>
      </c>
      <c r="J1590" t="s">
        <v>77</v>
      </c>
      <c r="K1590" t="s">
        <v>78</v>
      </c>
      <c r="L1590" t="s">
        <v>217</v>
      </c>
      <c r="M1590" t="s">
        <v>218</v>
      </c>
      <c r="N1590" t="s">
        <v>624</v>
      </c>
      <c r="O1590" t="s">
        <v>82</v>
      </c>
      <c r="P1590" t="str">
        <f>"4170054280                    "</f>
        <v xml:space="preserve">4170054280                    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Q1590">
        <v>23.09</v>
      </c>
      <c r="AR1590">
        <v>0</v>
      </c>
      <c r="AS1590">
        <v>0</v>
      </c>
      <c r="AT1590">
        <v>0</v>
      </c>
      <c r="AU1590">
        <v>0</v>
      </c>
      <c r="AV1590">
        <v>0</v>
      </c>
      <c r="AW1590">
        <v>0</v>
      </c>
      <c r="AX1590">
        <v>0</v>
      </c>
      <c r="AY1590">
        <v>0</v>
      </c>
      <c r="AZ1590">
        <v>0</v>
      </c>
      <c r="BA1590">
        <v>0</v>
      </c>
      <c r="BB1590">
        <v>0</v>
      </c>
      <c r="BC1590">
        <v>0</v>
      </c>
      <c r="BD1590">
        <v>0</v>
      </c>
      <c r="BE1590">
        <v>0</v>
      </c>
      <c r="BF1590">
        <v>0</v>
      </c>
      <c r="BG1590">
        <v>0</v>
      </c>
      <c r="BH1590">
        <v>1</v>
      </c>
      <c r="BI1590">
        <v>2</v>
      </c>
      <c r="BJ1590">
        <v>1.1000000000000001</v>
      </c>
      <c r="BK1590">
        <v>2</v>
      </c>
      <c r="BL1590">
        <v>71.69</v>
      </c>
      <c r="BM1590">
        <v>10.75</v>
      </c>
      <c r="BN1590">
        <v>82.44</v>
      </c>
      <c r="BO1590">
        <v>82.44</v>
      </c>
      <c r="BQ1590" t="s">
        <v>625</v>
      </c>
      <c r="BR1590" t="s">
        <v>84</v>
      </c>
      <c r="BS1590" s="3">
        <v>45882</v>
      </c>
      <c r="BT1590" s="4">
        <v>0.40277777777777779</v>
      </c>
      <c r="BU1590" t="s">
        <v>2108</v>
      </c>
      <c r="BV1590" t="s">
        <v>86</v>
      </c>
      <c r="BY1590">
        <v>5320</v>
      </c>
      <c r="CA1590" t="s">
        <v>136</v>
      </c>
      <c r="CC1590" t="s">
        <v>218</v>
      </c>
      <c r="CD1590">
        <v>4052</v>
      </c>
      <c r="CE1590" t="s">
        <v>147</v>
      </c>
      <c r="CF1590" s="3">
        <v>45883</v>
      </c>
      <c r="CI1590">
        <v>1</v>
      </c>
      <c r="CJ1590">
        <v>1</v>
      </c>
      <c r="CK1590">
        <v>21</v>
      </c>
      <c r="CL1590" t="s">
        <v>90</v>
      </c>
    </row>
    <row r="1591" spans="1:90" x14ac:dyDescent="0.3">
      <c r="A1591" t="s">
        <v>72</v>
      </c>
      <c r="B1591" t="s">
        <v>73</v>
      </c>
      <c r="C1591" t="s">
        <v>74</v>
      </c>
      <c r="E1591" t="str">
        <f>"080067185179"</f>
        <v>080067185179</v>
      </c>
      <c r="F1591" s="3">
        <v>45881</v>
      </c>
      <c r="G1591">
        <v>202605</v>
      </c>
      <c r="H1591" t="s">
        <v>75</v>
      </c>
      <c r="I1591" t="s">
        <v>76</v>
      </c>
      <c r="J1591" t="s">
        <v>77</v>
      </c>
      <c r="K1591" t="s">
        <v>78</v>
      </c>
      <c r="L1591" t="s">
        <v>137</v>
      </c>
      <c r="M1591" t="s">
        <v>138</v>
      </c>
      <c r="N1591" t="s">
        <v>1717</v>
      </c>
      <c r="O1591" t="s">
        <v>82</v>
      </c>
      <c r="P1591" t="str">
        <f>"4170054259                    "</f>
        <v xml:space="preserve">4170054259                    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0</v>
      </c>
      <c r="AO1591">
        <v>0</v>
      </c>
      <c r="AP1591">
        <v>0</v>
      </c>
      <c r="AQ1591">
        <v>23.09</v>
      </c>
      <c r="AR1591">
        <v>0</v>
      </c>
      <c r="AS1591">
        <v>0</v>
      </c>
      <c r="AT1591">
        <v>0</v>
      </c>
      <c r="AU1591">
        <v>0</v>
      </c>
      <c r="AV1591">
        <v>0</v>
      </c>
      <c r="AW1591">
        <v>0</v>
      </c>
      <c r="AX1591">
        <v>0</v>
      </c>
      <c r="AY1591">
        <v>0</v>
      </c>
      <c r="AZ1591">
        <v>0</v>
      </c>
      <c r="BA1591">
        <v>0</v>
      </c>
      <c r="BB1591">
        <v>0</v>
      </c>
      <c r="BC1591">
        <v>0</v>
      </c>
      <c r="BD1591">
        <v>0</v>
      </c>
      <c r="BE1591">
        <v>0</v>
      </c>
      <c r="BF1591">
        <v>0</v>
      </c>
      <c r="BG1591">
        <v>0</v>
      </c>
      <c r="BH1591">
        <v>1</v>
      </c>
      <c r="BI1591">
        <v>1</v>
      </c>
      <c r="BJ1591">
        <v>0.2</v>
      </c>
      <c r="BK1591">
        <v>1</v>
      </c>
      <c r="BL1591">
        <v>71.69</v>
      </c>
      <c r="BM1591">
        <v>10.75</v>
      </c>
      <c r="BN1591">
        <v>82.44</v>
      </c>
      <c r="BO1591">
        <v>82.44</v>
      </c>
      <c r="BQ1591" t="s">
        <v>1718</v>
      </c>
      <c r="BR1591" t="s">
        <v>84</v>
      </c>
      <c r="BS1591" s="3">
        <v>45882</v>
      </c>
      <c r="BT1591" s="4">
        <v>0.36041666666666666</v>
      </c>
      <c r="BU1591" t="s">
        <v>2281</v>
      </c>
      <c r="BV1591" t="s">
        <v>86</v>
      </c>
      <c r="BY1591">
        <v>1200</v>
      </c>
      <c r="CA1591" t="s">
        <v>264</v>
      </c>
      <c r="CC1591" t="s">
        <v>138</v>
      </c>
      <c r="CD1591">
        <v>3610</v>
      </c>
      <c r="CE1591" t="s">
        <v>109</v>
      </c>
      <c r="CF1591" s="3">
        <v>45882</v>
      </c>
      <c r="CI1591">
        <v>1</v>
      </c>
      <c r="CJ1591">
        <v>1</v>
      </c>
      <c r="CK1591">
        <v>21</v>
      </c>
      <c r="CL1591" t="s">
        <v>90</v>
      </c>
    </row>
    <row r="1592" spans="1:90" x14ac:dyDescent="0.3">
      <c r="A1592" t="s">
        <v>72</v>
      </c>
      <c r="B1592" t="s">
        <v>73</v>
      </c>
      <c r="C1592" t="s">
        <v>74</v>
      </c>
      <c r="E1592" t="str">
        <f>"080067185184"</f>
        <v>080067185184</v>
      </c>
      <c r="F1592" s="3">
        <v>45881</v>
      </c>
      <c r="G1592">
        <v>202605</v>
      </c>
      <c r="H1592" t="s">
        <v>75</v>
      </c>
      <c r="I1592" t="s">
        <v>76</v>
      </c>
      <c r="J1592" t="s">
        <v>77</v>
      </c>
      <c r="K1592" t="s">
        <v>78</v>
      </c>
      <c r="L1592" t="s">
        <v>555</v>
      </c>
      <c r="M1592" t="s">
        <v>556</v>
      </c>
      <c r="N1592" t="s">
        <v>557</v>
      </c>
      <c r="O1592" t="s">
        <v>82</v>
      </c>
      <c r="P1592" t="str">
        <f>"4170054266                    "</f>
        <v xml:space="preserve">4170054266                    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0</v>
      </c>
      <c r="AP1592">
        <v>0</v>
      </c>
      <c r="AQ1592">
        <v>105.32</v>
      </c>
      <c r="AR1592">
        <v>0</v>
      </c>
      <c r="AS1592">
        <v>0</v>
      </c>
      <c r="AT1592">
        <v>0</v>
      </c>
      <c r="AU1592">
        <v>0</v>
      </c>
      <c r="AV1592">
        <v>0</v>
      </c>
      <c r="AW1592">
        <v>0</v>
      </c>
      <c r="AX1592">
        <v>0</v>
      </c>
      <c r="AY1592">
        <v>0</v>
      </c>
      <c r="AZ1592">
        <v>0</v>
      </c>
      <c r="BA1592">
        <v>0</v>
      </c>
      <c r="BB1592">
        <v>0</v>
      </c>
      <c r="BC1592">
        <v>0</v>
      </c>
      <c r="BD1592">
        <v>0</v>
      </c>
      <c r="BE1592">
        <v>0</v>
      </c>
      <c r="BF1592">
        <v>0</v>
      </c>
      <c r="BG1592">
        <v>0</v>
      </c>
      <c r="BH1592">
        <v>1</v>
      </c>
      <c r="BI1592">
        <v>5</v>
      </c>
      <c r="BJ1592">
        <v>1.4</v>
      </c>
      <c r="BK1592">
        <v>5</v>
      </c>
      <c r="BL1592">
        <v>327.04000000000002</v>
      </c>
      <c r="BM1592">
        <v>49.06</v>
      </c>
      <c r="BN1592">
        <v>376.1</v>
      </c>
      <c r="BO1592">
        <v>376.1</v>
      </c>
      <c r="BQ1592" t="s">
        <v>558</v>
      </c>
      <c r="BR1592" t="s">
        <v>84</v>
      </c>
      <c r="BS1592" s="3">
        <v>45882</v>
      </c>
      <c r="BT1592" s="4">
        <v>0.48680555555555555</v>
      </c>
      <c r="BU1592" t="s">
        <v>2252</v>
      </c>
      <c r="BV1592" t="s">
        <v>86</v>
      </c>
      <c r="BY1592">
        <v>7000</v>
      </c>
      <c r="CA1592" t="s">
        <v>396</v>
      </c>
      <c r="CC1592" t="s">
        <v>556</v>
      </c>
      <c r="CD1592">
        <v>6850</v>
      </c>
      <c r="CE1592" t="s">
        <v>147</v>
      </c>
      <c r="CF1592" s="3">
        <v>45883</v>
      </c>
      <c r="CI1592">
        <v>2</v>
      </c>
      <c r="CJ1592">
        <v>1</v>
      </c>
      <c r="CK1592">
        <v>23</v>
      </c>
      <c r="CL1592" t="s">
        <v>90</v>
      </c>
    </row>
    <row r="1593" spans="1:90" x14ac:dyDescent="0.3">
      <c r="A1593" t="s">
        <v>72</v>
      </c>
      <c r="B1593" t="s">
        <v>73</v>
      </c>
      <c r="C1593" t="s">
        <v>74</v>
      </c>
      <c r="E1593" t="str">
        <f>"080067185199"</f>
        <v>080067185199</v>
      </c>
      <c r="F1593" s="3">
        <v>45881</v>
      </c>
      <c r="G1593">
        <v>202605</v>
      </c>
      <c r="H1593" t="s">
        <v>75</v>
      </c>
      <c r="I1593" t="s">
        <v>76</v>
      </c>
      <c r="J1593" t="s">
        <v>77</v>
      </c>
      <c r="K1593" t="s">
        <v>78</v>
      </c>
      <c r="L1593" t="s">
        <v>1622</v>
      </c>
      <c r="M1593" t="s">
        <v>1623</v>
      </c>
      <c r="N1593" t="s">
        <v>1465</v>
      </c>
      <c r="O1593" t="s">
        <v>82</v>
      </c>
      <c r="P1593" t="str">
        <f>"4170054206                    "</f>
        <v xml:space="preserve">4170054206                    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0</v>
      </c>
      <c r="AP1593">
        <v>0</v>
      </c>
      <c r="AQ1593">
        <v>23.09</v>
      </c>
      <c r="AR1593">
        <v>0</v>
      </c>
      <c r="AS1593">
        <v>0</v>
      </c>
      <c r="AT1593">
        <v>0</v>
      </c>
      <c r="AU1593">
        <v>0</v>
      </c>
      <c r="AV1593">
        <v>0</v>
      </c>
      <c r="AW1593">
        <v>0</v>
      </c>
      <c r="AX1593">
        <v>0</v>
      </c>
      <c r="AY1593">
        <v>0</v>
      </c>
      <c r="AZ1593">
        <v>0</v>
      </c>
      <c r="BA1593">
        <v>0</v>
      </c>
      <c r="BB1593">
        <v>0</v>
      </c>
      <c r="BC1593">
        <v>0</v>
      </c>
      <c r="BD1593">
        <v>0</v>
      </c>
      <c r="BE1593">
        <v>0</v>
      </c>
      <c r="BF1593">
        <v>0</v>
      </c>
      <c r="BG1593">
        <v>0</v>
      </c>
      <c r="BH1593">
        <v>1</v>
      </c>
      <c r="BI1593">
        <v>1</v>
      </c>
      <c r="BJ1593">
        <v>0.2</v>
      </c>
      <c r="BK1593">
        <v>1</v>
      </c>
      <c r="BL1593">
        <v>71.69</v>
      </c>
      <c r="BM1593">
        <v>10.75</v>
      </c>
      <c r="BN1593">
        <v>82.44</v>
      </c>
      <c r="BO1593">
        <v>82.44</v>
      </c>
      <c r="BQ1593" t="s">
        <v>1466</v>
      </c>
      <c r="BR1593" t="s">
        <v>84</v>
      </c>
      <c r="BS1593" s="3">
        <v>45882</v>
      </c>
      <c r="BT1593" s="4">
        <v>0.40138888888888891</v>
      </c>
      <c r="BU1593" t="s">
        <v>2282</v>
      </c>
      <c r="BV1593" t="s">
        <v>86</v>
      </c>
      <c r="BY1593">
        <v>1200</v>
      </c>
      <c r="CA1593" t="s">
        <v>1624</v>
      </c>
      <c r="CC1593" t="s">
        <v>1623</v>
      </c>
      <c r="CD1593" s="5" t="s">
        <v>1625</v>
      </c>
      <c r="CE1593" t="s">
        <v>109</v>
      </c>
      <c r="CF1593" s="3">
        <v>45882</v>
      </c>
      <c r="CI1593">
        <v>1</v>
      </c>
      <c r="CJ1593">
        <v>1</v>
      </c>
      <c r="CK1593">
        <v>21</v>
      </c>
      <c r="CL1593" t="s">
        <v>90</v>
      </c>
    </row>
    <row r="1594" spans="1:90" x14ac:dyDescent="0.3">
      <c r="A1594" t="s">
        <v>72</v>
      </c>
      <c r="B1594" t="s">
        <v>73</v>
      </c>
      <c r="C1594" t="s">
        <v>74</v>
      </c>
      <c r="E1594" t="str">
        <f>"080067185221"</f>
        <v>080067185221</v>
      </c>
      <c r="F1594" s="3">
        <v>45881</v>
      </c>
      <c r="G1594">
        <v>202605</v>
      </c>
      <c r="H1594" t="s">
        <v>75</v>
      </c>
      <c r="I1594" t="s">
        <v>76</v>
      </c>
      <c r="J1594" t="s">
        <v>77</v>
      </c>
      <c r="K1594" t="s">
        <v>78</v>
      </c>
      <c r="L1594" t="s">
        <v>241</v>
      </c>
      <c r="M1594" t="s">
        <v>242</v>
      </c>
      <c r="N1594" t="s">
        <v>2156</v>
      </c>
      <c r="O1594" t="s">
        <v>82</v>
      </c>
      <c r="P1594" t="str">
        <f>"4170054224                    "</f>
        <v xml:space="preserve">4170054224                    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0</v>
      </c>
      <c r="AP1594">
        <v>0</v>
      </c>
      <c r="AQ1594">
        <v>18.03</v>
      </c>
      <c r="AR1594">
        <v>0</v>
      </c>
      <c r="AS1594">
        <v>0</v>
      </c>
      <c r="AT1594">
        <v>0</v>
      </c>
      <c r="AU1594">
        <v>0</v>
      </c>
      <c r="AV1594">
        <v>0</v>
      </c>
      <c r="AW1594">
        <v>0</v>
      </c>
      <c r="AX1594">
        <v>0</v>
      </c>
      <c r="AY1594">
        <v>0</v>
      </c>
      <c r="AZ1594">
        <v>0</v>
      </c>
      <c r="BA1594">
        <v>0</v>
      </c>
      <c r="BB1594">
        <v>0</v>
      </c>
      <c r="BC1594">
        <v>0</v>
      </c>
      <c r="BD1594">
        <v>0</v>
      </c>
      <c r="BE1594">
        <v>0</v>
      </c>
      <c r="BF1594">
        <v>0</v>
      </c>
      <c r="BG1594">
        <v>0</v>
      </c>
      <c r="BH1594">
        <v>1</v>
      </c>
      <c r="BI1594">
        <v>2</v>
      </c>
      <c r="BJ1594">
        <v>1.9</v>
      </c>
      <c r="BK1594">
        <v>2</v>
      </c>
      <c r="BL1594">
        <v>55.99</v>
      </c>
      <c r="BM1594">
        <v>8.4</v>
      </c>
      <c r="BN1594">
        <v>64.39</v>
      </c>
      <c r="BO1594">
        <v>64.39</v>
      </c>
      <c r="BQ1594" t="s">
        <v>2157</v>
      </c>
      <c r="BR1594" t="s">
        <v>84</v>
      </c>
      <c r="BS1594" s="3">
        <v>45882</v>
      </c>
      <c r="BT1594" s="4">
        <v>0.40625</v>
      </c>
      <c r="BU1594" t="s">
        <v>2158</v>
      </c>
      <c r="BV1594" t="s">
        <v>86</v>
      </c>
      <c r="BY1594">
        <v>9600</v>
      </c>
      <c r="CA1594" t="s">
        <v>623</v>
      </c>
      <c r="CC1594" t="s">
        <v>242</v>
      </c>
      <c r="CD1594">
        <v>1459</v>
      </c>
      <c r="CE1594" t="s">
        <v>147</v>
      </c>
      <c r="CF1594" s="3">
        <v>45883</v>
      </c>
      <c r="CI1594">
        <v>1</v>
      </c>
      <c r="CJ1594">
        <v>1</v>
      </c>
      <c r="CK1594">
        <v>22</v>
      </c>
      <c r="CL1594" t="s">
        <v>90</v>
      </c>
    </row>
    <row r="1595" spans="1:90" x14ac:dyDescent="0.3">
      <c r="A1595" t="s">
        <v>72</v>
      </c>
      <c r="B1595" t="s">
        <v>73</v>
      </c>
      <c r="C1595" t="s">
        <v>74</v>
      </c>
      <c r="E1595" t="str">
        <f>"080067185229"</f>
        <v>080067185229</v>
      </c>
      <c r="F1595" s="3">
        <v>45881</v>
      </c>
      <c r="G1595">
        <v>202605</v>
      </c>
      <c r="H1595" t="s">
        <v>75</v>
      </c>
      <c r="I1595" t="s">
        <v>76</v>
      </c>
      <c r="J1595" t="s">
        <v>77</v>
      </c>
      <c r="K1595" t="s">
        <v>78</v>
      </c>
      <c r="L1595" t="s">
        <v>391</v>
      </c>
      <c r="M1595" t="s">
        <v>392</v>
      </c>
      <c r="N1595" t="s">
        <v>393</v>
      </c>
      <c r="O1595" t="s">
        <v>82</v>
      </c>
      <c r="P1595" t="str">
        <f>"4170054295                    "</f>
        <v xml:space="preserve">4170054295                    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Q1595">
        <v>44.73</v>
      </c>
      <c r="AR1595">
        <v>0</v>
      </c>
      <c r="AS1595">
        <v>0</v>
      </c>
      <c r="AT1595">
        <v>0</v>
      </c>
      <c r="AU1595">
        <v>0</v>
      </c>
      <c r="AV1595">
        <v>0</v>
      </c>
      <c r="AW1595">
        <v>0</v>
      </c>
      <c r="AX1595">
        <v>0</v>
      </c>
      <c r="AY1595">
        <v>0</v>
      </c>
      <c r="AZ1595">
        <v>0</v>
      </c>
      <c r="BA1595">
        <v>0</v>
      </c>
      <c r="BB1595">
        <v>0</v>
      </c>
      <c r="BC1595">
        <v>0</v>
      </c>
      <c r="BD1595">
        <v>0</v>
      </c>
      <c r="BE1595">
        <v>0</v>
      </c>
      <c r="BF1595">
        <v>0</v>
      </c>
      <c r="BG1595">
        <v>0</v>
      </c>
      <c r="BH1595">
        <v>1</v>
      </c>
      <c r="BI1595">
        <v>1</v>
      </c>
      <c r="BJ1595">
        <v>0.2</v>
      </c>
      <c r="BK1595">
        <v>1</v>
      </c>
      <c r="BL1595">
        <v>138.88999999999999</v>
      </c>
      <c r="BM1595">
        <v>20.83</v>
      </c>
      <c r="BN1595">
        <v>159.72</v>
      </c>
      <c r="BO1595">
        <v>159.72</v>
      </c>
      <c r="BQ1595" t="s">
        <v>394</v>
      </c>
      <c r="BR1595" t="s">
        <v>84</v>
      </c>
      <c r="BS1595" s="3">
        <v>45882</v>
      </c>
      <c r="BT1595" s="4">
        <v>0.47361111111111109</v>
      </c>
      <c r="BU1595" t="s">
        <v>2244</v>
      </c>
      <c r="BV1595" t="s">
        <v>86</v>
      </c>
      <c r="BY1595">
        <v>1200</v>
      </c>
      <c r="CA1595" t="s">
        <v>1347</v>
      </c>
      <c r="CC1595" t="s">
        <v>392</v>
      </c>
      <c r="CD1595">
        <v>6715</v>
      </c>
      <c r="CE1595" t="s">
        <v>109</v>
      </c>
      <c r="CF1595" s="3">
        <v>45883</v>
      </c>
      <c r="CI1595">
        <v>2</v>
      </c>
      <c r="CJ1595">
        <v>1</v>
      </c>
      <c r="CK1595">
        <v>23</v>
      </c>
      <c r="CL1595" t="s">
        <v>90</v>
      </c>
    </row>
    <row r="1596" spans="1:90" x14ac:dyDescent="0.3">
      <c r="A1596" t="s">
        <v>72</v>
      </c>
      <c r="B1596" t="s">
        <v>73</v>
      </c>
      <c r="C1596" t="s">
        <v>74</v>
      </c>
      <c r="E1596" t="str">
        <f>"080067185278"</f>
        <v>080067185278</v>
      </c>
      <c r="F1596" s="3">
        <v>45881</v>
      </c>
      <c r="G1596">
        <v>202605</v>
      </c>
      <c r="H1596" t="s">
        <v>75</v>
      </c>
      <c r="I1596" t="s">
        <v>76</v>
      </c>
      <c r="J1596" t="s">
        <v>77</v>
      </c>
      <c r="K1596" t="s">
        <v>78</v>
      </c>
      <c r="L1596" t="s">
        <v>79</v>
      </c>
      <c r="M1596" t="s">
        <v>80</v>
      </c>
      <c r="N1596" t="s">
        <v>1179</v>
      </c>
      <c r="O1596" t="s">
        <v>82</v>
      </c>
      <c r="P1596" t="str">
        <f>"4170054220                    "</f>
        <v xml:space="preserve">4170054220                    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0</v>
      </c>
      <c r="AP1596">
        <v>0</v>
      </c>
      <c r="AQ1596">
        <v>18.03</v>
      </c>
      <c r="AR1596">
        <v>0</v>
      </c>
      <c r="AS1596">
        <v>0</v>
      </c>
      <c r="AT1596">
        <v>0</v>
      </c>
      <c r="AU1596">
        <v>0</v>
      </c>
      <c r="AV1596">
        <v>0</v>
      </c>
      <c r="AW1596">
        <v>0</v>
      </c>
      <c r="AX1596">
        <v>0</v>
      </c>
      <c r="AY1596">
        <v>0</v>
      </c>
      <c r="AZ1596">
        <v>0</v>
      </c>
      <c r="BA1596">
        <v>0</v>
      </c>
      <c r="BB1596">
        <v>0</v>
      </c>
      <c r="BC1596">
        <v>0</v>
      </c>
      <c r="BD1596">
        <v>0</v>
      </c>
      <c r="BE1596">
        <v>0</v>
      </c>
      <c r="BF1596">
        <v>0</v>
      </c>
      <c r="BG1596">
        <v>0</v>
      </c>
      <c r="BH1596">
        <v>1</v>
      </c>
      <c r="BI1596">
        <v>1</v>
      </c>
      <c r="BJ1596">
        <v>0.2</v>
      </c>
      <c r="BK1596">
        <v>1</v>
      </c>
      <c r="BL1596">
        <v>55.99</v>
      </c>
      <c r="BM1596">
        <v>8.4</v>
      </c>
      <c r="BN1596">
        <v>64.39</v>
      </c>
      <c r="BO1596">
        <v>64.39</v>
      </c>
      <c r="BQ1596" t="s">
        <v>1180</v>
      </c>
      <c r="BR1596" t="s">
        <v>84</v>
      </c>
      <c r="BS1596" s="3">
        <v>45882</v>
      </c>
      <c r="BT1596" s="4">
        <v>0.36388888888888887</v>
      </c>
      <c r="BU1596" t="s">
        <v>2247</v>
      </c>
      <c r="BV1596" t="s">
        <v>86</v>
      </c>
      <c r="BY1596">
        <v>1200</v>
      </c>
      <c r="CA1596" t="s">
        <v>1026</v>
      </c>
      <c r="CC1596" t="s">
        <v>80</v>
      </c>
      <c r="CD1596">
        <v>1406</v>
      </c>
      <c r="CE1596" t="s">
        <v>109</v>
      </c>
      <c r="CF1596" s="3">
        <v>45882</v>
      </c>
      <c r="CI1596">
        <v>1</v>
      </c>
      <c r="CJ1596">
        <v>1</v>
      </c>
      <c r="CK1596">
        <v>22</v>
      </c>
      <c r="CL1596" t="s">
        <v>90</v>
      </c>
    </row>
    <row r="1597" spans="1:90" x14ac:dyDescent="0.3">
      <c r="A1597" t="s">
        <v>72</v>
      </c>
      <c r="B1597" t="s">
        <v>73</v>
      </c>
      <c r="C1597" t="s">
        <v>74</v>
      </c>
      <c r="E1597" t="str">
        <f>"080067185313"</f>
        <v>080067185313</v>
      </c>
      <c r="F1597" s="3">
        <v>45881</v>
      </c>
      <c r="G1597">
        <v>202605</v>
      </c>
      <c r="H1597" t="s">
        <v>75</v>
      </c>
      <c r="I1597" t="s">
        <v>76</v>
      </c>
      <c r="J1597" t="s">
        <v>77</v>
      </c>
      <c r="K1597" t="s">
        <v>78</v>
      </c>
      <c r="L1597" t="s">
        <v>198</v>
      </c>
      <c r="M1597" t="s">
        <v>199</v>
      </c>
      <c r="N1597" t="s">
        <v>598</v>
      </c>
      <c r="O1597" t="s">
        <v>82</v>
      </c>
      <c r="P1597" t="str">
        <f>"4170054264                    "</f>
        <v xml:space="preserve">4170054264                    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0</v>
      </c>
      <c r="AO1597">
        <v>0</v>
      </c>
      <c r="AP1597">
        <v>0</v>
      </c>
      <c r="AQ1597">
        <v>23.09</v>
      </c>
      <c r="AR1597">
        <v>0</v>
      </c>
      <c r="AS1597">
        <v>0</v>
      </c>
      <c r="AT1597">
        <v>0</v>
      </c>
      <c r="AU1597">
        <v>0</v>
      </c>
      <c r="AV1597">
        <v>0</v>
      </c>
      <c r="AW1597">
        <v>0</v>
      </c>
      <c r="AX1597">
        <v>0</v>
      </c>
      <c r="AY1597">
        <v>0</v>
      </c>
      <c r="AZ1597">
        <v>0</v>
      </c>
      <c r="BA1597">
        <v>0</v>
      </c>
      <c r="BB1597">
        <v>0</v>
      </c>
      <c r="BC1597">
        <v>0</v>
      </c>
      <c r="BD1597">
        <v>0</v>
      </c>
      <c r="BE1597">
        <v>0</v>
      </c>
      <c r="BF1597">
        <v>0</v>
      </c>
      <c r="BG1597">
        <v>0</v>
      </c>
      <c r="BH1597">
        <v>1</v>
      </c>
      <c r="BI1597">
        <v>1</v>
      </c>
      <c r="BJ1597">
        <v>1.9</v>
      </c>
      <c r="BK1597">
        <v>2</v>
      </c>
      <c r="BL1597">
        <v>71.69</v>
      </c>
      <c r="BM1597">
        <v>10.75</v>
      </c>
      <c r="BN1597">
        <v>82.44</v>
      </c>
      <c r="BO1597">
        <v>82.44</v>
      </c>
      <c r="BQ1597" t="s">
        <v>599</v>
      </c>
      <c r="BR1597" t="s">
        <v>84</v>
      </c>
      <c r="BS1597" s="3">
        <v>45882</v>
      </c>
      <c r="BT1597" s="4">
        <v>0.37083333333333335</v>
      </c>
      <c r="BU1597" t="s">
        <v>1757</v>
      </c>
      <c r="BV1597" t="s">
        <v>86</v>
      </c>
      <c r="BY1597">
        <v>9600</v>
      </c>
      <c r="CA1597" t="s">
        <v>601</v>
      </c>
      <c r="CC1597" t="s">
        <v>199</v>
      </c>
      <c r="CD1597">
        <v>6001</v>
      </c>
      <c r="CE1597" t="s">
        <v>147</v>
      </c>
      <c r="CF1597" s="3">
        <v>45882</v>
      </c>
      <c r="CI1597">
        <v>1</v>
      </c>
      <c r="CJ1597">
        <v>1</v>
      </c>
      <c r="CK1597">
        <v>21</v>
      </c>
      <c r="CL1597" t="s">
        <v>90</v>
      </c>
    </row>
    <row r="1598" spans="1:90" x14ac:dyDescent="0.3">
      <c r="A1598" t="s">
        <v>72</v>
      </c>
      <c r="B1598" t="s">
        <v>73</v>
      </c>
      <c r="C1598" t="s">
        <v>74</v>
      </c>
      <c r="E1598" t="str">
        <f>"080067185353"</f>
        <v>080067185353</v>
      </c>
      <c r="F1598" s="3">
        <v>45881</v>
      </c>
      <c r="G1598">
        <v>202605</v>
      </c>
      <c r="H1598" t="s">
        <v>75</v>
      </c>
      <c r="I1598" t="s">
        <v>76</v>
      </c>
      <c r="J1598" t="s">
        <v>77</v>
      </c>
      <c r="K1598" t="s">
        <v>78</v>
      </c>
      <c r="L1598" t="s">
        <v>229</v>
      </c>
      <c r="M1598" t="s">
        <v>230</v>
      </c>
      <c r="N1598" t="s">
        <v>231</v>
      </c>
      <c r="O1598" t="s">
        <v>82</v>
      </c>
      <c r="P1598" t="str">
        <f>"4170054250                    "</f>
        <v xml:space="preserve">4170054250                    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0</v>
      </c>
      <c r="AO1598">
        <v>0</v>
      </c>
      <c r="AP1598">
        <v>0</v>
      </c>
      <c r="AQ1598">
        <v>44.73</v>
      </c>
      <c r="AR1598">
        <v>0</v>
      </c>
      <c r="AS1598">
        <v>0</v>
      </c>
      <c r="AT1598">
        <v>0</v>
      </c>
      <c r="AU1598">
        <v>0</v>
      </c>
      <c r="AV1598">
        <v>0</v>
      </c>
      <c r="AW1598">
        <v>0</v>
      </c>
      <c r="AX1598">
        <v>0</v>
      </c>
      <c r="AY1598">
        <v>0</v>
      </c>
      <c r="AZ1598">
        <v>0</v>
      </c>
      <c r="BA1598">
        <v>0</v>
      </c>
      <c r="BB1598">
        <v>0</v>
      </c>
      <c r="BC1598">
        <v>0</v>
      </c>
      <c r="BD1598">
        <v>0</v>
      </c>
      <c r="BE1598">
        <v>0</v>
      </c>
      <c r="BF1598">
        <v>0</v>
      </c>
      <c r="BG1598">
        <v>0</v>
      </c>
      <c r="BH1598">
        <v>1</v>
      </c>
      <c r="BI1598">
        <v>1</v>
      </c>
      <c r="BJ1598">
        <v>0.2</v>
      </c>
      <c r="BK1598">
        <v>1</v>
      </c>
      <c r="BL1598">
        <v>138.88999999999999</v>
      </c>
      <c r="BM1598">
        <v>20.83</v>
      </c>
      <c r="BN1598">
        <v>159.72</v>
      </c>
      <c r="BO1598">
        <v>159.72</v>
      </c>
      <c r="BQ1598" t="s">
        <v>232</v>
      </c>
      <c r="BR1598" t="s">
        <v>84</v>
      </c>
      <c r="BS1598" s="3">
        <v>45882</v>
      </c>
      <c r="BT1598" s="4">
        <v>0.3263888888888889</v>
      </c>
      <c r="BU1598" t="s">
        <v>233</v>
      </c>
      <c r="BV1598" t="s">
        <v>86</v>
      </c>
      <c r="BY1598">
        <v>1200</v>
      </c>
      <c r="CC1598" t="s">
        <v>230</v>
      </c>
      <c r="CD1598">
        <v>2740</v>
      </c>
      <c r="CE1598" t="s">
        <v>109</v>
      </c>
      <c r="CF1598" s="3">
        <v>45883</v>
      </c>
      <c r="CI1598">
        <v>1</v>
      </c>
      <c r="CJ1598">
        <v>1</v>
      </c>
      <c r="CK1598">
        <v>23</v>
      </c>
      <c r="CL1598" t="s">
        <v>90</v>
      </c>
    </row>
    <row r="1599" spans="1:90" x14ac:dyDescent="0.3">
      <c r="A1599" t="s">
        <v>72</v>
      </c>
      <c r="B1599" t="s">
        <v>73</v>
      </c>
      <c r="C1599" t="s">
        <v>74</v>
      </c>
      <c r="E1599" t="str">
        <f>"080067185408"</f>
        <v>080067185408</v>
      </c>
      <c r="F1599" s="3">
        <v>45881</v>
      </c>
      <c r="G1599">
        <v>202605</v>
      </c>
      <c r="H1599" t="s">
        <v>75</v>
      </c>
      <c r="I1599" t="s">
        <v>76</v>
      </c>
      <c r="J1599" t="s">
        <v>77</v>
      </c>
      <c r="K1599" t="s">
        <v>78</v>
      </c>
      <c r="L1599" t="s">
        <v>162</v>
      </c>
      <c r="M1599" t="s">
        <v>163</v>
      </c>
      <c r="N1599" t="s">
        <v>246</v>
      </c>
      <c r="O1599" t="s">
        <v>82</v>
      </c>
      <c r="P1599" t="str">
        <f>"4170054211                    "</f>
        <v xml:space="preserve">4170054211                    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Q1599">
        <v>23.09</v>
      </c>
      <c r="AR1599">
        <v>0</v>
      </c>
      <c r="AS1599">
        <v>0</v>
      </c>
      <c r="AT1599">
        <v>0</v>
      </c>
      <c r="AU1599">
        <v>0</v>
      </c>
      <c r="AV1599">
        <v>0</v>
      </c>
      <c r="AW1599">
        <v>0</v>
      </c>
      <c r="AX1599">
        <v>0</v>
      </c>
      <c r="AY1599">
        <v>0</v>
      </c>
      <c r="AZ1599">
        <v>0</v>
      </c>
      <c r="BA1599">
        <v>0</v>
      </c>
      <c r="BB1599">
        <v>0</v>
      </c>
      <c r="BC1599">
        <v>0</v>
      </c>
      <c r="BD1599">
        <v>0</v>
      </c>
      <c r="BE1599">
        <v>0</v>
      </c>
      <c r="BF1599">
        <v>0</v>
      </c>
      <c r="BG1599">
        <v>0</v>
      </c>
      <c r="BH1599">
        <v>1</v>
      </c>
      <c r="BI1599">
        <v>2</v>
      </c>
      <c r="BJ1599">
        <v>1.4</v>
      </c>
      <c r="BK1599">
        <v>2</v>
      </c>
      <c r="BL1599">
        <v>71.69</v>
      </c>
      <c r="BM1599">
        <v>10.75</v>
      </c>
      <c r="BN1599">
        <v>82.44</v>
      </c>
      <c r="BO1599">
        <v>82.44</v>
      </c>
      <c r="BQ1599" t="s">
        <v>247</v>
      </c>
      <c r="BR1599" t="s">
        <v>84</v>
      </c>
      <c r="BS1599" s="3">
        <v>45882</v>
      </c>
      <c r="BT1599" s="4">
        <v>0.41666666666666669</v>
      </c>
      <c r="BU1599" t="s">
        <v>485</v>
      </c>
      <c r="BV1599" t="s">
        <v>86</v>
      </c>
      <c r="BY1599">
        <v>7000</v>
      </c>
      <c r="CC1599" t="s">
        <v>163</v>
      </c>
      <c r="CD1599">
        <v>3201</v>
      </c>
      <c r="CE1599" t="s">
        <v>147</v>
      </c>
      <c r="CF1599" s="3">
        <v>45883</v>
      </c>
      <c r="CI1599">
        <v>1</v>
      </c>
      <c r="CJ1599">
        <v>1</v>
      </c>
      <c r="CK1599">
        <v>21</v>
      </c>
      <c r="CL1599" t="s">
        <v>90</v>
      </c>
    </row>
    <row r="1600" spans="1:90" x14ac:dyDescent="0.3">
      <c r="A1600" t="s">
        <v>72</v>
      </c>
      <c r="B1600" t="s">
        <v>73</v>
      </c>
      <c r="C1600" t="s">
        <v>74</v>
      </c>
      <c r="E1600" t="str">
        <f>"080067185444"</f>
        <v>080067185444</v>
      </c>
      <c r="F1600" s="3">
        <v>45881</v>
      </c>
      <c r="G1600">
        <v>202605</v>
      </c>
      <c r="H1600" t="s">
        <v>75</v>
      </c>
      <c r="I1600" t="s">
        <v>76</v>
      </c>
      <c r="J1600" t="s">
        <v>77</v>
      </c>
      <c r="K1600" t="s">
        <v>78</v>
      </c>
      <c r="L1600" t="s">
        <v>672</v>
      </c>
      <c r="M1600" t="s">
        <v>673</v>
      </c>
      <c r="N1600" t="s">
        <v>874</v>
      </c>
      <c r="O1600" t="s">
        <v>82</v>
      </c>
      <c r="P1600" t="str">
        <f>"4170054241                    "</f>
        <v xml:space="preserve">4170054241                    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0</v>
      </c>
      <c r="AO1600">
        <v>0</v>
      </c>
      <c r="AP1600">
        <v>0</v>
      </c>
      <c r="AQ1600">
        <v>44.73</v>
      </c>
      <c r="AR1600">
        <v>0</v>
      </c>
      <c r="AS1600">
        <v>0</v>
      </c>
      <c r="AT1600">
        <v>0</v>
      </c>
      <c r="AU1600">
        <v>0</v>
      </c>
      <c r="AV1600">
        <v>0</v>
      </c>
      <c r="AW1600">
        <v>0</v>
      </c>
      <c r="AX1600">
        <v>0</v>
      </c>
      <c r="AY1600">
        <v>0</v>
      </c>
      <c r="AZ1600">
        <v>0</v>
      </c>
      <c r="BA1600">
        <v>0</v>
      </c>
      <c r="BB1600">
        <v>0</v>
      </c>
      <c r="BC1600">
        <v>0</v>
      </c>
      <c r="BD1600">
        <v>0</v>
      </c>
      <c r="BE1600">
        <v>0</v>
      </c>
      <c r="BF1600">
        <v>0</v>
      </c>
      <c r="BG1600">
        <v>0</v>
      </c>
      <c r="BH1600">
        <v>1</v>
      </c>
      <c r="BI1600">
        <v>1</v>
      </c>
      <c r="BJ1600">
        <v>0.2</v>
      </c>
      <c r="BK1600">
        <v>1</v>
      </c>
      <c r="BL1600">
        <v>138.88999999999999</v>
      </c>
      <c r="BM1600">
        <v>20.83</v>
      </c>
      <c r="BN1600">
        <v>159.72</v>
      </c>
      <c r="BO1600">
        <v>159.72</v>
      </c>
      <c r="BQ1600" t="s">
        <v>875</v>
      </c>
      <c r="BR1600" t="s">
        <v>84</v>
      </c>
      <c r="BS1600" s="3">
        <v>45883</v>
      </c>
      <c r="BT1600" s="4">
        <v>0.47569444444444442</v>
      </c>
      <c r="BU1600" t="s">
        <v>876</v>
      </c>
      <c r="BV1600" t="s">
        <v>86</v>
      </c>
      <c r="BY1600">
        <v>1200</v>
      </c>
      <c r="CC1600" t="s">
        <v>673</v>
      </c>
      <c r="CD1600">
        <v>3370</v>
      </c>
      <c r="CE1600" t="s">
        <v>109</v>
      </c>
      <c r="CF1600" s="3">
        <v>45884</v>
      </c>
      <c r="CI1600">
        <v>2</v>
      </c>
      <c r="CJ1600">
        <v>2</v>
      </c>
      <c r="CK1600">
        <v>23</v>
      </c>
      <c r="CL1600" t="s">
        <v>90</v>
      </c>
    </row>
    <row r="1601" spans="1:90" x14ac:dyDescent="0.3">
      <c r="A1601" t="s">
        <v>72</v>
      </c>
      <c r="B1601" t="s">
        <v>73</v>
      </c>
      <c r="C1601" t="s">
        <v>74</v>
      </c>
      <c r="E1601" t="str">
        <f>"080067185538"</f>
        <v>080067185538</v>
      </c>
      <c r="F1601" s="3">
        <v>45881</v>
      </c>
      <c r="G1601">
        <v>202605</v>
      </c>
      <c r="H1601" t="s">
        <v>75</v>
      </c>
      <c r="I1601" t="s">
        <v>76</v>
      </c>
      <c r="J1601" t="s">
        <v>77</v>
      </c>
      <c r="K1601" t="s">
        <v>78</v>
      </c>
      <c r="L1601" t="s">
        <v>198</v>
      </c>
      <c r="M1601" t="s">
        <v>199</v>
      </c>
      <c r="N1601" t="s">
        <v>2248</v>
      </c>
      <c r="O1601" t="s">
        <v>82</v>
      </c>
      <c r="P1601" t="str">
        <f>"4170054216                    "</f>
        <v xml:space="preserve">4170054216                    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0</v>
      </c>
      <c r="AP1601">
        <v>0</v>
      </c>
      <c r="AQ1601">
        <v>46.15</v>
      </c>
      <c r="AR1601">
        <v>0</v>
      </c>
      <c r="AS1601">
        <v>0</v>
      </c>
      <c r="AT1601">
        <v>0</v>
      </c>
      <c r="AU1601">
        <v>0</v>
      </c>
      <c r="AV1601">
        <v>0</v>
      </c>
      <c r="AW1601">
        <v>0</v>
      </c>
      <c r="AX1601">
        <v>0</v>
      </c>
      <c r="AY1601">
        <v>0</v>
      </c>
      <c r="AZ1601">
        <v>0</v>
      </c>
      <c r="BA1601">
        <v>0</v>
      </c>
      <c r="BB1601">
        <v>0</v>
      </c>
      <c r="BC1601">
        <v>0</v>
      </c>
      <c r="BD1601">
        <v>0</v>
      </c>
      <c r="BE1601">
        <v>0</v>
      </c>
      <c r="BF1601">
        <v>0</v>
      </c>
      <c r="BG1601">
        <v>0</v>
      </c>
      <c r="BH1601">
        <v>1</v>
      </c>
      <c r="BI1601">
        <v>4</v>
      </c>
      <c r="BJ1601">
        <v>1.3</v>
      </c>
      <c r="BK1601">
        <v>4</v>
      </c>
      <c r="BL1601">
        <v>143.31</v>
      </c>
      <c r="BM1601">
        <v>21.5</v>
      </c>
      <c r="BN1601">
        <v>164.81</v>
      </c>
      <c r="BO1601">
        <v>164.81</v>
      </c>
      <c r="BQ1601" t="s">
        <v>2249</v>
      </c>
      <c r="BR1601" t="s">
        <v>84</v>
      </c>
      <c r="BS1601" s="3">
        <v>45882</v>
      </c>
      <c r="BT1601" s="4">
        <v>0.4284722222222222</v>
      </c>
      <c r="BU1601" t="s">
        <v>2283</v>
      </c>
      <c r="BV1601" t="s">
        <v>86</v>
      </c>
      <c r="BY1601">
        <v>6400</v>
      </c>
      <c r="CA1601" t="s">
        <v>1570</v>
      </c>
      <c r="CC1601" t="s">
        <v>199</v>
      </c>
      <c r="CD1601">
        <v>6000</v>
      </c>
      <c r="CE1601" t="s">
        <v>117</v>
      </c>
      <c r="CF1601" s="3">
        <v>45882</v>
      </c>
      <c r="CI1601">
        <v>1</v>
      </c>
      <c r="CJ1601">
        <v>1</v>
      </c>
      <c r="CK1601">
        <v>21</v>
      </c>
      <c r="CL1601" t="s">
        <v>90</v>
      </c>
    </row>
    <row r="1602" spans="1:90" x14ac:dyDescent="0.3">
      <c r="A1602" t="s">
        <v>72</v>
      </c>
      <c r="B1602" t="s">
        <v>73</v>
      </c>
      <c r="C1602" t="s">
        <v>74</v>
      </c>
      <c r="E1602" t="str">
        <f>"080067185552"</f>
        <v>080067185552</v>
      </c>
      <c r="F1602" s="3">
        <v>45881</v>
      </c>
      <c r="G1602">
        <v>202605</v>
      </c>
      <c r="H1602" t="s">
        <v>75</v>
      </c>
      <c r="I1602" t="s">
        <v>76</v>
      </c>
      <c r="J1602" t="s">
        <v>77</v>
      </c>
      <c r="K1602" t="s">
        <v>78</v>
      </c>
      <c r="L1602" t="s">
        <v>207</v>
      </c>
      <c r="M1602" t="s">
        <v>208</v>
      </c>
      <c r="N1602" t="s">
        <v>209</v>
      </c>
      <c r="O1602" t="s">
        <v>82</v>
      </c>
      <c r="P1602" t="str">
        <f>"4170054255                    "</f>
        <v xml:space="preserve">4170054255                    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0</v>
      </c>
      <c r="AO1602">
        <v>0</v>
      </c>
      <c r="AP1602">
        <v>0</v>
      </c>
      <c r="AQ1602">
        <v>44.73</v>
      </c>
      <c r="AR1602">
        <v>0</v>
      </c>
      <c r="AS1602">
        <v>0</v>
      </c>
      <c r="AT1602">
        <v>0</v>
      </c>
      <c r="AU1602">
        <v>0</v>
      </c>
      <c r="AV1602">
        <v>0</v>
      </c>
      <c r="AW1602">
        <v>0</v>
      </c>
      <c r="AX1602">
        <v>0</v>
      </c>
      <c r="AY1602">
        <v>0</v>
      </c>
      <c r="AZ1602">
        <v>0</v>
      </c>
      <c r="BA1602">
        <v>0</v>
      </c>
      <c r="BB1602">
        <v>0</v>
      </c>
      <c r="BC1602">
        <v>0</v>
      </c>
      <c r="BD1602">
        <v>0</v>
      </c>
      <c r="BE1602">
        <v>0</v>
      </c>
      <c r="BF1602">
        <v>0</v>
      </c>
      <c r="BG1602">
        <v>0</v>
      </c>
      <c r="BH1602">
        <v>1</v>
      </c>
      <c r="BI1602">
        <v>1</v>
      </c>
      <c r="BJ1602">
        <v>0.2</v>
      </c>
      <c r="BK1602">
        <v>1</v>
      </c>
      <c r="BL1602">
        <v>138.88999999999999</v>
      </c>
      <c r="BM1602">
        <v>20.83</v>
      </c>
      <c r="BN1602">
        <v>159.72</v>
      </c>
      <c r="BO1602">
        <v>159.72</v>
      </c>
      <c r="BQ1602" t="s">
        <v>313</v>
      </c>
      <c r="BR1602" t="s">
        <v>84</v>
      </c>
      <c r="BS1602" s="3">
        <v>45882</v>
      </c>
      <c r="BT1602" s="4">
        <v>0.49722222222222223</v>
      </c>
      <c r="BU1602" t="s">
        <v>2257</v>
      </c>
      <c r="BV1602" t="s">
        <v>86</v>
      </c>
      <c r="BY1602">
        <v>1200</v>
      </c>
      <c r="CA1602" t="s">
        <v>457</v>
      </c>
      <c r="CC1602" t="s">
        <v>208</v>
      </c>
      <c r="CD1602">
        <v>7299</v>
      </c>
      <c r="CE1602" t="s">
        <v>109</v>
      </c>
      <c r="CF1602" s="3">
        <v>45883</v>
      </c>
      <c r="CI1602">
        <v>1</v>
      </c>
      <c r="CJ1602">
        <v>1</v>
      </c>
      <c r="CK1602">
        <v>23</v>
      </c>
      <c r="CL1602" t="s">
        <v>90</v>
      </c>
    </row>
    <row r="1603" spans="1:90" x14ac:dyDescent="0.3">
      <c r="A1603" t="s">
        <v>72</v>
      </c>
      <c r="B1603" t="s">
        <v>73</v>
      </c>
      <c r="C1603" t="s">
        <v>74</v>
      </c>
      <c r="E1603" t="str">
        <f>"080067185641"</f>
        <v>080067185641</v>
      </c>
      <c r="F1603" s="3">
        <v>45881</v>
      </c>
      <c r="G1603">
        <v>202605</v>
      </c>
      <c r="H1603" t="s">
        <v>75</v>
      </c>
      <c r="I1603" t="s">
        <v>76</v>
      </c>
      <c r="J1603" t="s">
        <v>77</v>
      </c>
      <c r="K1603" t="s">
        <v>78</v>
      </c>
      <c r="L1603" t="s">
        <v>241</v>
      </c>
      <c r="M1603" t="s">
        <v>242</v>
      </c>
      <c r="N1603" t="s">
        <v>978</v>
      </c>
      <c r="O1603" t="s">
        <v>82</v>
      </c>
      <c r="P1603" t="str">
        <f>"4170054210                    "</f>
        <v xml:space="preserve">4170054210                    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Q1603">
        <v>18.03</v>
      </c>
      <c r="AR1603">
        <v>0</v>
      </c>
      <c r="AS1603">
        <v>0</v>
      </c>
      <c r="AT1603">
        <v>0</v>
      </c>
      <c r="AU1603">
        <v>0</v>
      </c>
      <c r="AV1603">
        <v>0</v>
      </c>
      <c r="AW1603">
        <v>0</v>
      </c>
      <c r="AX1603">
        <v>0</v>
      </c>
      <c r="AY1603">
        <v>0</v>
      </c>
      <c r="AZ1603">
        <v>0</v>
      </c>
      <c r="BA1603">
        <v>0</v>
      </c>
      <c r="BB1603">
        <v>0</v>
      </c>
      <c r="BC1603">
        <v>0</v>
      </c>
      <c r="BD1603">
        <v>0</v>
      </c>
      <c r="BE1603">
        <v>0</v>
      </c>
      <c r="BF1603">
        <v>0</v>
      </c>
      <c r="BG1603">
        <v>0</v>
      </c>
      <c r="BH1603">
        <v>1</v>
      </c>
      <c r="BI1603">
        <v>1</v>
      </c>
      <c r="BJ1603">
        <v>0.2</v>
      </c>
      <c r="BK1603">
        <v>1</v>
      </c>
      <c r="BL1603">
        <v>55.99</v>
      </c>
      <c r="BM1603">
        <v>8.4</v>
      </c>
      <c r="BN1603">
        <v>64.39</v>
      </c>
      <c r="BO1603">
        <v>64.39</v>
      </c>
      <c r="BQ1603" t="s">
        <v>1774</v>
      </c>
      <c r="BR1603" t="s">
        <v>84</v>
      </c>
      <c r="BS1603" s="3">
        <v>45882</v>
      </c>
      <c r="BT1603" s="4">
        <v>0.35902777777777778</v>
      </c>
      <c r="BU1603" t="s">
        <v>2284</v>
      </c>
      <c r="BV1603" t="s">
        <v>86</v>
      </c>
      <c r="BY1603">
        <v>1200</v>
      </c>
      <c r="CA1603" t="s">
        <v>720</v>
      </c>
      <c r="CC1603" t="s">
        <v>242</v>
      </c>
      <c r="CD1603">
        <v>1459</v>
      </c>
      <c r="CE1603" t="s">
        <v>109</v>
      </c>
      <c r="CF1603" s="3">
        <v>45882</v>
      </c>
      <c r="CI1603">
        <v>1</v>
      </c>
      <c r="CJ1603">
        <v>1</v>
      </c>
      <c r="CK1603">
        <v>22</v>
      </c>
      <c r="CL1603" t="s">
        <v>90</v>
      </c>
    </row>
    <row r="1604" spans="1:90" x14ac:dyDescent="0.3">
      <c r="A1604" t="s">
        <v>72</v>
      </c>
      <c r="B1604" t="s">
        <v>73</v>
      </c>
      <c r="C1604" t="s">
        <v>74</v>
      </c>
      <c r="E1604" t="str">
        <f>"080067185663"</f>
        <v>080067185663</v>
      </c>
      <c r="F1604" s="3">
        <v>45881</v>
      </c>
      <c r="G1604">
        <v>202605</v>
      </c>
      <c r="H1604" t="s">
        <v>75</v>
      </c>
      <c r="I1604" t="s">
        <v>76</v>
      </c>
      <c r="J1604" t="s">
        <v>77</v>
      </c>
      <c r="K1604" t="s">
        <v>78</v>
      </c>
      <c r="L1604" t="s">
        <v>217</v>
      </c>
      <c r="M1604" t="s">
        <v>218</v>
      </c>
      <c r="N1604" t="s">
        <v>219</v>
      </c>
      <c r="O1604" t="s">
        <v>82</v>
      </c>
      <c r="P1604" t="str">
        <f>"4170054307                    "</f>
        <v xml:space="preserve">4170054307                    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Q1604">
        <v>69.22</v>
      </c>
      <c r="AR1604">
        <v>0</v>
      </c>
      <c r="AS1604">
        <v>0</v>
      </c>
      <c r="AT1604">
        <v>0</v>
      </c>
      <c r="AU1604">
        <v>0</v>
      </c>
      <c r="AV1604">
        <v>0</v>
      </c>
      <c r="AW1604">
        <v>0</v>
      </c>
      <c r="AX1604">
        <v>0</v>
      </c>
      <c r="AY1604">
        <v>0</v>
      </c>
      <c r="AZ1604">
        <v>0</v>
      </c>
      <c r="BA1604">
        <v>0</v>
      </c>
      <c r="BB1604">
        <v>0</v>
      </c>
      <c r="BC1604">
        <v>0</v>
      </c>
      <c r="BD1604">
        <v>0</v>
      </c>
      <c r="BE1604">
        <v>0</v>
      </c>
      <c r="BF1604">
        <v>0</v>
      </c>
      <c r="BG1604">
        <v>0</v>
      </c>
      <c r="BH1604">
        <v>1</v>
      </c>
      <c r="BI1604">
        <v>6</v>
      </c>
      <c r="BJ1604">
        <v>4.5</v>
      </c>
      <c r="BK1604">
        <v>6</v>
      </c>
      <c r="BL1604">
        <v>214.94</v>
      </c>
      <c r="BM1604">
        <v>32.24</v>
      </c>
      <c r="BN1604">
        <v>247.18</v>
      </c>
      <c r="BO1604">
        <v>247.18</v>
      </c>
      <c r="BQ1604" t="s">
        <v>220</v>
      </c>
      <c r="BR1604" t="s">
        <v>84</v>
      </c>
      <c r="BS1604" s="3">
        <v>45882</v>
      </c>
      <c r="BT1604" s="4">
        <v>0.34722222222222221</v>
      </c>
      <c r="BU1604" t="s">
        <v>221</v>
      </c>
      <c r="BV1604" t="s">
        <v>86</v>
      </c>
      <c r="BY1604">
        <v>22400</v>
      </c>
      <c r="CA1604" t="s">
        <v>566</v>
      </c>
      <c r="CC1604" t="s">
        <v>218</v>
      </c>
      <c r="CD1604">
        <v>4051</v>
      </c>
      <c r="CE1604" t="s">
        <v>117</v>
      </c>
      <c r="CF1604" s="3">
        <v>45882</v>
      </c>
      <c r="CI1604">
        <v>1</v>
      </c>
      <c r="CJ1604">
        <v>1</v>
      </c>
      <c r="CK1604">
        <v>21</v>
      </c>
      <c r="CL1604" t="s">
        <v>90</v>
      </c>
    </row>
    <row r="1605" spans="1:90" x14ac:dyDescent="0.3">
      <c r="A1605" t="s">
        <v>72</v>
      </c>
      <c r="B1605" t="s">
        <v>73</v>
      </c>
      <c r="C1605" t="s">
        <v>74</v>
      </c>
      <c r="E1605" t="str">
        <f>"080067185776"</f>
        <v>080067185776</v>
      </c>
      <c r="F1605" s="3">
        <v>45881</v>
      </c>
      <c r="G1605">
        <v>202605</v>
      </c>
      <c r="H1605" t="s">
        <v>75</v>
      </c>
      <c r="I1605" t="s">
        <v>76</v>
      </c>
      <c r="J1605" t="s">
        <v>77</v>
      </c>
      <c r="K1605" t="s">
        <v>78</v>
      </c>
      <c r="L1605" t="s">
        <v>75</v>
      </c>
      <c r="M1605" t="s">
        <v>76</v>
      </c>
      <c r="N1605" t="s">
        <v>2285</v>
      </c>
      <c r="O1605" t="s">
        <v>82</v>
      </c>
      <c r="P1605" t="str">
        <f>"4170054313                    "</f>
        <v xml:space="preserve">4170054313                    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>
        <v>18.03</v>
      </c>
      <c r="AR1605">
        <v>0</v>
      </c>
      <c r="AS1605">
        <v>0</v>
      </c>
      <c r="AT1605">
        <v>0</v>
      </c>
      <c r="AU1605">
        <v>0</v>
      </c>
      <c r="AV1605">
        <v>0</v>
      </c>
      <c r="AW1605">
        <v>0</v>
      </c>
      <c r="AX1605">
        <v>0</v>
      </c>
      <c r="AY1605">
        <v>0</v>
      </c>
      <c r="AZ1605">
        <v>0</v>
      </c>
      <c r="BA1605">
        <v>0</v>
      </c>
      <c r="BB1605">
        <v>0</v>
      </c>
      <c r="BC1605">
        <v>0</v>
      </c>
      <c r="BD1605">
        <v>0</v>
      </c>
      <c r="BE1605">
        <v>0</v>
      </c>
      <c r="BF1605">
        <v>0</v>
      </c>
      <c r="BG1605">
        <v>0</v>
      </c>
      <c r="BH1605">
        <v>1</v>
      </c>
      <c r="BI1605">
        <v>1</v>
      </c>
      <c r="BJ1605">
        <v>0.2</v>
      </c>
      <c r="BK1605">
        <v>1</v>
      </c>
      <c r="BL1605">
        <v>55.99</v>
      </c>
      <c r="BM1605">
        <v>8.4</v>
      </c>
      <c r="BN1605">
        <v>64.39</v>
      </c>
      <c r="BO1605">
        <v>64.39</v>
      </c>
      <c r="BQ1605" t="s">
        <v>2286</v>
      </c>
      <c r="BR1605" t="s">
        <v>84</v>
      </c>
      <c r="BS1605" s="3">
        <v>45882</v>
      </c>
      <c r="BT1605" s="4">
        <v>0.34166666666666667</v>
      </c>
      <c r="BU1605" t="s">
        <v>2287</v>
      </c>
      <c r="BV1605" t="s">
        <v>86</v>
      </c>
      <c r="BY1605">
        <v>1200</v>
      </c>
      <c r="CA1605" t="s">
        <v>1743</v>
      </c>
      <c r="CC1605" t="s">
        <v>76</v>
      </c>
      <c r="CD1605">
        <v>1600</v>
      </c>
      <c r="CE1605" t="s">
        <v>109</v>
      </c>
      <c r="CF1605" s="3">
        <v>45882</v>
      </c>
      <c r="CI1605">
        <v>1</v>
      </c>
      <c r="CJ1605">
        <v>1</v>
      </c>
      <c r="CK1605">
        <v>22</v>
      </c>
      <c r="CL1605" t="s">
        <v>90</v>
      </c>
    </row>
    <row r="1606" spans="1:90" x14ac:dyDescent="0.3">
      <c r="A1606" t="s">
        <v>72</v>
      </c>
      <c r="B1606" t="s">
        <v>73</v>
      </c>
      <c r="C1606" t="s">
        <v>74</v>
      </c>
      <c r="E1606" t="str">
        <f>"080067185804"</f>
        <v>080067185804</v>
      </c>
      <c r="F1606" s="3">
        <v>45881</v>
      </c>
      <c r="G1606">
        <v>202605</v>
      </c>
      <c r="H1606" t="s">
        <v>75</v>
      </c>
      <c r="I1606" t="s">
        <v>76</v>
      </c>
      <c r="J1606" t="s">
        <v>77</v>
      </c>
      <c r="K1606" t="s">
        <v>78</v>
      </c>
      <c r="L1606" t="s">
        <v>198</v>
      </c>
      <c r="M1606" t="s">
        <v>199</v>
      </c>
      <c r="N1606" t="s">
        <v>342</v>
      </c>
      <c r="O1606" t="s">
        <v>82</v>
      </c>
      <c r="P1606" t="str">
        <f>"4170054325                    "</f>
        <v xml:space="preserve">4170054325                    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Q1606">
        <v>23.09</v>
      </c>
      <c r="AR1606">
        <v>0</v>
      </c>
      <c r="AS1606">
        <v>0</v>
      </c>
      <c r="AT1606">
        <v>0</v>
      </c>
      <c r="AU1606">
        <v>0</v>
      </c>
      <c r="AV1606">
        <v>0</v>
      </c>
      <c r="AW1606">
        <v>0</v>
      </c>
      <c r="AX1606">
        <v>0</v>
      </c>
      <c r="AY1606">
        <v>0</v>
      </c>
      <c r="AZ1606">
        <v>0</v>
      </c>
      <c r="BA1606">
        <v>0</v>
      </c>
      <c r="BB1606">
        <v>0</v>
      </c>
      <c r="BC1606">
        <v>0</v>
      </c>
      <c r="BD1606">
        <v>0</v>
      </c>
      <c r="BE1606">
        <v>0</v>
      </c>
      <c r="BF1606">
        <v>0</v>
      </c>
      <c r="BG1606">
        <v>0</v>
      </c>
      <c r="BH1606">
        <v>1</v>
      </c>
      <c r="BI1606">
        <v>1</v>
      </c>
      <c r="BJ1606">
        <v>0.2</v>
      </c>
      <c r="BK1606">
        <v>1</v>
      </c>
      <c r="BL1606">
        <v>71.69</v>
      </c>
      <c r="BM1606">
        <v>10.75</v>
      </c>
      <c r="BN1606">
        <v>82.44</v>
      </c>
      <c r="BO1606">
        <v>82.44</v>
      </c>
      <c r="BQ1606" t="s">
        <v>343</v>
      </c>
      <c r="BR1606" t="s">
        <v>84</v>
      </c>
      <c r="BS1606" s="3">
        <v>45882</v>
      </c>
      <c r="BT1606" s="4">
        <v>0.41319444444444442</v>
      </c>
      <c r="BU1606" t="s">
        <v>344</v>
      </c>
      <c r="BV1606" t="s">
        <v>86</v>
      </c>
      <c r="BY1606">
        <v>1200</v>
      </c>
      <c r="CA1606" t="s">
        <v>1570</v>
      </c>
      <c r="CC1606" t="s">
        <v>199</v>
      </c>
      <c r="CD1606">
        <v>6001</v>
      </c>
      <c r="CE1606" t="s">
        <v>109</v>
      </c>
      <c r="CF1606" s="3">
        <v>45882</v>
      </c>
      <c r="CI1606">
        <v>1</v>
      </c>
      <c r="CJ1606">
        <v>1</v>
      </c>
      <c r="CK1606">
        <v>21</v>
      </c>
      <c r="CL1606" t="s">
        <v>90</v>
      </c>
    </row>
    <row r="1607" spans="1:90" x14ac:dyDescent="0.3">
      <c r="A1607" t="s">
        <v>72</v>
      </c>
      <c r="B1607" t="s">
        <v>73</v>
      </c>
      <c r="C1607" t="s">
        <v>74</v>
      </c>
      <c r="E1607" t="str">
        <f>"080067185822"</f>
        <v>080067185822</v>
      </c>
      <c r="F1607" s="3">
        <v>45881</v>
      </c>
      <c r="G1607">
        <v>202605</v>
      </c>
      <c r="H1607" t="s">
        <v>75</v>
      </c>
      <c r="I1607" t="s">
        <v>76</v>
      </c>
      <c r="J1607" t="s">
        <v>77</v>
      </c>
      <c r="K1607" t="s">
        <v>78</v>
      </c>
      <c r="L1607" t="s">
        <v>1510</v>
      </c>
      <c r="M1607" t="s">
        <v>1511</v>
      </c>
      <c r="N1607" t="s">
        <v>1512</v>
      </c>
      <c r="O1607" t="s">
        <v>82</v>
      </c>
      <c r="P1607" t="str">
        <f>"4170054322                    "</f>
        <v xml:space="preserve">4170054322                    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Q1607">
        <v>23.09</v>
      </c>
      <c r="AR1607">
        <v>0</v>
      </c>
      <c r="AS1607">
        <v>0</v>
      </c>
      <c r="AT1607">
        <v>0</v>
      </c>
      <c r="AU1607">
        <v>0</v>
      </c>
      <c r="AV1607">
        <v>0</v>
      </c>
      <c r="AW1607">
        <v>0</v>
      </c>
      <c r="AX1607">
        <v>0</v>
      </c>
      <c r="AY1607">
        <v>0</v>
      </c>
      <c r="AZ1607">
        <v>0</v>
      </c>
      <c r="BA1607">
        <v>0</v>
      </c>
      <c r="BB1607">
        <v>0</v>
      </c>
      <c r="BC1607">
        <v>0</v>
      </c>
      <c r="BD1607">
        <v>0</v>
      </c>
      <c r="BE1607">
        <v>0</v>
      </c>
      <c r="BF1607">
        <v>0</v>
      </c>
      <c r="BG1607">
        <v>0</v>
      </c>
      <c r="BH1607">
        <v>1</v>
      </c>
      <c r="BI1607">
        <v>1</v>
      </c>
      <c r="BJ1607">
        <v>0.2</v>
      </c>
      <c r="BK1607">
        <v>1</v>
      </c>
      <c r="BL1607">
        <v>71.69</v>
      </c>
      <c r="BM1607">
        <v>10.75</v>
      </c>
      <c r="BN1607">
        <v>82.44</v>
      </c>
      <c r="BO1607">
        <v>82.44</v>
      </c>
      <c r="BQ1607" t="s">
        <v>1513</v>
      </c>
      <c r="BR1607" t="s">
        <v>84</v>
      </c>
      <c r="BS1607" s="3">
        <v>45882</v>
      </c>
      <c r="BT1607" s="4">
        <v>0.51736111111111116</v>
      </c>
      <c r="BU1607" t="s">
        <v>2288</v>
      </c>
      <c r="BV1607" t="s">
        <v>86</v>
      </c>
      <c r="BY1607">
        <v>1200</v>
      </c>
      <c r="CA1607" t="s">
        <v>2289</v>
      </c>
      <c r="CC1607" t="s">
        <v>1511</v>
      </c>
      <c r="CD1607">
        <v>6529</v>
      </c>
      <c r="CE1607" t="s">
        <v>109</v>
      </c>
      <c r="CF1607" s="3">
        <v>45882</v>
      </c>
      <c r="CI1607">
        <v>1</v>
      </c>
      <c r="CJ1607">
        <v>1</v>
      </c>
      <c r="CK1607">
        <v>21</v>
      </c>
      <c r="CL1607" t="s">
        <v>90</v>
      </c>
    </row>
    <row r="1608" spans="1:90" x14ac:dyDescent="0.3">
      <c r="A1608" t="s">
        <v>72</v>
      </c>
      <c r="B1608" t="s">
        <v>73</v>
      </c>
      <c r="C1608" t="s">
        <v>74</v>
      </c>
      <c r="E1608" t="str">
        <f>"080067186018"</f>
        <v>080067186018</v>
      </c>
      <c r="F1608" s="3">
        <v>45881</v>
      </c>
      <c r="G1608">
        <v>202605</v>
      </c>
      <c r="H1608" t="s">
        <v>75</v>
      </c>
      <c r="I1608" t="s">
        <v>76</v>
      </c>
      <c r="J1608" t="s">
        <v>77</v>
      </c>
      <c r="K1608" t="s">
        <v>78</v>
      </c>
      <c r="L1608" t="s">
        <v>1622</v>
      </c>
      <c r="M1608" t="s">
        <v>1623</v>
      </c>
      <c r="N1608" t="s">
        <v>1465</v>
      </c>
      <c r="O1608" t="s">
        <v>82</v>
      </c>
      <c r="P1608" t="str">
        <f>"4170054218                    "</f>
        <v xml:space="preserve">4170054218                    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>
        <v>0</v>
      </c>
      <c r="AQ1608">
        <v>23.09</v>
      </c>
      <c r="AR1608">
        <v>0</v>
      </c>
      <c r="AS1608">
        <v>0</v>
      </c>
      <c r="AT1608">
        <v>0</v>
      </c>
      <c r="AU1608">
        <v>0</v>
      </c>
      <c r="AV1608">
        <v>0</v>
      </c>
      <c r="AW1608">
        <v>0</v>
      </c>
      <c r="AX1608">
        <v>0</v>
      </c>
      <c r="AY1608">
        <v>0</v>
      </c>
      <c r="AZ1608">
        <v>0</v>
      </c>
      <c r="BA1608">
        <v>0</v>
      </c>
      <c r="BB1608">
        <v>0</v>
      </c>
      <c r="BC1608">
        <v>0</v>
      </c>
      <c r="BD1608">
        <v>0</v>
      </c>
      <c r="BE1608">
        <v>0</v>
      </c>
      <c r="BF1608">
        <v>0</v>
      </c>
      <c r="BG1608">
        <v>0</v>
      </c>
      <c r="BH1608">
        <v>1</v>
      </c>
      <c r="BI1608">
        <v>1</v>
      </c>
      <c r="BJ1608">
        <v>0.6</v>
      </c>
      <c r="BK1608">
        <v>1</v>
      </c>
      <c r="BL1608">
        <v>71.69</v>
      </c>
      <c r="BM1608">
        <v>10.75</v>
      </c>
      <c r="BN1608">
        <v>82.44</v>
      </c>
      <c r="BO1608">
        <v>82.44</v>
      </c>
      <c r="BQ1608" t="s">
        <v>1466</v>
      </c>
      <c r="BR1608" t="s">
        <v>84</v>
      </c>
      <c r="BS1608" s="3">
        <v>45882</v>
      </c>
      <c r="BT1608" s="4">
        <v>0.40138888888888891</v>
      </c>
      <c r="BU1608" t="s">
        <v>2282</v>
      </c>
      <c r="BV1608" t="s">
        <v>86</v>
      </c>
      <c r="BY1608">
        <v>3192</v>
      </c>
      <c r="CA1608" t="s">
        <v>1624</v>
      </c>
      <c r="CC1608" t="s">
        <v>1623</v>
      </c>
      <c r="CD1608" s="5" t="s">
        <v>1625</v>
      </c>
      <c r="CE1608" t="s">
        <v>147</v>
      </c>
      <c r="CF1608" s="3">
        <v>45882</v>
      </c>
      <c r="CI1608">
        <v>1</v>
      </c>
      <c r="CJ1608">
        <v>1</v>
      </c>
      <c r="CK1608">
        <v>21</v>
      </c>
      <c r="CL1608" t="s">
        <v>90</v>
      </c>
    </row>
    <row r="1609" spans="1:90" x14ac:dyDescent="0.3">
      <c r="A1609" t="s">
        <v>72</v>
      </c>
      <c r="B1609" t="s">
        <v>73</v>
      </c>
      <c r="C1609" t="s">
        <v>74</v>
      </c>
      <c r="E1609" t="str">
        <f>"080067186070"</f>
        <v>080067186070</v>
      </c>
      <c r="F1609" s="3">
        <v>45881</v>
      </c>
      <c r="G1609">
        <v>202605</v>
      </c>
      <c r="H1609" t="s">
        <v>75</v>
      </c>
      <c r="I1609" t="s">
        <v>76</v>
      </c>
      <c r="J1609" t="s">
        <v>77</v>
      </c>
      <c r="K1609" t="s">
        <v>78</v>
      </c>
      <c r="L1609" t="s">
        <v>1275</v>
      </c>
      <c r="M1609" t="s">
        <v>1276</v>
      </c>
      <c r="N1609" t="s">
        <v>2290</v>
      </c>
      <c r="O1609" t="s">
        <v>82</v>
      </c>
      <c r="P1609" t="str">
        <f>"4170054318                    "</f>
        <v xml:space="preserve">4170054318                    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>
        <v>0</v>
      </c>
      <c r="AQ1609">
        <v>44.73</v>
      </c>
      <c r="AR1609">
        <v>0</v>
      </c>
      <c r="AS1609">
        <v>0</v>
      </c>
      <c r="AT1609">
        <v>0</v>
      </c>
      <c r="AU1609">
        <v>0</v>
      </c>
      <c r="AV1609">
        <v>0</v>
      </c>
      <c r="AW1609">
        <v>0</v>
      </c>
      <c r="AX1609">
        <v>0</v>
      </c>
      <c r="AY1609">
        <v>0</v>
      </c>
      <c r="AZ1609">
        <v>0</v>
      </c>
      <c r="BA1609">
        <v>0</v>
      </c>
      <c r="BB1609">
        <v>0</v>
      </c>
      <c r="BC1609">
        <v>0</v>
      </c>
      <c r="BD1609">
        <v>0</v>
      </c>
      <c r="BE1609">
        <v>0</v>
      </c>
      <c r="BF1609">
        <v>0</v>
      </c>
      <c r="BG1609">
        <v>0</v>
      </c>
      <c r="BH1609">
        <v>1</v>
      </c>
      <c r="BI1609">
        <v>1</v>
      </c>
      <c r="BJ1609">
        <v>0.2</v>
      </c>
      <c r="BK1609">
        <v>1</v>
      </c>
      <c r="BL1609">
        <v>138.88999999999999</v>
      </c>
      <c r="BM1609">
        <v>20.83</v>
      </c>
      <c r="BN1609">
        <v>159.72</v>
      </c>
      <c r="BO1609">
        <v>159.72</v>
      </c>
      <c r="BQ1609" t="s">
        <v>2291</v>
      </c>
      <c r="BR1609" t="s">
        <v>84</v>
      </c>
      <c r="BS1609" s="3">
        <v>45882</v>
      </c>
      <c r="BT1609" s="4">
        <v>0.35902777777777778</v>
      </c>
      <c r="BU1609" t="s">
        <v>2292</v>
      </c>
      <c r="BV1609" t="s">
        <v>86</v>
      </c>
      <c r="BY1609">
        <v>1200</v>
      </c>
      <c r="CA1609" t="s">
        <v>2293</v>
      </c>
      <c r="CC1609" t="s">
        <v>1276</v>
      </c>
      <c r="CD1609">
        <v>1911</v>
      </c>
      <c r="CE1609" t="s">
        <v>109</v>
      </c>
      <c r="CF1609" s="3">
        <v>45883</v>
      </c>
      <c r="CI1609">
        <v>1</v>
      </c>
      <c r="CJ1609">
        <v>1</v>
      </c>
      <c r="CK1609">
        <v>23</v>
      </c>
      <c r="CL1609" t="s">
        <v>90</v>
      </c>
    </row>
    <row r="1610" spans="1:90" x14ac:dyDescent="0.3">
      <c r="A1610" t="s">
        <v>72</v>
      </c>
      <c r="B1610" t="s">
        <v>73</v>
      </c>
      <c r="C1610" t="s">
        <v>74</v>
      </c>
      <c r="E1610" t="str">
        <f>"080067186081"</f>
        <v>080067186081</v>
      </c>
      <c r="F1610" s="3">
        <v>45881</v>
      </c>
      <c r="G1610">
        <v>202605</v>
      </c>
      <c r="H1610" t="s">
        <v>75</v>
      </c>
      <c r="I1610" t="s">
        <v>76</v>
      </c>
      <c r="J1610" t="s">
        <v>77</v>
      </c>
      <c r="K1610" t="s">
        <v>78</v>
      </c>
      <c r="L1610" t="s">
        <v>217</v>
      </c>
      <c r="M1610" t="s">
        <v>218</v>
      </c>
      <c r="N1610" t="s">
        <v>1798</v>
      </c>
      <c r="O1610" t="s">
        <v>82</v>
      </c>
      <c r="P1610" t="str">
        <f>"4170054215                    "</f>
        <v xml:space="preserve">4170054215                    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Q1610">
        <v>23.09</v>
      </c>
      <c r="AR1610">
        <v>0</v>
      </c>
      <c r="AS1610">
        <v>0</v>
      </c>
      <c r="AT1610">
        <v>0</v>
      </c>
      <c r="AU1610">
        <v>0</v>
      </c>
      <c r="AV1610">
        <v>0</v>
      </c>
      <c r="AW1610">
        <v>0</v>
      </c>
      <c r="AX1610">
        <v>0</v>
      </c>
      <c r="AY1610">
        <v>0</v>
      </c>
      <c r="AZ1610">
        <v>0</v>
      </c>
      <c r="BA1610">
        <v>0</v>
      </c>
      <c r="BB1610">
        <v>0</v>
      </c>
      <c r="BC1610">
        <v>0</v>
      </c>
      <c r="BD1610">
        <v>0</v>
      </c>
      <c r="BE1610">
        <v>0</v>
      </c>
      <c r="BF1610">
        <v>0</v>
      </c>
      <c r="BG1610">
        <v>0</v>
      </c>
      <c r="BH1610">
        <v>1</v>
      </c>
      <c r="BI1610">
        <v>1</v>
      </c>
      <c r="BJ1610">
        <v>1.1000000000000001</v>
      </c>
      <c r="BK1610">
        <v>1.5</v>
      </c>
      <c r="BL1610">
        <v>71.69</v>
      </c>
      <c r="BM1610">
        <v>10.75</v>
      </c>
      <c r="BN1610">
        <v>82.44</v>
      </c>
      <c r="BO1610">
        <v>82.44</v>
      </c>
      <c r="BQ1610" t="s">
        <v>1799</v>
      </c>
      <c r="BR1610" t="s">
        <v>84</v>
      </c>
      <c r="BS1610" s="3">
        <v>45882</v>
      </c>
      <c r="BT1610" s="4">
        <v>0.43402777777777779</v>
      </c>
      <c r="BU1610" t="s">
        <v>1673</v>
      </c>
      <c r="BV1610" t="s">
        <v>86</v>
      </c>
      <c r="BY1610">
        <v>5320</v>
      </c>
      <c r="CA1610" t="s">
        <v>2294</v>
      </c>
      <c r="CC1610" t="s">
        <v>218</v>
      </c>
      <c r="CD1610">
        <v>4000</v>
      </c>
      <c r="CE1610" t="s">
        <v>147</v>
      </c>
      <c r="CF1610" s="3">
        <v>45882</v>
      </c>
      <c r="CI1610">
        <v>1</v>
      </c>
      <c r="CJ1610">
        <v>1</v>
      </c>
      <c r="CK1610">
        <v>21</v>
      </c>
      <c r="CL1610" t="s">
        <v>90</v>
      </c>
    </row>
    <row r="1611" spans="1:90" x14ac:dyDescent="0.3">
      <c r="A1611" t="s">
        <v>72</v>
      </c>
      <c r="B1611" t="s">
        <v>73</v>
      </c>
      <c r="C1611" t="s">
        <v>74</v>
      </c>
      <c r="E1611" t="str">
        <f>"080067186113"</f>
        <v>080067186113</v>
      </c>
      <c r="F1611" s="3">
        <v>45881</v>
      </c>
      <c r="G1611">
        <v>202605</v>
      </c>
      <c r="H1611" t="s">
        <v>75</v>
      </c>
      <c r="I1611" t="s">
        <v>76</v>
      </c>
      <c r="J1611" t="s">
        <v>77</v>
      </c>
      <c r="K1611" t="s">
        <v>78</v>
      </c>
      <c r="L1611" t="s">
        <v>278</v>
      </c>
      <c r="M1611" t="s">
        <v>279</v>
      </c>
      <c r="N1611" t="s">
        <v>2295</v>
      </c>
      <c r="O1611" t="s">
        <v>82</v>
      </c>
      <c r="P1611" t="str">
        <f>"4170054235                    "</f>
        <v xml:space="preserve">4170054235                    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0</v>
      </c>
      <c r="AP1611">
        <v>0</v>
      </c>
      <c r="AQ1611">
        <v>23.09</v>
      </c>
      <c r="AR1611">
        <v>0</v>
      </c>
      <c r="AS1611">
        <v>0</v>
      </c>
      <c r="AT1611">
        <v>0</v>
      </c>
      <c r="AU1611">
        <v>0</v>
      </c>
      <c r="AV1611">
        <v>0</v>
      </c>
      <c r="AW1611">
        <v>0</v>
      </c>
      <c r="AX1611">
        <v>0</v>
      </c>
      <c r="AY1611">
        <v>0</v>
      </c>
      <c r="AZ1611">
        <v>0</v>
      </c>
      <c r="BA1611">
        <v>0</v>
      </c>
      <c r="BB1611">
        <v>0</v>
      </c>
      <c r="BC1611">
        <v>0</v>
      </c>
      <c r="BD1611">
        <v>0</v>
      </c>
      <c r="BE1611">
        <v>0</v>
      </c>
      <c r="BF1611">
        <v>0</v>
      </c>
      <c r="BG1611">
        <v>0</v>
      </c>
      <c r="BH1611">
        <v>1</v>
      </c>
      <c r="BI1611">
        <v>1</v>
      </c>
      <c r="BJ1611">
        <v>0.2</v>
      </c>
      <c r="BK1611">
        <v>1</v>
      </c>
      <c r="BL1611">
        <v>71.69</v>
      </c>
      <c r="BM1611">
        <v>10.75</v>
      </c>
      <c r="BN1611">
        <v>82.44</v>
      </c>
      <c r="BO1611">
        <v>82.44</v>
      </c>
      <c r="BQ1611" t="s">
        <v>2296</v>
      </c>
      <c r="BR1611" t="s">
        <v>84</v>
      </c>
      <c r="BS1611" s="3">
        <v>45882</v>
      </c>
      <c r="BT1611" s="4">
        <v>0.38541666666666669</v>
      </c>
      <c r="BU1611" t="s">
        <v>2297</v>
      </c>
      <c r="BV1611" t="s">
        <v>86</v>
      </c>
      <c r="BY1611">
        <v>1200</v>
      </c>
      <c r="CA1611" t="s">
        <v>283</v>
      </c>
      <c r="CC1611" t="s">
        <v>279</v>
      </c>
      <c r="CD1611" s="5" t="s">
        <v>652</v>
      </c>
      <c r="CE1611" t="s">
        <v>109</v>
      </c>
      <c r="CF1611" s="3">
        <v>45882</v>
      </c>
      <c r="CI1611">
        <v>1</v>
      </c>
      <c r="CJ1611">
        <v>1</v>
      </c>
      <c r="CK1611">
        <v>21</v>
      </c>
      <c r="CL1611" t="s">
        <v>90</v>
      </c>
    </row>
    <row r="1612" spans="1:90" x14ac:dyDescent="0.3">
      <c r="A1612" t="s">
        <v>72</v>
      </c>
      <c r="B1612" t="s">
        <v>73</v>
      </c>
      <c r="C1612" t="s">
        <v>74</v>
      </c>
      <c r="E1612" t="str">
        <f>"080067186133"</f>
        <v>080067186133</v>
      </c>
      <c r="F1612" s="3">
        <v>45881</v>
      </c>
      <c r="G1612">
        <v>202605</v>
      </c>
      <c r="H1612" t="s">
        <v>75</v>
      </c>
      <c r="I1612" t="s">
        <v>76</v>
      </c>
      <c r="J1612" t="s">
        <v>77</v>
      </c>
      <c r="K1612" t="s">
        <v>78</v>
      </c>
      <c r="L1612" t="s">
        <v>513</v>
      </c>
      <c r="M1612" t="s">
        <v>514</v>
      </c>
      <c r="N1612" t="s">
        <v>1017</v>
      </c>
      <c r="O1612" t="s">
        <v>82</v>
      </c>
      <c r="P1612" t="str">
        <f>"4170054314                    "</f>
        <v xml:space="preserve">4170054314                    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>
        <v>0</v>
      </c>
      <c r="AQ1612">
        <v>64.92</v>
      </c>
      <c r="AR1612">
        <v>0</v>
      </c>
      <c r="AS1612">
        <v>0</v>
      </c>
      <c r="AT1612">
        <v>0</v>
      </c>
      <c r="AU1612">
        <v>0</v>
      </c>
      <c r="AV1612">
        <v>0</v>
      </c>
      <c r="AW1612">
        <v>0</v>
      </c>
      <c r="AX1612">
        <v>0</v>
      </c>
      <c r="AY1612">
        <v>0</v>
      </c>
      <c r="AZ1612">
        <v>0</v>
      </c>
      <c r="BA1612">
        <v>0</v>
      </c>
      <c r="BB1612">
        <v>0</v>
      </c>
      <c r="BC1612">
        <v>0</v>
      </c>
      <c r="BD1612">
        <v>0</v>
      </c>
      <c r="BE1612">
        <v>0</v>
      </c>
      <c r="BF1612">
        <v>0</v>
      </c>
      <c r="BG1612">
        <v>0</v>
      </c>
      <c r="BH1612">
        <v>1</v>
      </c>
      <c r="BI1612">
        <v>3</v>
      </c>
      <c r="BJ1612">
        <v>2.1</v>
      </c>
      <c r="BK1612">
        <v>3</v>
      </c>
      <c r="BL1612">
        <v>201.6</v>
      </c>
      <c r="BM1612">
        <v>30.24</v>
      </c>
      <c r="BN1612">
        <v>231.84</v>
      </c>
      <c r="BO1612">
        <v>231.84</v>
      </c>
      <c r="BQ1612" t="s">
        <v>1018</v>
      </c>
      <c r="BR1612" t="s">
        <v>84</v>
      </c>
      <c r="BS1612" s="3">
        <v>45882</v>
      </c>
      <c r="BT1612" s="4">
        <v>0.40694444444444444</v>
      </c>
      <c r="BU1612" t="s">
        <v>2298</v>
      </c>
      <c r="BV1612" t="s">
        <v>86</v>
      </c>
      <c r="BY1612">
        <v>10260</v>
      </c>
      <c r="CA1612" t="s">
        <v>518</v>
      </c>
      <c r="CC1612" t="s">
        <v>514</v>
      </c>
      <c r="CD1612" s="5" t="s">
        <v>519</v>
      </c>
      <c r="CE1612" t="s">
        <v>117</v>
      </c>
      <c r="CF1612" s="3">
        <v>45883</v>
      </c>
      <c r="CI1612">
        <v>1</v>
      </c>
      <c r="CJ1612">
        <v>1</v>
      </c>
      <c r="CK1612">
        <v>23</v>
      </c>
      <c r="CL1612" t="s">
        <v>90</v>
      </c>
    </row>
    <row r="1613" spans="1:90" x14ac:dyDescent="0.3">
      <c r="A1613" t="s">
        <v>72</v>
      </c>
      <c r="B1613" t="s">
        <v>73</v>
      </c>
      <c r="C1613" t="s">
        <v>74</v>
      </c>
      <c r="E1613" t="str">
        <f>"080067186148"</f>
        <v>080067186148</v>
      </c>
      <c r="F1613" s="3">
        <v>45881</v>
      </c>
      <c r="G1613">
        <v>202605</v>
      </c>
      <c r="H1613" t="s">
        <v>75</v>
      </c>
      <c r="I1613" t="s">
        <v>76</v>
      </c>
      <c r="J1613" t="s">
        <v>77</v>
      </c>
      <c r="K1613" t="s">
        <v>78</v>
      </c>
      <c r="L1613" t="s">
        <v>75</v>
      </c>
      <c r="M1613" t="s">
        <v>76</v>
      </c>
      <c r="N1613" t="s">
        <v>143</v>
      </c>
      <c r="O1613" t="s">
        <v>82</v>
      </c>
      <c r="P1613" t="str">
        <f>"4170054254                    "</f>
        <v xml:space="preserve">4170054254                    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0</v>
      </c>
      <c r="AO1613">
        <v>0</v>
      </c>
      <c r="AP1613">
        <v>0</v>
      </c>
      <c r="AQ1613">
        <v>18.03</v>
      </c>
      <c r="AR1613">
        <v>0</v>
      </c>
      <c r="AS1613">
        <v>0</v>
      </c>
      <c r="AT1613">
        <v>0</v>
      </c>
      <c r="AU1613">
        <v>0</v>
      </c>
      <c r="AV1613">
        <v>0</v>
      </c>
      <c r="AW1613">
        <v>0</v>
      </c>
      <c r="AX1613">
        <v>0</v>
      </c>
      <c r="AY1613">
        <v>0</v>
      </c>
      <c r="AZ1613">
        <v>0</v>
      </c>
      <c r="BA1613">
        <v>0</v>
      </c>
      <c r="BB1613">
        <v>0</v>
      </c>
      <c r="BC1613">
        <v>0</v>
      </c>
      <c r="BD1613">
        <v>0</v>
      </c>
      <c r="BE1613">
        <v>0</v>
      </c>
      <c r="BF1613">
        <v>0</v>
      </c>
      <c r="BG1613">
        <v>0</v>
      </c>
      <c r="BH1613">
        <v>1</v>
      </c>
      <c r="BI1613">
        <v>1</v>
      </c>
      <c r="BJ1613">
        <v>0.2</v>
      </c>
      <c r="BK1613">
        <v>1</v>
      </c>
      <c r="BL1613">
        <v>55.99</v>
      </c>
      <c r="BM1613">
        <v>8.4</v>
      </c>
      <c r="BN1613">
        <v>64.39</v>
      </c>
      <c r="BO1613">
        <v>64.39</v>
      </c>
      <c r="BQ1613" t="s">
        <v>144</v>
      </c>
      <c r="BR1613" t="s">
        <v>84</v>
      </c>
      <c r="BS1613" s="3">
        <v>45882</v>
      </c>
      <c r="BT1613" s="4">
        <v>0.42499999999999999</v>
      </c>
      <c r="BU1613" t="s">
        <v>2299</v>
      </c>
      <c r="BV1613" t="s">
        <v>86</v>
      </c>
      <c r="BY1613">
        <v>1200</v>
      </c>
      <c r="CA1613" t="s">
        <v>146</v>
      </c>
      <c r="CC1613" t="s">
        <v>76</v>
      </c>
      <c r="CD1613">
        <v>1610</v>
      </c>
      <c r="CE1613" t="s">
        <v>109</v>
      </c>
      <c r="CF1613" s="3">
        <v>45882</v>
      </c>
      <c r="CI1613">
        <v>1</v>
      </c>
      <c r="CJ1613">
        <v>1</v>
      </c>
      <c r="CK1613">
        <v>22</v>
      </c>
      <c r="CL1613" t="s">
        <v>90</v>
      </c>
    </row>
    <row r="1614" spans="1:90" x14ac:dyDescent="0.3">
      <c r="A1614" t="s">
        <v>72</v>
      </c>
      <c r="B1614" t="s">
        <v>73</v>
      </c>
      <c r="C1614" t="s">
        <v>74</v>
      </c>
      <c r="E1614" t="str">
        <f>"080067186173"</f>
        <v>080067186173</v>
      </c>
      <c r="F1614" s="3">
        <v>45881</v>
      </c>
      <c r="G1614">
        <v>202605</v>
      </c>
      <c r="H1614" t="s">
        <v>75</v>
      </c>
      <c r="I1614" t="s">
        <v>76</v>
      </c>
      <c r="J1614" t="s">
        <v>77</v>
      </c>
      <c r="K1614" t="s">
        <v>78</v>
      </c>
      <c r="L1614" t="s">
        <v>278</v>
      </c>
      <c r="M1614" t="s">
        <v>279</v>
      </c>
      <c r="N1614" t="s">
        <v>866</v>
      </c>
      <c r="O1614" t="s">
        <v>82</v>
      </c>
      <c r="P1614" t="str">
        <f>"4170054221                    "</f>
        <v xml:space="preserve">4170054221                    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0</v>
      </c>
      <c r="AO1614">
        <v>0</v>
      </c>
      <c r="AP1614">
        <v>0</v>
      </c>
      <c r="AQ1614">
        <v>23.09</v>
      </c>
      <c r="AR1614">
        <v>0</v>
      </c>
      <c r="AS1614">
        <v>0</v>
      </c>
      <c r="AT1614">
        <v>0</v>
      </c>
      <c r="AU1614">
        <v>0</v>
      </c>
      <c r="AV1614">
        <v>0</v>
      </c>
      <c r="AW1614">
        <v>0</v>
      </c>
      <c r="AX1614">
        <v>0</v>
      </c>
      <c r="AY1614">
        <v>0</v>
      </c>
      <c r="AZ1614">
        <v>0</v>
      </c>
      <c r="BA1614">
        <v>0</v>
      </c>
      <c r="BB1614">
        <v>0</v>
      </c>
      <c r="BC1614">
        <v>0</v>
      </c>
      <c r="BD1614">
        <v>0</v>
      </c>
      <c r="BE1614">
        <v>0</v>
      </c>
      <c r="BF1614">
        <v>0</v>
      </c>
      <c r="BG1614">
        <v>0</v>
      </c>
      <c r="BH1614">
        <v>1</v>
      </c>
      <c r="BI1614">
        <v>2</v>
      </c>
      <c r="BJ1614">
        <v>0.8</v>
      </c>
      <c r="BK1614">
        <v>2</v>
      </c>
      <c r="BL1614">
        <v>71.69</v>
      </c>
      <c r="BM1614">
        <v>10.75</v>
      </c>
      <c r="BN1614">
        <v>82.44</v>
      </c>
      <c r="BO1614">
        <v>82.44</v>
      </c>
      <c r="BQ1614" t="s">
        <v>867</v>
      </c>
      <c r="BR1614" t="s">
        <v>84</v>
      </c>
      <c r="BS1614" s="3">
        <v>45882</v>
      </c>
      <c r="BT1614" s="4">
        <v>0.38263888888888886</v>
      </c>
      <c r="BU1614" t="s">
        <v>1805</v>
      </c>
      <c r="BV1614" t="s">
        <v>86</v>
      </c>
      <c r="BY1614">
        <v>4160</v>
      </c>
      <c r="CA1614" t="s">
        <v>1987</v>
      </c>
      <c r="CC1614" t="s">
        <v>279</v>
      </c>
      <c r="CD1614" s="5" t="s">
        <v>533</v>
      </c>
      <c r="CE1614" t="s">
        <v>117</v>
      </c>
      <c r="CF1614" s="3">
        <v>45882</v>
      </c>
      <c r="CI1614">
        <v>1</v>
      </c>
      <c r="CJ1614">
        <v>1</v>
      </c>
      <c r="CK1614">
        <v>21</v>
      </c>
      <c r="CL1614" t="s">
        <v>90</v>
      </c>
    </row>
    <row r="1615" spans="1:90" x14ac:dyDescent="0.3">
      <c r="A1615" t="s">
        <v>72</v>
      </c>
      <c r="B1615" t="s">
        <v>73</v>
      </c>
      <c r="C1615" t="s">
        <v>74</v>
      </c>
      <c r="E1615" t="str">
        <f>"080067186183"</f>
        <v>080067186183</v>
      </c>
      <c r="F1615" s="3">
        <v>45881</v>
      </c>
      <c r="G1615">
        <v>202605</v>
      </c>
      <c r="H1615" t="s">
        <v>75</v>
      </c>
      <c r="I1615" t="s">
        <v>76</v>
      </c>
      <c r="J1615" t="s">
        <v>77</v>
      </c>
      <c r="K1615" t="s">
        <v>78</v>
      </c>
      <c r="L1615" t="s">
        <v>325</v>
      </c>
      <c r="M1615" t="s">
        <v>326</v>
      </c>
      <c r="N1615" t="s">
        <v>2300</v>
      </c>
      <c r="O1615" t="s">
        <v>82</v>
      </c>
      <c r="P1615" t="str">
        <f>"4170054257                    "</f>
        <v xml:space="preserve">4170054257                    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0</v>
      </c>
      <c r="AO1615">
        <v>0</v>
      </c>
      <c r="AP1615">
        <v>0</v>
      </c>
      <c r="AQ1615">
        <v>18.03</v>
      </c>
      <c r="AR1615">
        <v>0</v>
      </c>
      <c r="AS1615">
        <v>0</v>
      </c>
      <c r="AT1615">
        <v>0</v>
      </c>
      <c r="AU1615">
        <v>0</v>
      </c>
      <c r="AV1615">
        <v>0</v>
      </c>
      <c r="AW1615">
        <v>0</v>
      </c>
      <c r="AX1615">
        <v>0</v>
      </c>
      <c r="AY1615">
        <v>0</v>
      </c>
      <c r="AZ1615">
        <v>0</v>
      </c>
      <c r="BA1615">
        <v>0</v>
      </c>
      <c r="BB1615">
        <v>0</v>
      </c>
      <c r="BC1615">
        <v>0</v>
      </c>
      <c r="BD1615">
        <v>0</v>
      </c>
      <c r="BE1615">
        <v>0</v>
      </c>
      <c r="BF1615">
        <v>0</v>
      </c>
      <c r="BG1615">
        <v>0</v>
      </c>
      <c r="BH1615">
        <v>1</v>
      </c>
      <c r="BI1615">
        <v>1</v>
      </c>
      <c r="BJ1615">
        <v>0.2</v>
      </c>
      <c r="BK1615">
        <v>1</v>
      </c>
      <c r="BL1615">
        <v>55.99</v>
      </c>
      <c r="BM1615">
        <v>8.4</v>
      </c>
      <c r="BN1615">
        <v>64.39</v>
      </c>
      <c r="BO1615">
        <v>64.39</v>
      </c>
      <c r="BQ1615" t="s">
        <v>2301</v>
      </c>
      <c r="BR1615" t="s">
        <v>84</v>
      </c>
      <c r="BS1615" s="3">
        <v>45882</v>
      </c>
      <c r="BT1615" s="4">
        <v>0.43194444444444446</v>
      </c>
      <c r="BU1615" t="s">
        <v>2302</v>
      </c>
      <c r="BV1615" t="s">
        <v>86</v>
      </c>
      <c r="BY1615">
        <v>1200</v>
      </c>
      <c r="CA1615" t="s">
        <v>2303</v>
      </c>
      <c r="CC1615" t="s">
        <v>326</v>
      </c>
      <c r="CD1615">
        <v>2021</v>
      </c>
      <c r="CE1615" t="s">
        <v>109</v>
      </c>
      <c r="CF1615" s="3">
        <v>45882</v>
      </c>
      <c r="CI1615">
        <v>1</v>
      </c>
      <c r="CJ1615">
        <v>1</v>
      </c>
      <c r="CK1615">
        <v>22</v>
      </c>
      <c r="CL1615" t="s">
        <v>90</v>
      </c>
    </row>
    <row r="1616" spans="1:90" x14ac:dyDescent="0.3">
      <c r="A1616" t="s">
        <v>72</v>
      </c>
      <c r="B1616" t="s">
        <v>73</v>
      </c>
      <c r="C1616" t="s">
        <v>74</v>
      </c>
      <c r="E1616" t="str">
        <f>"080067186300"</f>
        <v>080067186300</v>
      </c>
      <c r="F1616" s="3">
        <v>45881</v>
      </c>
      <c r="G1616">
        <v>202605</v>
      </c>
      <c r="H1616" t="s">
        <v>75</v>
      </c>
      <c r="I1616" t="s">
        <v>76</v>
      </c>
      <c r="J1616" t="s">
        <v>77</v>
      </c>
      <c r="K1616" t="s">
        <v>78</v>
      </c>
      <c r="L1616" t="s">
        <v>79</v>
      </c>
      <c r="M1616" t="s">
        <v>80</v>
      </c>
      <c r="N1616" t="s">
        <v>81</v>
      </c>
      <c r="O1616" t="s">
        <v>95</v>
      </c>
      <c r="P1616" t="str">
        <f>"4170054324                    "</f>
        <v xml:space="preserve">4170054324                    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Q1616">
        <v>85.8</v>
      </c>
      <c r="AR1616">
        <v>0</v>
      </c>
      <c r="AS1616">
        <v>0</v>
      </c>
      <c r="AT1616">
        <v>0</v>
      </c>
      <c r="AU1616">
        <v>0</v>
      </c>
      <c r="AV1616">
        <v>0</v>
      </c>
      <c r="AW1616">
        <v>0</v>
      </c>
      <c r="AX1616">
        <v>0</v>
      </c>
      <c r="AY1616">
        <v>0</v>
      </c>
      <c r="AZ1616">
        <v>0</v>
      </c>
      <c r="BA1616">
        <v>0</v>
      </c>
      <c r="BB1616">
        <v>0</v>
      </c>
      <c r="BC1616">
        <v>0</v>
      </c>
      <c r="BD1616">
        <v>0</v>
      </c>
      <c r="BE1616">
        <v>0</v>
      </c>
      <c r="BF1616">
        <v>0</v>
      </c>
      <c r="BG1616">
        <v>0</v>
      </c>
      <c r="BH1616">
        <v>3</v>
      </c>
      <c r="BI1616">
        <v>29</v>
      </c>
      <c r="BJ1616">
        <v>65.900000000000006</v>
      </c>
      <c r="BK1616">
        <v>66</v>
      </c>
      <c r="BL1616">
        <v>272.31</v>
      </c>
      <c r="BM1616">
        <v>40.85</v>
      </c>
      <c r="BN1616">
        <v>313.16000000000003</v>
      </c>
      <c r="BO1616">
        <v>313.16000000000003</v>
      </c>
      <c r="BQ1616" t="s">
        <v>83</v>
      </c>
      <c r="BR1616" t="s">
        <v>84</v>
      </c>
      <c r="BS1616" s="3">
        <v>45882</v>
      </c>
      <c r="BT1616" s="4">
        <v>0.3923611111111111</v>
      </c>
      <c r="BU1616" t="s">
        <v>2304</v>
      </c>
      <c r="BV1616" t="s">
        <v>86</v>
      </c>
      <c r="BY1616">
        <v>329700</v>
      </c>
      <c r="CC1616" t="s">
        <v>80</v>
      </c>
      <c r="CD1616">
        <v>1422</v>
      </c>
      <c r="CE1616" t="s">
        <v>117</v>
      </c>
      <c r="CF1616" s="3">
        <v>45883</v>
      </c>
      <c r="CI1616">
        <v>1</v>
      </c>
      <c r="CJ1616">
        <v>1</v>
      </c>
      <c r="CK1616">
        <v>42</v>
      </c>
      <c r="CL1616" t="s">
        <v>90</v>
      </c>
    </row>
    <row r="1617" spans="1:90" x14ac:dyDescent="0.3">
      <c r="A1617" t="s">
        <v>72</v>
      </c>
      <c r="B1617" t="s">
        <v>73</v>
      </c>
      <c r="C1617" t="s">
        <v>74</v>
      </c>
      <c r="E1617" t="str">
        <f>"080067186501"</f>
        <v>080067186501</v>
      </c>
      <c r="F1617" s="3">
        <v>45881</v>
      </c>
      <c r="G1617">
        <v>202605</v>
      </c>
      <c r="H1617" t="s">
        <v>75</v>
      </c>
      <c r="I1617" t="s">
        <v>76</v>
      </c>
      <c r="J1617" t="s">
        <v>77</v>
      </c>
      <c r="K1617" t="s">
        <v>78</v>
      </c>
      <c r="L1617" t="s">
        <v>123</v>
      </c>
      <c r="M1617" t="s">
        <v>124</v>
      </c>
      <c r="N1617" t="s">
        <v>1115</v>
      </c>
      <c r="O1617" t="s">
        <v>82</v>
      </c>
      <c r="P1617" t="str">
        <f>"4170054334                    "</f>
        <v xml:space="preserve">4170054334                    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0</v>
      </c>
      <c r="AO1617">
        <v>0</v>
      </c>
      <c r="AP1617">
        <v>0</v>
      </c>
      <c r="AQ1617">
        <v>23.09</v>
      </c>
      <c r="AR1617">
        <v>0</v>
      </c>
      <c r="AS1617">
        <v>0</v>
      </c>
      <c r="AT1617">
        <v>0</v>
      </c>
      <c r="AU1617">
        <v>0</v>
      </c>
      <c r="AV1617">
        <v>0</v>
      </c>
      <c r="AW1617">
        <v>0</v>
      </c>
      <c r="AX1617">
        <v>0</v>
      </c>
      <c r="AY1617">
        <v>0</v>
      </c>
      <c r="AZ1617">
        <v>0</v>
      </c>
      <c r="BA1617">
        <v>0</v>
      </c>
      <c r="BB1617">
        <v>0</v>
      </c>
      <c r="BC1617">
        <v>0</v>
      </c>
      <c r="BD1617">
        <v>0</v>
      </c>
      <c r="BE1617">
        <v>0</v>
      </c>
      <c r="BF1617">
        <v>0</v>
      </c>
      <c r="BG1617">
        <v>0</v>
      </c>
      <c r="BH1617">
        <v>1</v>
      </c>
      <c r="BI1617">
        <v>1</v>
      </c>
      <c r="BJ1617">
        <v>0.2</v>
      </c>
      <c r="BK1617">
        <v>1</v>
      </c>
      <c r="BL1617">
        <v>71.69</v>
      </c>
      <c r="BM1617">
        <v>10.75</v>
      </c>
      <c r="BN1617">
        <v>82.44</v>
      </c>
      <c r="BO1617">
        <v>82.44</v>
      </c>
      <c r="BQ1617" t="s">
        <v>1116</v>
      </c>
      <c r="BR1617" t="s">
        <v>84</v>
      </c>
      <c r="BS1617" s="3">
        <v>45882</v>
      </c>
      <c r="BT1617" s="4">
        <v>0.39166666666666666</v>
      </c>
      <c r="BU1617" t="s">
        <v>1588</v>
      </c>
      <c r="BV1617" t="s">
        <v>86</v>
      </c>
      <c r="BY1617">
        <v>1200</v>
      </c>
      <c r="CA1617" t="s">
        <v>192</v>
      </c>
      <c r="CC1617" t="s">
        <v>124</v>
      </c>
      <c r="CD1617">
        <v>7441</v>
      </c>
      <c r="CE1617" t="s">
        <v>109</v>
      </c>
      <c r="CF1617" s="3">
        <v>45883</v>
      </c>
      <c r="CI1617">
        <v>1</v>
      </c>
      <c r="CJ1617">
        <v>1</v>
      </c>
      <c r="CK1617">
        <v>21</v>
      </c>
      <c r="CL1617" t="s">
        <v>90</v>
      </c>
    </row>
    <row r="1618" spans="1:90" x14ac:dyDescent="0.3">
      <c r="A1618" t="s">
        <v>72</v>
      </c>
      <c r="B1618" t="s">
        <v>73</v>
      </c>
      <c r="C1618" t="s">
        <v>74</v>
      </c>
      <c r="E1618" t="str">
        <f>"080067186518"</f>
        <v>080067186518</v>
      </c>
      <c r="F1618" s="3">
        <v>45881</v>
      </c>
      <c r="G1618">
        <v>202605</v>
      </c>
      <c r="H1618" t="s">
        <v>75</v>
      </c>
      <c r="I1618" t="s">
        <v>76</v>
      </c>
      <c r="J1618" t="s">
        <v>77</v>
      </c>
      <c r="K1618" t="s">
        <v>78</v>
      </c>
      <c r="L1618" t="s">
        <v>123</v>
      </c>
      <c r="M1618" t="s">
        <v>124</v>
      </c>
      <c r="N1618" t="s">
        <v>406</v>
      </c>
      <c r="O1618" t="s">
        <v>82</v>
      </c>
      <c r="P1618" t="str">
        <f>"4170054339                    "</f>
        <v xml:space="preserve">4170054339                    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0</v>
      </c>
      <c r="AO1618">
        <v>0</v>
      </c>
      <c r="AP1618">
        <v>0</v>
      </c>
      <c r="AQ1618">
        <v>23.09</v>
      </c>
      <c r="AR1618">
        <v>0</v>
      </c>
      <c r="AS1618">
        <v>0</v>
      </c>
      <c r="AT1618">
        <v>0</v>
      </c>
      <c r="AU1618">
        <v>0</v>
      </c>
      <c r="AV1618">
        <v>0</v>
      </c>
      <c r="AW1618">
        <v>0</v>
      </c>
      <c r="AX1618">
        <v>0</v>
      </c>
      <c r="AY1618">
        <v>0</v>
      </c>
      <c r="AZ1618">
        <v>0</v>
      </c>
      <c r="BA1618">
        <v>0</v>
      </c>
      <c r="BB1618">
        <v>0</v>
      </c>
      <c r="BC1618">
        <v>0</v>
      </c>
      <c r="BD1618">
        <v>0</v>
      </c>
      <c r="BE1618">
        <v>0</v>
      </c>
      <c r="BF1618">
        <v>0</v>
      </c>
      <c r="BG1618">
        <v>0</v>
      </c>
      <c r="BH1618">
        <v>1</v>
      </c>
      <c r="BI1618">
        <v>1</v>
      </c>
      <c r="BJ1618">
        <v>0.2</v>
      </c>
      <c r="BK1618">
        <v>1</v>
      </c>
      <c r="BL1618">
        <v>71.69</v>
      </c>
      <c r="BM1618">
        <v>10.75</v>
      </c>
      <c r="BN1618">
        <v>82.44</v>
      </c>
      <c r="BO1618">
        <v>82.44</v>
      </c>
      <c r="BQ1618" t="s">
        <v>407</v>
      </c>
      <c r="BR1618" t="s">
        <v>84</v>
      </c>
      <c r="BS1618" s="3">
        <v>45882</v>
      </c>
      <c r="BT1618" s="4">
        <v>0.4236111111111111</v>
      </c>
      <c r="BU1618" t="s">
        <v>408</v>
      </c>
      <c r="BV1618" t="s">
        <v>86</v>
      </c>
      <c r="BY1618">
        <v>1200</v>
      </c>
      <c r="CA1618" t="s">
        <v>192</v>
      </c>
      <c r="CC1618" t="s">
        <v>124</v>
      </c>
      <c r="CD1618">
        <v>7441</v>
      </c>
      <c r="CE1618" t="s">
        <v>109</v>
      </c>
      <c r="CF1618" s="3">
        <v>45883</v>
      </c>
      <c r="CI1618">
        <v>1</v>
      </c>
      <c r="CJ1618">
        <v>1</v>
      </c>
      <c r="CK1618">
        <v>21</v>
      </c>
      <c r="CL1618" t="s">
        <v>90</v>
      </c>
    </row>
    <row r="1619" spans="1:90" x14ac:dyDescent="0.3">
      <c r="A1619" t="s">
        <v>72</v>
      </c>
      <c r="B1619" t="s">
        <v>73</v>
      </c>
      <c r="C1619" t="s">
        <v>74</v>
      </c>
      <c r="E1619" t="str">
        <f>"080067186526"</f>
        <v>080067186526</v>
      </c>
      <c r="F1619" s="3">
        <v>45881</v>
      </c>
      <c r="G1619">
        <v>202605</v>
      </c>
      <c r="H1619" t="s">
        <v>75</v>
      </c>
      <c r="I1619" t="s">
        <v>76</v>
      </c>
      <c r="J1619" t="s">
        <v>77</v>
      </c>
      <c r="K1619" t="s">
        <v>78</v>
      </c>
      <c r="L1619" t="s">
        <v>217</v>
      </c>
      <c r="M1619" t="s">
        <v>218</v>
      </c>
      <c r="N1619" t="s">
        <v>1721</v>
      </c>
      <c r="O1619" t="s">
        <v>82</v>
      </c>
      <c r="P1619" t="str">
        <f>"4170054305                    "</f>
        <v xml:space="preserve">4170054305                    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>
        <v>23.09</v>
      </c>
      <c r="AR1619">
        <v>0</v>
      </c>
      <c r="AS1619">
        <v>0</v>
      </c>
      <c r="AT1619">
        <v>0</v>
      </c>
      <c r="AU1619">
        <v>0</v>
      </c>
      <c r="AV1619">
        <v>0</v>
      </c>
      <c r="AW1619">
        <v>0</v>
      </c>
      <c r="AX1619">
        <v>0</v>
      </c>
      <c r="AY1619">
        <v>0</v>
      </c>
      <c r="AZ1619">
        <v>0</v>
      </c>
      <c r="BA1619">
        <v>0</v>
      </c>
      <c r="BB1619">
        <v>0</v>
      </c>
      <c r="BC1619">
        <v>0</v>
      </c>
      <c r="BD1619">
        <v>0</v>
      </c>
      <c r="BE1619">
        <v>0</v>
      </c>
      <c r="BF1619">
        <v>0</v>
      </c>
      <c r="BG1619">
        <v>0</v>
      </c>
      <c r="BH1619">
        <v>1</v>
      </c>
      <c r="BI1619">
        <v>1</v>
      </c>
      <c r="BJ1619">
        <v>1.4</v>
      </c>
      <c r="BK1619">
        <v>1.5</v>
      </c>
      <c r="BL1619">
        <v>71.69</v>
      </c>
      <c r="BM1619">
        <v>10.75</v>
      </c>
      <c r="BN1619">
        <v>82.44</v>
      </c>
      <c r="BO1619">
        <v>82.44</v>
      </c>
      <c r="BQ1619" t="s">
        <v>1722</v>
      </c>
      <c r="BR1619" t="s">
        <v>84</v>
      </c>
      <c r="BS1619" s="3">
        <v>45882</v>
      </c>
      <c r="BT1619" s="4">
        <v>0.44097222222222221</v>
      </c>
      <c r="BU1619" t="s">
        <v>2305</v>
      </c>
      <c r="BV1619" t="s">
        <v>90</v>
      </c>
      <c r="BW1619" t="s">
        <v>134</v>
      </c>
      <c r="BX1619" t="s">
        <v>135</v>
      </c>
      <c r="BY1619">
        <v>7000</v>
      </c>
      <c r="CA1619" t="s">
        <v>1724</v>
      </c>
      <c r="CC1619" t="s">
        <v>218</v>
      </c>
      <c r="CD1619">
        <v>4000</v>
      </c>
      <c r="CE1619" t="s">
        <v>147</v>
      </c>
      <c r="CF1619" s="3">
        <v>45882</v>
      </c>
      <c r="CI1619">
        <v>1</v>
      </c>
      <c r="CJ1619">
        <v>1</v>
      </c>
      <c r="CK1619">
        <v>21</v>
      </c>
      <c r="CL1619" t="s">
        <v>90</v>
      </c>
    </row>
    <row r="1620" spans="1:90" x14ac:dyDescent="0.3">
      <c r="A1620" t="s">
        <v>72</v>
      </c>
      <c r="B1620" t="s">
        <v>73</v>
      </c>
      <c r="C1620" t="s">
        <v>74</v>
      </c>
      <c r="E1620" t="str">
        <f>"080067186601"</f>
        <v>080067186601</v>
      </c>
      <c r="F1620" s="3">
        <v>45881</v>
      </c>
      <c r="G1620">
        <v>202605</v>
      </c>
      <c r="H1620" t="s">
        <v>75</v>
      </c>
      <c r="I1620" t="s">
        <v>76</v>
      </c>
      <c r="J1620" t="s">
        <v>77</v>
      </c>
      <c r="K1620" t="s">
        <v>78</v>
      </c>
      <c r="L1620" t="s">
        <v>278</v>
      </c>
      <c r="M1620" t="s">
        <v>279</v>
      </c>
      <c r="N1620" t="s">
        <v>2306</v>
      </c>
      <c r="O1620" t="s">
        <v>82</v>
      </c>
      <c r="P1620" t="str">
        <f>"4170054294                    "</f>
        <v xml:space="preserve">4170054294                    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0</v>
      </c>
      <c r="AO1620">
        <v>0</v>
      </c>
      <c r="AP1620">
        <v>0</v>
      </c>
      <c r="AQ1620">
        <v>23.09</v>
      </c>
      <c r="AR1620">
        <v>0</v>
      </c>
      <c r="AS1620">
        <v>0</v>
      </c>
      <c r="AT1620">
        <v>0</v>
      </c>
      <c r="AU1620">
        <v>0</v>
      </c>
      <c r="AV1620">
        <v>0</v>
      </c>
      <c r="AW1620">
        <v>0</v>
      </c>
      <c r="AX1620">
        <v>0</v>
      </c>
      <c r="AY1620">
        <v>0</v>
      </c>
      <c r="AZ1620">
        <v>0</v>
      </c>
      <c r="BA1620">
        <v>0</v>
      </c>
      <c r="BB1620">
        <v>0</v>
      </c>
      <c r="BC1620">
        <v>0</v>
      </c>
      <c r="BD1620">
        <v>0</v>
      </c>
      <c r="BE1620">
        <v>0</v>
      </c>
      <c r="BF1620">
        <v>0</v>
      </c>
      <c r="BG1620">
        <v>0</v>
      </c>
      <c r="BH1620">
        <v>1</v>
      </c>
      <c r="BI1620">
        <v>1</v>
      </c>
      <c r="BJ1620">
        <v>0.2</v>
      </c>
      <c r="BK1620">
        <v>1</v>
      </c>
      <c r="BL1620">
        <v>71.69</v>
      </c>
      <c r="BM1620">
        <v>10.75</v>
      </c>
      <c r="BN1620">
        <v>82.44</v>
      </c>
      <c r="BO1620">
        <v>82.44</v>
      </c>
      <c r="BQ1620" t="s">
        <v>2307</v>
      </c>
      <c r="BR1620" t="s">
        <v>84</v>
      </c>
      <c r="BS1620" s="3">
        <v>45883</v>
      </c>
      <c r="BT1620" s="4">
        <v>0.41666666666666669</v>
      </c>
      <c r="BU1620" t="s">
        <v>2308</v>
      </c>
      <c r="BV1620" t="s">
        <v>90</v>
      </c>
      <c r="BW1620" t="s">
        <v>380</v>
      </c>
      <c r="BX1620" t="s">
        <v>2309</v>
      </c>
      <c r="BY1620">
        <v>1200</v>
      </c>
      <c r="CA1620" t="s">
        <v>2310</v>
      </c>
      <c r="CC1620" t="s">
        <v>279</v>
      </c>
      <c r="CD1620" s="5" t="s">
        <v>2311</v>
      </c>
      <c r="CE1620" t="s">
        <v>109</v>
      </c>
      <c r="CF1620" s="3">
        <v>45883</v>
      </c>
      <c r="CI1620">
        <v>1</v>
      </c>
      <c r="CJ1620">
        <v>2</v>
      </c>
      <c r="CK1620">
        <v>21</v>
      </c>
      <c r="CL1620" t="s">
        <v>90</v>
      </c>
    </row>
    <row r="1621" spans="1:90" x14ac:dyDescent="0.3">
      <c r="A1621" t="s">
        <v>72</v>
      </c>
      <c r="B1621" t="s">
        <v>73</v>
      </c>
      <c r="C1621" t="s">
        <v>74</v>
      </c>
      <c r="E1621" t="str">
        <f>"080067186623"</f>
        <v>080067186623</v>
      </c>
      <c r="F1621" s="3">
        <v>45881</v>
      </c>
      <c r="G1621">
        <v>202605</v>
      </c>
      <c r="H1621" t="s">
        <v>75</v>
      </c>
      <c r="I1621" t="s">
        <v>76</v>
      </c>
      <c r="J1621" t="s">
        <v>77</v>
      </c>
      <c r="K1621" t="s">
        <v>78</v>
      </c>
      <c r="L1621" t="s">
        <v>198</v>
      </c>
      <c r="M1621" t="s">
        <v>199</v>
      </c>
      <c r="N1621" t="s">
        <v>2312</v>
      </c>
      <c r="O1621" t="s">
        <v>82</v>
      </c>
      <c r="P1621" t="str">
        <f>"4170054298                    "</f>
        <v xml:space="preserve">4170054298                    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Q1621">
        <v>23.09</v>
      </c>
      <c r="AR1621">
        <v>0</v>
      </c>
      <c r="AS1621">
        <v>0</v>
      </c>
      <c r="AT1621">
        <v>0</v>
      </c>
      <c r="AU1621">
        <v>0</v>
      </c>
      <c r="AV1621">
        <v>0</v>
      </c>
      <c r="AW1621">
        <v>0</v>
      </c>
      <c r="AX1621">
        <v>0</v>
      </c>
      <c r="AY1621">
        <v>0</v>
      </c>
      <c r="AZ1621">
        <v>0</v>
      </c>
      <c r="BA1621">
        <v>0</v>
      </c>
      <c r="BB1621">
        <v>0</v>
      </c>
      <c r="BC1621">
        <v>0</v>
      </c>
      <c r="BD1621">
        <v>0</v>
      </c>
      <c r="BE1621">
        <v>0</v>
      </c>
      <c r="BF1621">
        <v>0</v>
      </c>
      <c r="BG1621">
        <v>0</v>
      </c>
      <c r="BH1621">
        <v>1</v>
      </c>
      <c r="BI1621">
        <v>2</v>
      </c>
      <c r="BJ1621">
        <v>1.4</v>
      </c>
      <c r="BK1621">
        <v>2</v>
      </c>
      <c r="BL1621">
        <v>71.69</v>
      </c>
      <c r="BM1621">
        <v>10.75</v>
      </c>
      <c r="BN1621">
        <v>82.44</v>
      </c>
      <c r="BO1621">
        <v>82.44</v>
      </c>
      <c r="BQ1621" t="s">
        <v>2313</v>
      </c>
      <c r="BR1621" t="s">
        <v>84</v>
      </c>
      <c r="BS1621" s="3">
        <v>45882</v>
      </c>
      <c r="BT1621" s="4">
        <v>0.43263888888888891</v>
      </c>
      <c r="BU1621" t="s">
        <v>2314</v>
      </c>
      <c r="BV1621" t="s">
        <v>86</v>
      </c>
      <c r="BY1621">
        <v>7000</v>
      </c>
      <c r="CA1621" t="s">
        <v>689</v>
      </c>
      <c r="CC1621" t="s">
        <v>199</v>
      </c>
      <c r="CD1621">
        <v>6001</v>
      </c>
      <c r="CE1621" t="s">
        <v>147</v>
      </c>
      <c r="CF1621" s="3">
        <v>45882</v>
      </c>
      <c r="CI1621">
        <v>1</v>
      </c>
      <c r="CJ1621">
        <v>1</v>
      </c>
      <c r="CK1621">
        <v>21</v>
      </c>
      <c r="CL1621" t="s">
        <v>90</v>
      </c>
    </row>
    <row r="1622" spans="1:90" x14ac:dyDescent="0.3">
      <c r="A1622" t="s">
        <v>72</v>
      </c>
      <c r="B1622" t="s">
        <v>73</v>
      </c>
      <c r="C1622" t="s">
        <v>74</v>
      </c>
      <c r="E1622" t="str">
        <f>"080067186681"</f>
        <v>080067186681</v>
      </c>
      <c r="F1622" s="3">
        <v>45881</v>
      </c>
      <c r="G1622">
        <v>202605</v>
      </c>
      <c r="H1622" t="s">
        <v>75</v>
      </c>
      <c r="I1622" t="s">
        <v>76</v>
      </c>
      <c r="J1622" t="s">
        <v>77</v>
      </c>
      <c r="K1622" t="s">
        <v>78</v>
      </c>
      <c r="L1622" t="s">
        <v>217</v>
      </c>
      <c r="M1622" t="s">
        <v>218</v>
      </c>
      <c r="N1622" t="s">
        <v>544</v>
      </c>
      <c r="O1622" t="s">
        <v>82</v>
      </c>
      <c r="P1622" t="str">
        <f>"4170054272                    "</f>
        <v xml:space="preserve">4170054272                    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>
        <v>23.09</v>
      </c>
      <c r="AR1622">
        <v>0</v>
      </c>
      <c r="AS1622">
        <v>0</v>
      </c>
      <c r="AT1622">
        <v>0</v>
      </c>
      <c r="AU1622">
        <v>0</v>
      </c>
      <c r="AV1622">
        <v>0</v>
      </c>
      <c r="AW1622">
        <v>0</v>
      </c>
      <c r="AX1622">
        <v>0</v>
      </c>
      <c r="AY1622">
        <v>0</v>
      </c>
      <c r="AZ1622">
        <v>0</v>
      </c>
      <c r="BA1622">
        <v>0</v>
      </c>
      <c r="BB1622">
        <v>0</v>
      </c>
      <c r="BC1622">
        <v>0</v>
      </c>
      <c r="BD1622">
        <v>0</v>
      </c>
      <c r="BE1622">
        <v>0</v>
      </c>
      <c r="BF1622">
        <v>0</v>
      </c>
      <c r="BG1622">
        <v>0</v>
      </c>
      <c r="BH1622">
        <v>1</v>
      </c>
      <c r="BI1622">
        <v>2</v>
      </c>
      <c r="BJ1622">
        <v>1.9</v>
      </c>
      <c r="BK1622">
        <v>2</v>
      </c>
      <c r="BL1622">
        <v>71.69</v>
      </c>
      <c r="BM1622">
        <v>10.75</v>
      </c>
      <c r="BN1622">
        <v>82.44</v>
      </c>
      <c r="BO1622">
        <v>82.44</v>
      </c>
      <c r="BQ1622" t="s">
        <v>545</v>
      </c>
      <c r="BR1622" t="s">
        <v>84</v>
      </c>
      <c r="BS1622" s="3">
        <v>45882</v>
      </c>
      <c r="BT1622" s="4">
        <v>0.45416666666666666</v>
      </c>
      <c r="BU1622" t="s">
        <v>1571</v>
      </c>
      <c r="BV1622" t="s">
        <v>90</v>
      </c>
      <c r="BW1622" t="s">
        <v>1167</v>
      </c>
      <c r="BX1622" t="s">
        <v>641</v>
      </c>
      <c r="BY1622">
        <v>9600</v>
      </c>
      <c r="CA1622" t="s">
        <v>953</v>
      </c>
      <c r="CC1622" t="s">
        <v>218</v>
      </c>
      <c r="CD1622">
        <v>4000</v>
      </c>
      <c r="CE1622" t="s">
        <v>147</v>
      </c>
      <c r="CF1622" s="3">
        <v>45882</v>
      </c>
      <c r="CI1622">
        <v>1</v>
      </c>
      <c r="CJ1622">
        <v>1</v>
      </c>
      <c r="CK1622">
        <v>21</v>
      </c>
      <c r="CL1622" t="s">
        <v>90</v>
      </c>
    </row>
    <row r="1623" spans="1:90" x14ac:dyDescent="0.3">
      <c r="A1623" t="s">
        <v>72</v>
      </c>
      <c r="B1623" t="s">
        <v>73</v>
      </c>
      <c r="C1623" t="s">
        <v>74</v>
      </c>
      <c r="E1623" t="str">
        <f>"080067186846"</f>
        <v>080067186846</v>
      </c>
      <c r="F1623" s="3">
        <v>45881</v>
      </c>
      <c r="G1623">
        <v>202605</v>
      </c>
      <c r="H1623" t="s">
        <v>75</v>
      </c>
      <c r="I1623" t="s">
        <v>76</v>
      </c>
      <c r="J1623" t="s">
        <v>77</v>
      </c>
      <c r="K1623" t="s">
        <v>78</v>
      </c>
      <c r="L1623" t="s">
        <v>75</v>
      </c>
      <c r="M1623" t="s">
        <v>76</v>
      </c>
      <c r="N1623" t="s">
        <v>152</v>
      </c>
      <c r="O1623" t="s">
        <v>82</v>
      </c>
      <c r="P1623" t="str">
        <f>"4170054326                    "</f>
        <v xml:space="preserve">4170054326                    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0</v>
      </c>
      <c r="AO1623">
        <v>0</v>
      </c>
      <c r="AP1623">
        <v>0</v>
      </c>
      <c r="AQ1623">
        <v>18.03</v>
      </c>
      <c r="AR1623">
        <v>0</v>
      </c>
      <c r="AS1623">
        <v>0</v>
      </c>
      <c r="AT1623">
        <v>0</v>
      </c>
      <c r="AU1623">
        <v>0</v>
      </c>
      <c r="AV1623">
        <v>0</v>
      </c>
      <c r="AW1623">
        <v>0</v>
      </c>
      <c r="AX1623">
        <v>0</v>
      </c>
      <c r="AY1623">
        <v>0</v>
      </c>
      <c r="AZ1623">
        <v>0</v>
      </c>
      <c r="BA1623">
        <v>0</v>
      </c>
      <c r="BB1623">
        <v>0</v>
      </c>
      <c r="BC1623">
        <v>0</v>
      </c>
      <c r="BD1623">
        <v>0</v>
      </c>
      <c r="BE1623">
        <v>0</v>
      </c>
      <c r="BF1623">
        <v>0</v>
      </c>
      <c r="BG1623">
        <v>0</v>
      </c>
      <c r="BH1623">
        <v>1</v>
      </c>
      <c r="BI1623">
        <v>2</v>
      </c>
      <c r="BJ1623">
        <v>2.7</v>
      </c>
      <c r="BK1623">
        <v>3</v>
      </c>
      <c r="BL1623">
        <v>55.99</v>
      </c>
      <c r="BM1623">
        <v>8.4</v>
      </c>
      <c r="BN1623">
        <v>64.39</v>
      </c>
      <c r="BO1623">
        <v>64.39</v>
      </c>
      <c r="BQ1623" t="s">
        <v>153</v>
      </c>
      <c r="BR1623" t="s">
        <v>84</v>
      </c>
      <c r="BS1623" s="3">
        <v>45882</v>
      </c>
      <c r="BT1623" s="4">
        <v>0.35694444444444445</v>
      </c>
      <c r="BU1623" t="s">
        <v>995</v>
      </c>
      <c r="BV1623" t="s">
        <v>86</v>
      </c>
      <c r="BY1623">
        <v>13328</v>
      </c>
      <c r="CA1623" t="s">
        <v>155</v>
      </c>
      <c r="CC1623" t="s">
        <v>76</v>
      </c>
      <c r="CD1623">
        <v>1600</v>
      </c>
      <c r="CE1623" t="s">
        <v>117</v>
      </c>
      <c r="CF1623" s="3">
        <v>45882</v>
      </c>
      <c r="CI1623">
        <v>1</v>
      </c>
      <c r="CJ1623">
        <v>1</v>
      </c>
      <c r="CK1623">
        <v>22</v>
      </c>
      <c r="CL1623" t="s">
        <v>90</v>
      </c>
    </row>
    <row r="1624" spans="1:90" x14ac:dyDescent="0.3">
      <c r="A1624" t="s">
        <v>72</v>
      </c>
      <c r="B1624" t="s">
        <v>73</v>
      </c>
      <c r="C1624" t="s">
        <v>74</v>
      </c>
      <c r="E1624" t="str">
        <f>"080067186845"</f>
        <v>080067186845</v>
      </c>
      <c r="F1624" s="3">
        <v>45881</v>
      </c>
      <c r="G1624">
        <v>202605</v>
      </c>
      <c r="H1624" t="s">
        <v>75</v>
      </c>
      <c r="I1624" t="s">
        <v>76</v>
      </c>
      <c r="J1624" t="s">
        <v>77</v>
      </c>
      <c r="K1624" t="s">
        <v>78</v>
      </c>
      <c r="L1624" t="s">
        <v>319</v>
      </c>
      <c r="M1624" t="s">
        <v>320</v>
      </c>
      <c r="N1624" t="s">
        <v>321</v>
      </c>
      <c r="O1624" t="s">
        <v>82</v>
      </c>
      <c r="P1624" t="str">
        <f>"4170054304                    "</f>
        <v xml:space="preserve">4170054304                    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Q1624">
        <v>44.73</v>
      </c>
      <c r="AR1624">
        <v>0</v>
      </c>
      <c r="AS1624">
        <v>0</v>
      </c>
      <c r="AT1624">
        <v>0</v>
      </c>
      <c r="AU1624">
        <v>0</v>
      </c>
      <c r="AV1624">
        <v>0</v>
      </c>
      <c r="AW1624">
        <v>0</v>
      </c>
      <c r="AX1624">
        <v>0</v>
      </c>
      <c r="AY1624">
        <v>0</v>
      </c>
      <c r="AZ1624">
        <v>0</v>
      </c>
      <c r="BA1624">
        <v>0</v>
      </c>
      <c r="BB1624">
        <v>0</v>
      </c>
      <c r="BC1624">
        <v>0</v>
      </c>
      <c r="BD1624">
        <v>0</v>
      </c>
      <c r="BE1624">
        <v>0</v>
      </c>
      <c r="BF1624">
        <v>0</v>
      </c>
      <c r="BG1624">
        <v>0</v>
      </c>
      <c r="BH1624">
        <v>1</v>
      </c>
      <c r="BI1624">
        <v>1</v>
      </c>
      <c r="BJ1624">
        <v>0.2</v>
      </c>
      <c r="BK1624">
        <v>1</v>
      </c>
      <c r="BL1624">
        <v>138.88999999999999</v>
      </c>
      <c r="BM1624">
        <v>20.83</v>
      </c>
      <c r="BN1624">
        <v>159.72</v>
      </c>
      <c r="BO1624">
        <v>159.72</v>
      </c>
      <c r="BQ1624" t="s">
        <v>322</v>
      </c>
      <c r="BR1624" t="s">
        <v>84</v>
      </c>
      <c r="BS1624" s="3">
        <v>45882</v>
      </c>
      <c r="BT1624" s="4">
        <v>0.44166666666666665</v>
      </c>
      <c r="BU1624" t="s">
        <v>630</v>
      </c>
      <c r="BV1624" t="s">
        <v>86</v>
      </c>
      <c r="BY1624">
        <v>1200</v>
      </c>
      <c r="CA1624" t="s">
        <v>324</v>
      </c>
      <c r="CC1624" t="s">
        <v>320</v>
      </c>
      <c r="CD1624">
        <v>2531</v>
      </c>
      <c r="CE1624" t="s">
        <v>109</v>
      </c>
      <c r="CF1624" s="3">
        <v>45883</v>
      </c>
      <c r="CI1624">
        <v>1</v>
      </c>
      <c r="CJ1624">
        <v>1</v>
      </c>
      <c r="CK1624">
        <v>23</v>
      </c>
      <c r="CL1624" t="s">
        <v>90</v>
      </c>
    </row>
    <row r="1625" spans="1:90" x14ac:dyDescent="0.3">
      <c r="A1625" t="s">
        <v>72</v>
      </c>
      <c r="B1625" t="s">
        <v>73</v>
      </c>
      <c r="C1625" t="s">
        <v>74</v>
      </c>
      <c r="E1625" t="str">
        <f>"080067186888"</f>
        <v>080067186888</v>
      </c>
      <c r="F1625" s="3">
        <v>45881</v>
      </c>
      <c r="G1625">
        <v>202605</v>
      </c>
      <c r="H1625" t="s">
        <v>75</v>
      </c>
      <c r="I1625" t="s">
        <v>76</v>
      </c>
      <c r="J1625" t="s">
        <v>77</v>
      </c>
      <c r="K1625" t="s">
        <v>78</v>
      </c>
      <c r="L1625" t="s">
        <v>123</v>
      </c>
      <c r="M1625" t="s">
        <v>124</v>
      </c>
      <c r="N1625" t="s">
        <v>1416</v>
      </c>
      <c r="O1625" t="s">
        <v>82</v>
      </c>
      <c r="P1625" t="str">
        <f>"4170054335                    "</f>
        <v xml:space="preserve">4170054335                    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>
        <v>23.09</v>
      </c>
      <c r="AR1625">
        <v>0</v>
      </c>
      <c r="AS1625">
        <v>0</v>
      </c>
      <c r="AT1625">
        <v>0</v>
      </c>
      <c r="AU1625">
        <v>0</v>
      </c>
      <c r="AV1625">
        <v>0</v>
      </c>
      <c r="AW1625">
        <v>0</v>
      </c>
      <c r="AX1625">
        <v>0</v>
      </c>
      <c r="AY1625">
        <v>0</v>
      </c>
      <c r="AZ1625">
        <v>0</v>
      </c>
      <c r="BA1625">
        <v>0</v>
      </c>
      <c r="BB1625">
        <v>0</v>
      </c>
      <c r="BC1625">
        <v>0</v>
      </c>
      <c r="BD1625">
        <v>0</v>
      </c>
      <c r="BE1625">
        <v>0</v>
      </c>
      <c r="BF1625">
        <v>0</v>
      </c>
      <c r="BG1625">
        <v>0</v>
      </c>
      <c r="BH1625">
        <v>1</v>
      </c>
      <c r="BI1625">
        <v>1</v>
      </c>
      <c r="BJ1625">
        <v>1.1000000000000001</v>
      </c>
      <c r="BK1625">
        <v>1.5</v>
      </c>
      <c r="BL1625">
        <v>71.69</v>
      </c>
      <c r="BM1625">
        <v>10.75</v>
      </c>
      <c r="BN1625">
        <v>82.44</v>
      </c>
      <c r="BO1625">
        <v>82.44</v>
      </c>
      <c r="BQ1625" t="s">
        <v>1417</v>
      </c>
      <c r="BR1625" t="s">
        <v>84</v>
      </c>
      <c r="BS1625" s="3">
        <v>45882</v>
      </c>
      <c r="BT1625" s="4">
        <v>0.42222222222222222</v>
      </c>
      <c r="BU1625" t="s">
        <v>886</v>
      </c>
      <c r="BV1625" t="s">
        <v>86</v>
      </c>
      <c r="BY1625">
        <v>5320</v>
      </c>
      <c r="CA1625" t="s">
        <v>1238</v>
      </c>
      <c r="CC1625" t="s">
        <v>124</v>
      </c>
      <c r="CD1625">
        <v>7480</v>
      </c>
      <c r="CE1625" t="s">
        <v>147</v>
      </c>
      <c r="CF1625" s="3">
        <v>45883</v>
      </c>
      <c r="CI1625">
        <v>1</v>
      </c>
      <c r="CJ1625">
        <v>1</v>
      </c>
      <c r="CK1625">
        <v>21</v>
      </c>
      <c r="CL1625" t="s">
        <v>90</v>
      </c>
    </row>
    <row r="1626" spans="1:90" x14ac:dyDescent="0.3">
      <c r="A1626" t="s">
        <v>72</v>
      </c>
      <c r="B1626" t="s">
        <v>73</v>
      </c>
      <c r="C1626" t="s">
        <v>74</v>
      </c>
      <c r="E1626" t="str">
        <f>"080067186928"</f>
        <v>080067186928</v>
      </c>
      <c r="F1626" s="3">
        <v>45881</v>
      </c>
      <c r="G1626">
        <v>202605</v>
      </c>
      <c r="H1626" t="s">
        <v>75</v>
      </c>
      <c r="I1626" t="s">
        <v>76</v>
      </c>
      <c r="J1626" t="s">
        <v>77</v>
      </c>
      <c r="K1626" t="s">
        <v>78</v>
      </c>
      <c r="L1626" t="s">
        <v>75</v>
      </c>
      <c r="M1626" t="s">
        <v>76</v>
      </c>
      <c r="N1626" t="s">
        <v>537</v>
      </c>
      <c r="O1626" t="s">
        <v>82</v>
      </c>
      <c r="P1626" t="str">
        <f>"4170054306                    "</f>
        <v xml:space="preserve">4170054306                    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>
        <v>22.35</v>
      </c>
      <c r="AR1626">
        <v>0</v>
      </c>
      <c r="AS1626">
        <v>0</v>
      </c>
      <c r="AT1626">
        <v>0</v>
      </c>
      <c r="AU1626">
        <v>0</v>
      </c>
      <c r="AV1626">
        <v>0</v>
      </c>
      <c r="AW1626">
        <v>0</v>
      </c>
      <c r="AX1626">
        <v>0</v>
      </c>
      <c r="AY1626">
        <v>0</v>
      </c>
      <c r="AZ1626">
        <v>0</v>
      </c>
      <c r="BA1626">
        <v>0</v>
      </c>
      <c r="BB1626">
        <v>0</v>
      </c>
      <c r="BC1626">
        <v>0</v>
      </c>
      <c r="BD1626">
        <v>0</v>
      </c>
      <c r="BE1626">
        <v>0</v>
      </c>
      <c r="BF1626">
        <v>0</v>
      </c>
      <c r="BG1626">
        <v>0</v>
      </c>
      <c r="BH1626">
        <v>1</v>
      </c>
      <c r="BI1626">
        <v>5</v>
      </c>
      <c r="BJ1626">
        <v>9.3000000000000007</v>
      </c>
      <c r="BK1626">
        <v>10</v>
      </c>
      <c r="BL1626">
        <v>69.41</v>
      </c>
      <c r="BM1626">
        <v>10.41</v>
      </c>
      <c r="BN1626">
        <v>79.819999999999993</v>
      </c>
      <c r="BO1626">
        <v>79.819999999999993</v>
      </c>
      <c r="BQ1626" t="s">
        <v>538</v>
      </c>
      <c r="BR1626" t="s">
        <v>84</v>
      </c>
      <c r="BS1626" s="3">
        <v>45882</v>
      </c>
      <c r="BT1626" s="4">
        <v>0.3888888888888889</v>
      </c>
      <c r="BU1626" t="s">
        <v>738</v>
      </c>
      <c r="BV1626" t="s">
        <v>86</v>
      </c>
      <c r="BY1626">
        <v>46546</v>
      </c>
      <c r="CA1626" t="s">
        <v>739</v>
      </c>
      <c r="CC1626" t="s">
        <v>76</v>
      </c>
      <c r="CD1626">
        <v>1619</v>
      </c>
      <c r="CE1626" t="s">
        <v>117</v>
      </c>
      <c r="CF1626" s="3">
        <v>45882</v>
      </c>
      <c r="CI1626">
        <v>1</v>
      </c>
      <c r="CJ1626">
        <v>1</v>
      </c>
      <c r="CK1626">
        <v>22</v>
      </c>
      <c r="CL1626" t="s">
        <v>90</v>
      </c>
    </row>
    <row r="1627" spans="1:90" x14ac:dyDescent="0.3">
      <c r="A1627" t="s">
        <v>72</v>
      </c>
      <c r="B1627" t="s">
        <v>73</v>
      </c>
      <c r="C1627" t="s">
        <v>74</v>
      </c>
      <c r="E1627" t="str">
        <f>"080067188600"</f>
        <v>080067188600</v>
      </c>
      <c r="F1627" s="3">
        <v>45881</v>
      </c>
      <c r="G1627">
        <v>202605</v>
      </c>
      <c r="H1627" t="s">
        <v>75</v>
      </c>
      <c r="I1627" t="s">
        <v>76</v>
      </c>
      <c r="J1627" t="s">
        <v>77</v>
      </c>
      <c r="K1627" t="s">
        <v>78</v>
      </c>
      <c r="L1627" t="s">
        <v>162</v>
      </c>
      <c r="M1627" t="s">
        <v>163</v>
      </c>
      <c r="N1627" t="s">
        <v>811</v>
      </c>
      <c r="O1627" t="s">
        <v>95</v>
      </c>
      <c r="P1627" t="str">
        <f>"4170054336                    "</f>
        <v xml:space="preserve">4170054336                    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0</v>
      </c>
      <c r="AO1627">
        <v>0</v>
      </c>
      <c r="AP1627">
        <v>0</v>
      </c>
      <c r="AQ1627">
        <v>153.38</v>
      </c>
      <c r="AR1627">
        <v>0</v>
      </c>
      <c r="AS1627">
        <v>0</v>
      </c>
      <c r="AT1627">
        <v>0</v>
      </c>
      <c r="AU1627">
        <v>0</v>
      </c>
      <c r="AV1627">
        <v>0</v>
      </c>
      <c r="AW1627">
        <v>0</v>
      </c>
      <c r="AX1627">
        <v>0</v>
      </c>
      <c r="AY1627">
        <v>0</v>
      </c>
      <c r="AZ1627">
        <v>0</v>
      </c>
      <c r="BA1627">
        <v>0</v>
      </c>
      <c r="BB1627">
        <v>0</v>
      </c>
      <c r="BC1627">
        <v>0</v>
      </c>
      <c r="BD1627">
        <v>0</v>
      </c>
      <c r="BE1627">
        <v>0</v>
      </c>
      <c r="BF1627">
        <v>0</v>
      </c>
      <c r="BG1627">
        <v>0</v>
      </c>
      <c r="BH1627">
        <v>4</v>
      </c>
      <c r="BI1627">
        <v>66</v>
      </c>
      <c r="BJ1627">
        <v>73.400000000000006</v>
      </c>
      <c r="BK1627">
        <v>74</v>
      </c>
      <c r="BL1627">
        <v>482.15</v>
      </c>
      <c r="BM1627">
        <v>72.319999999999993</v>
      </c>
      <c r="BN1627">
        <v>554.47</v>
      </c>
      <c r="BO1627">
        <v>554.47</v>
      </c>
      <c r="BQ1627" t="s">
        <v>812</v>
      </c>
      <c r="BR1627" t="s">
        <v>84</v>
      </c>
      <c r="BS1627" s="3">
        <v>45883</v>
      </c>
      <c r="BT1627" s="4">
        <v>0.5</v>
      </c>
      <c r="BU1627" t="s">
        <v>2315</v>
      </c>
      <c r="BV1627" t="s">
        <v>86</v>
      </c>
      <c r="BY1627">
        <v>367170</v>
      </c>
      <c r="CC1627" t="s">
        <v>163</v>
      </c>
      <c r="CD1627">
        <v>3201</v>
      </c>
      <c r="CE1627" t="s">
        <v>1204</v>
      </c>
      <c r="CF1627" s="3">
        <v>45883</v>
      </c>
      <c r="CI1627">
        <v>2</v>
      </c>
      <c r="CJ1627">
        <v>2</v>
      </c>
      <c r="CK1627">
        <v>41</v>
      </c>
      <c r="CL1627" t="s">
        <v>90</v>
      </c>
    </row>
    <row r="1628" spans="1:90" x14ac:dyDescent="0.3">
      <c r="A1628" t="s">
        <v>72</v>
      </c>
      <c r="B1628" t="s">
        <v>73</v>
      </c>
      <c r="C1628" t="s">
        <v>74</v>
      </c>
      <c r="E1628" t="str">
        <f>"R080067159963"</f>
        <v>R080067159963</v>
      </c>
      <c r="F1628" s="3">
        <v>45881</v>
      </c>
      <c r="G1628">
        <v>202605</v>
      </c>
      <c r="H1628" t="s">
        <v>75</v>
      </c>
      <c r="I1628" t="s">
        <v>76</v>
      </c>
      <c r="J1628" t="s">
        <v>2119</v>
      </c>
      <c r="K1628" t="s">
        <v>78</v>
      </c>
      <c r="L1628" t="s">
        <v>75</v>
      </c>
      <c r="M1628" t="s">
        <v>76</v>
      </c>
      <c r="N1628" t="s">
        <v>77</v>
      </c>
      <c r="O1628" t="s">
        <v>95</v>
      </c>
      <c r="P1628" t="str">
        <f>"4170054064                    "</f>
        <v xml:space="preserve">4170054064                    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0</v>
      </c>
      <c r="AQ1628">
        <v>34.450000000000003</v>
      </c>
      <c r="AR1628">
        <v>0</v>
      </c>
      <c r="AS1628">
        <v>0</v>
      </c>
      <c r="AT1628">
        <v>0</v>
      </c>
      <c r="AU1628">
        <v>0</v>
      </c>
      <c r="AV1628">
        <v>0</v>
      </c>
      <c r="AW1628">
        <v>0</v>
      </c>
      <c r="AX1628">
        <v>0</v>
      </c>
      <c r="AY1628">
        <v>0</v>
      </c>
      <c r="AZ1628">
        <v>0</v>
      </c>
      <c r="BA1628">
        <v>0</v>
      </c>
      <c r="BB1628">
        <v>0</v>
      </c>
      <c r="BC1628">
        <v>0</v>
      </c>
      <c r="BD1628">
        <v>0</v>
      </c>
      <c r="BE1628">
        <v>0</v>
      </c>
      <c r="BF1628">
        <v>0</v>
      </c>
      <c r="BG1628">
        <v>0</v>
      </c>
      <c r="BH1628">
        <v>1</v>
      </c>
      <c r="BI1628">
        <v>1</v>
      </c>
      <c r="BJ1628">
        <v>0.2</v>
      </c>
      <c r="BK1628">
        <v>1</v>
      </c>
      <c r="BL1628">
        <v>112.84</v>
      </c>
      <c r="BM1628">
        <v>16.93</v>
      </c>
      <c r="BN1628">
        <v>129.77000000000001</v>
      </c>
      <c r="BO1628">
        <v>129.77000000000001</v>
      </c>
      <c r="BQ1628" t="s">
        <v>84</v>
      </c>
      <c r="BR1628" t="s">
        <v>2120</v>
      </c>
      <c r="BS1628" s="3">
        <v>45882</v>
      </c>
      <c r="BT1628" s="4">
        <v>0.39583333333333331</v>
      </c>
      <c r="BU1628" t="s">
        <v>245</v>
      </c>
      <c r="BV1628" t="s">
        <v>86</v>
      </c>
      <c r="BY1628">
        <v>1200</v>
      </c>
      <c r="CA1628" t="s">
        <v>1743</v>
      </c>
      <c r="CC1628" t="s">
        <v>76</v>
      </c>
      <c r="CD1628">
        <v>1601</v>
      </c>
      <c r="CE1628" t="s">
        <v>109</v>
      </c>
      <c r="CF1628" s="3">
        <v>45882</v>
      </c>
      <c r="CI1628">
        <v>1</v>
      </c>
      <c r="CJ1628">
        <v>1</v>
      </c>
      <c r="CK1628">
        <v>42</v>
      </c>
      <c r="CL1628" t="s">
        <v>90</v>
      </c>
    </row>
    <row r="1629" spans="1:90" x14ac:dyDescent="0.3">
      <c r="A1629" t="s">
        <v>72</v>
      </c>
      <c r="B1629" t="s">
        <v>73</v>
      </c>
      <c r="C1629" t="s">
        <v>74</v>
      </c>
      <c r="E1629" t="str">
        <f>"080067188677"</f>
        <v>080067188677</v>
      </c>
      <c r="F1629" s="3">
        <v>45881</v>
      </c>
      <c r="G1629">
        <v>202605</v>
      </c>
      <c r="H1629" t="s">
        <v>75</v>
      </c>
      <c r="I1629" t="s">
        <v>76</v>
      </c>
      <c r="J1629" t="s">
        <v>77</v>
      </c>
      <c r="K1629" t="s">
        <v>78</v>
      </c>
      <c r="L1629" t="s">
        <v>234</v>
      </c>
      <c r="M1629" t="s">
        <v>235</v>
      </c>
      <c r="N1629" t="s">
        <v>821</v>
      </c>
      <c r="O1629" t="s">
        <v>82</v>
      </c>
      <c r="P1629" t="str">
        <f>"4170054328                    "</f>
        <v xml:space="preserve">4170054328                    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0</v>
      </c>
      <c r="AQ1629">
        <v>23.09</v>
      </c>
      <c r="AR1629">
        <v>0</v>
      </c>
      <c r="AS1629">
        <v>0</v>
      </c>
      <c r="AT1629">
        <v>0</v>
      </c>
      <c r="AU1629">
        <v>0</v>
      </c>
      <c r="AV1629">
        <v>0</v>
      </c>
      <c r="AW1629">
        <v>0</v>
      </c>
      <c r="AX1629">
        <v>0</v>
      </c>
      <c r="AY1629">
        <v>0</v>
      </c>
      <c r="AZ1629">
        <v>0</v>
      </c>
      <c r="BA1629">
        <v>0</v>
      </c>
      <c r="BB1629">
        <v>0</v>
      </c>
      <c r="BC1629">
        <v>0</v>
      </c>
      <c r="BD1629">
        <v>0</v>
      </c>
      <c r="BE1629">
        <v>0</v>
      </c>
      <c r="BF1629">
        <v>0</v>
      </c>
      <c r="BG1629">
        <v>0</v>
      </c>
      <c r="BH1629">
        <v>1</v>
      </c>
      <c r="BI1629">
        <v>2</v>
      </c>
      <c r="BJ1629">
        <v>1.9</v>
      </c>
      <c r="BK1629">
        <v>2</v>
      </c>
      <c r="BL1629">
        <v>71.69</v>
      </c>
      <c r="BM1629">
        <v>10.75</v>
      </c>
      <c r="BN1629">
        <v>82.44</v>
      </c>
      <c r="BO1629">
        <v>82.44</v>
      </c>
      <c r="BQ1629" t="s">
        <v>822</v>
      </c>
      <c r="BR1629" t="s">
        <v>84</v>
      </c>
      <c r="BS1629" s="3">
        <v>45882</v>
      </c>
      <c r="BT1629" s="4">
        <v>0.36666666666666664</v>
      </c>
      <c r="BU1629" t="s">
        <v>2316</v>
      </c>
      <c r="BV1629" t="s">
        <v>86</v>
      </c>
      <c r="BY1629">
        <v>9600</v>
      </c>
      <c r="CA1629" t="s">
        <v>824</v>
      </c>
      <c r="CC1629" t="s">
        <v>235</v>
      </c>
      <c r="CD1629" s="5" t="s">
        <v>240</v>
      </c>
      <c r="CE1629" t="s">
        <v>147</v>
      </c>
      <c r="CF1629" s="3">
        <v>45882</v>
      </c>
      <c r="CI1629">
        <v>1</v>
      </c>
      <c r="CJ1629">
        <v>1</v>
      </c>
      <c r="CK1629">
        <v>21</v>
      </c>
      <c r="CL1629" t="s">
        <v>90</v>
      </c>
    </row>
    <row r="1630" spans="1:90" x14ac:dyDescent="0.3">
      <c r="A1630" t="s">
        <v>72</v>
      </c>
      <c r="B1630" t="s">
        <v>73</v>
      </c>
      <c r="C1630" t="s">
        <v>74</v>
      </c>
      <c r="E1630" t="str">
        <f>"080067188797"</f>
        <v>080067188797</v>
      </c>
      <c r="F1630" s="3">
        <v>45881</v>
      </c>
      <c r="G1630">
        <v>202605</v>
      </c>
      <c r="H1630" t="s">
        <v>75</v>
      </c>
      <c r="I1630" t="s">
        <v>76</v>
      </c>
      <c r="J1630" t="s">
        <v>77</v>
      </c>
      <c r="K1630" t="s">
        <v>78</v>
      </c>
      <c r="L1630" t="s">
        <v>198</v>
      </c>
      <c r="M1630" t="s">
        <v>199</v>
      </c>
      <c r="N1630" t="s">
        <v>430</v>
      </c>
      <c r="O1630" t="s">
        <v>82</v>
      </c>
      <c r="P1630" t="str">
        <f>"4170054344                    "</f>
        <v xml:space="preserve">4170054344                    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0</v>
      </c>
      <c r="AQ1630">
        <v>23.09</v>
      </c>
      <c r="AR1630">
        <v>0</v>
      </c>
      <c r="AS1630">
        <v>0</v>
      </c>
      <c r="AT1630">
        <v>0</v>
      </c>
      <c r="AU1630">
        <v>0</v>
      </c>
      <c r="AV1630">
        <v>0</v>
      </c>
      <c r="AW1630">
        <v>0</v>
      </c>
      <c r="AX1630">
        <v>0</v>
      </c>
      <c r="AY1630">
        <v>0</v>
      </c>
      <c r="AZ1630">
        <v>0</v>
      </c>
      <c r="BA1630">
        <v>0</v>
      </c>
      <c r="BB1630">
        <v>0</v>
      </c>
      <c r="BC1630">
        <v>0</v>
      </c>
      <c r="BD1630">
        <v>0</v>
      </c>
      <c r="BE1630">
        <v>0</v>
      </c>
      <c r="BF1630">
        <v>0</v>
      </c>
      <c r="BG1630">
        <v>0</v>
      </c>
      <c r="BH1630">
        <v>2</v>
      </c>
      <c r="BI1630">
        <v>2</v>
      </c>
      <c r="BJ1630">
        <v>1.3</v>
      </c>
      <c r="BK1630">
        <v>2</v>
      </c>
      <c r="BL1630">
        <v>71.69</v>
      </c>
      <c r="BM1630">
        <v>10.75</v>
      </c>
      <c r="BN1630">
        <v>82.44</v>
      </c>
      <c r="BO1630">
        <v>82.44</v>
      </c>
      <c r="BQ1630" t="s">
        <v>431</v>
      </c>
      <c r="BR1630" t="s">
        <v>84</v>
      </c>
      <c r="BS1630" s="3">
        <v>45882</v>
      </c>
      <c r="BT1630" s="4">
        <v>0.34097222222222223</v>
      </c>
      <c r="BU1630" t="s">
        <v>1902</v>
      </c>
      <c r="BV1630" t="s">
        <v>86</v>
      </c>
      <c r="BY1630">
        <v>6400</v>
      </c>
      <c r="CA1630" t="s">
        <v>433</v>
      </c>
      <c r="CC1630" t="s">
        <v>199</v>
      </c>
      <c r="CD1630">
        <v>6001</v>
      </c>
      <c r="CE1630" t="s">
        <v>290</v>
      </c>
      <c r="CF1630" s="3">
        <v>45882</v>
      </c>
      <c r="CI1630">
        <v>1</v>
      </c>
      <c r="CJ1630">
        <v>1</v>
      </c>
      <c r="CK1630">
        <v>21</v>
      </c>
      <c r="CL1630" t="s">
        <v>90</v>
      </c>
    </row>
    <row r="1631" spans="1:90" x14ac:dyDescent="0.3">
      <c r="A1631" t="s">
        <v>72</v>
      </c>
      <c r="B1631" t="s">
        <v>73</v>
      </c>
      <c r="C1631" t="s">
        <v>74</v>
      </c>
      <c r="E1631" t="str">
        <f>"080067188830"</f>
        <v>080067188830</v>
      </c>
      <c r="F1631" s="3">
        <v>45881</v>
      </c>
      <c r="G1631">
        <v>202605</v>
      </c>
      <c r="H1631" t="s">
        <v>75</v>
      </c>
      <c r="I1631" t="s">
        <v>76</v>
      </c>
      <c r="J1631" t="s">
        <v>77</v>
      </c>
      <c r="K1631" t="s">
        <v>78</v>
      </c>
      <c r="L1631" t="s">
        <v>217</v>
      </c>
      <c r="M1631" t="s">
        <v>218</v>
      </c>
      <c r="N1631" t="s">
        <v>2267</v>
      </c>
      <c r="O1631" t="s">
        <v>82</v>
      </c>
      <c r="P1631" t="str">
        <f>"4170054237                    "</f>
        <v xml:space="preserve">4170054237                    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0</v>
      </c>
      <c r="AQ1631">
        <v>23.09</v>
      </c>
      <c r="AR1631">
        <v>0</v>
      </c>
      <c r="AS1631">
        <v>0</v>
      </c>
      <c r="AT1631">
        <v>0</v>
      </c>
      <c r="AU1631">
        <v>0</v>
      </c>
      <c r="AV1631">
        <v>0</v>
      </c>
      <c r="AW1631">
        <v>0</v>
      </c>
      <c r="AX1631">
        <v>0</v>
      </c>
      <c r="AY1631">
        <v>0</v>
      </c>
      <c r="AZ1631">
        <v>0</v>
      </c>
      <c r="BA1631">
        <v>0</v>
      </c>
      <c r="BB1631">
        <v>0</v>
      </c>
      <c r="BC1631">
        <v>0</v>
      </c>
      <c r="BD1631">
        <v>0</v>
      </c>
      <c r="BE1631">
        <v>0</v>
      </c>
      <c r="BF1631">
        <v>0</v>
      </c>
      <c r="BG1631">
        <v>0</v>
      </c>
      <c r="BH1631">
        <v>1</v>
      </c>
      <c r="BI1631">
        <v>1</v>
      </c>
      <c r="BJ1631">
        <v>0.2</v>
      </c>
      <c r="BK1631">
        <v>1</v>
      </c>
      <c r="BL1631">
        <v>71.69</v>
      </c>
      <c r="BM1631">
        <v>10.75</v>
      </c>
      <c r="BN1631">
        <v>82.44</v>
      </c>
      <c r="BO1631">
        <v>82.44</v>
      </c>
      <c r="BQ1631" t="s">
        <v>2268</v>
      </c>
      <c r="BR1631" t="s">
        <v>84</v>
      </c>
      <c r="BS1631" s="3">
        <v>45882</v>
      </c>
      <c r="BT1631" s="4">
        <v>0.36736111111111114</v>
      </c>
      <c r="BU1631" t="s">
        <v>1548</v>
      </c>
      <c r="BV1631" t="s">
        <v>86</v>
      </c>
      <c r="BY1631">
        <v>1200</v>
      </c>
      <c r="CA1631" t="s">
        <v>2229</v>
      </c>
      <c r="CC1631" t="s">
        <v>218</v>
      </c>
      <c r="CD1631">
        <v>4052</v>
      </c>
      <c r="CE1631" t="s">
        <v>109</v>
      </c>
      <c r="CF1631" s="3">
        <v>45882</v>
      </c>
      <c r="CI1631">
        <v>1</v>
      </c>
      <c r="CJ1631">
        <v>1</v>
      </c>
      <c r="CK1631">
        <v>21</v>
      </c>
      <c r="CL1631" t="s">
        <v>90</v>
      </c>
    </row>
    <row r="1632" spans="1:90" x14ac:dyDescent="0.3">
      <c r="A1632" t="s">
        <v>72</v>
      </c>
      <c r="B1632" t="s">
        <v>73</v>
      </c>
      <c r="C1632" t="s">
        <v>74</v>
      </c>
      <c r="E1632" t="str">
        <f>"080067188851"</f>
        <v>080067188851</v>
      </c>
      <c r="F1632" s="3">
        <v>45881</v>
      </c>
      <c r="G1632">
        <v>202605</v>
      </c>
      <c r="H1632" t="s">
        <v>75</v>
      </c>
      <c r="I1632" t="s">
        <v>76</v>
      </c>
      <c r="J1632" t="s">
        <v>77</v>
      </c>
      <c r="K1632" t="s">
        <v>78</v>
      </c>
      <c r="L1632" t="s">
        <v>385</v>
      </c>
      <c r="M1632" t="s">
        <v>386</v>
      </c>
      <c r="N1632" t="s">
        <v>1030</v>
      </c>
      <c r="O1632" t="s">
        <v>82</v>
      </c>
      <c r="P1632" t="str">
        <f>"4170054270                    "</f>
        <v xml:space="preserve">4170054270                    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0</v>
      </c>
      <c r="AQ1632">
        <v>18.03</v>
      </c>
      <c r="AR1632">
        <v>0</v>
      </c>
      <c r="AS1632">
        <v>0</v>
      </c>
      <c r="AT1632">
        <v>0</v>
      </c>
      <c r="AU1632">
        <v>0</v>
      </c>
      <c r="AV1632">
        <v>0</v>
      </c>
      <c r="AW1632">
        <v>0</v>
      </c>
      <c r="AX1632">
        <v>0</v>
      </c>
      <c r="AY1632">
        <v>0</v>
      </c>
      <c r="AZ1632">
        <v>0</v>
      </c>
      <c r="BA1632">
        <v>0</v>
      </c>
      <c r="BB1632">
        <v>0</v>
      </c>
      <c r="BC1632">
        <v>0</v>
      </c>
      <c r="BD1632">
        <v>0</v>
      </c>
      <c r="BE1632">
        <v>0</v>
      </c>
      <c r="BF1632">
        <v>0</v>
      </c>
      <c r="BG1632">
        <v>0</v>
      </c>
      <c r="BH1632">
        <v>1</v>
      </c>
      <c r="BI1632">
        <v>3</v>
      </c>
      <c r="BJ1632">
        <v>1.7</v>
      </c>
      <c r="BK1632">
        <v>3</v>
      </c>
      <c r="BL1632">
        <v>55.99</v>
      </c>
      <c r="BM1632">
        <v>8.4</v>
      </c>
      <c r="BN1632">
        <v>64.39</v>
      </c>
      <c r="BO1632">
        <v>64.39</v>
      </c>
      <c r="BQ1632" t="s">
        <v>1031</v>
      </c>
      <c r="BR1632" t="s">
        <v>84</v>
      </c>
      <c r="BS1632" s="3">
        <v>45882</v>
      </c>
      <c r="BT1632" s="4">
        <v>0.30555555555555558</v>
      </c>
      <c r="BU1632" t="s">
        <v>2317</v>
      </c>
      <c r="BV1632" t="s">
        <v>86</v>
      </c>
      <c r="BY1632">
        <v>8512</v>
      </c>
      <c r="CA1632" t="s">
        <v>851</v>
      </c>
      <c r="CC1632" t="s">
        <v>386</v>
      </c>
      <c r="CD1632">
        <v>1559</v>
      </c>
      <c r="CE1632" t="s">
        <v>147</v>
      </c>
      <c r="CF1632" s="3">
        <v>45882</v>
      </c>
      <c r="CI1632">
        <v>1</v>
      </c>
      <c r="CJ1632">
        <v>1</v>
      </c>
      <c r="CK1632">
        <v>22</v>
      </c>
      <c r="CL1632" t="s">
        <v>90</v>
      </c>
    </row>
    <row r="1633" spans="1:90" x14ac:dyDescent="0.3">
      <c r="A1633" t="s">
        <v>72</v>
      </c>
      <c r="B1633" t="s">
        <v>73</v>
      </c>
      <c r="C1633" t="s">
        <v>74</v>
      </c>
      <c r="E1633" t="str">
        <f>"080067188879"</f>
        <v>080067188879</v>
      </c>
      <c r="F1633" s="3">
        <v>45881</v>
      </c>
      <c r="G1633">
        <v>202605</v>
      </c>
      <c r="H1633" t="s">
        <v>75</v>
      </c>
      <c r="I1633" t="s">
        <v>76</v>
      </c>
      <c r="J1633" t="s">
        <v>77</v>
      </c>
      <c r="K1633" t="s">
        <v>78</v>
      </c>
      <c r="L1633" t="s">
        <v>255</v>
      </c>
      <c r="M1633" t="s">
        <v>256</v>
      </c>
      <c r="N1633" t="s">
        <v>2318</v>
      </c>
      <c r="O1633" t="s">
        <v>82</v>
      </c>
      <c r="P1633" t="str">
        <f>"4170054227                    "</f>
        <v xml:space="preserve">4170054227                    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0</v>
      </c>
      <c r="AP1633">
        <v>0</v>
      </c>
      <c r="AQ1633">
        <v>18.03</v>
      </c>
      <c r="AR1633">
        <v>0</v>
      </c>
      <c r="AS1633">
        <v>0</v>
      </c>
      <c r="AT1633">
        <v>0</v>
      </c>
      <c r="AU1633">
        <v>0</v>
      </c>
      <c r="AV1633">
        <v>0</v>
      </c>
      <c r="AW1633">
        <v>0</v>
      </c>
      <c r="AX1633">
        <v>0</v>
      </c>
      <c r="AY1633">
        <v>0</v>
      </c>
      <c r="AZ1633">
        <v>0</v>
      </c>
      <c r="BA1633">
        <v>0</v>
      </c>
      <c r="BB1633">
        <v>0</v>
      </c>
      <c r="BC1633">
        <v>0</v>
      </c>
      <c r="BD1633">
        <v>0</v>
      </c>
      <c r="BE1633">
        <v>0</v>
      </c>
      <c r="BF1633">
        <v>0</v>
      </c>
      <c r="BG1633">
        <v>0</v>
      </c>
      <c r="BH1633">
        <v>1</v>
      </c>
      <c r="BI1633">
        <v>3</v>
      </c>
      <c r="BJ1633">
        <v>1.7</v>
      </c>
      <c r="BK1633">
        <v>3</v>
      </c>
      <c r="BL1633">
        <v>55.99</v>
      </c>
      <c r="BM1633">
        <v>8.4</v>
      </c>
      <c r="BN1633">
        <v>64.39</v>
      </c>
      <c r="BO1633">
        <v>64.39</v>
      </c>
      <c r="BQ1633" t="s">
        <v>2319</v>
      </c>
      <c r="BR1633" t="s">
        <v>84</v>
      </c>
      <c r="BS1633" s="3">
        <v>45882</v>
      </c>
      <c r="BT1633" s="4">
        <v>0.37152777777777779</v>
      </c>
      <c r="BU1633" t="s">
        <v>2320</v>
      </c>
      <c r="BV1633" t="s">
        <v>86</v>
      </c>
      <c r="BY1633">
        <v>8512</v>
      </c>
      <c r="CA1633" t="s">
        <v>1487</v>
      </c>
      <c r="CC1633" t="s">
        <v>256</v>
      </c>
      <c r="CD1633">
        <v>1501</v>
      </c>
      <c r="CE1633" t="s">
        <v>147</v>
      </c>
      <c r="CF1633" s="3">
        <v>45882</v>
      </c>
      <c r="CI1633">
        <v>1</v>
      </c>
      <c r="CJ1633">
        <v>1</v>
      </c>
      <c r="CK1633">
        <v>22</v>
      </c>
      <c r="CL1633" t="s">
        <v>90</v>
      </c>
    </row>
    <row r="1634" spans="1:90" x14ac:dyDescent="0.3">
      <c r="A1634" t="s">
        <v>72</v>
      </c>
      <c r="B1634" t="s">
        <v>73</v>
      </c>
      <c r="C1634" t="s">
        <v>74</v>
      </c>
      <c r="E1634" t="str">
        <f>"080067188930"</f>
        <v>080067188930</v>
      </c>
      <c r="F1634" s="3">
        <v>45881</v>
      </c>
      <c r="G1634">
        <v>202605</v>
      </c>
      <c r="H1634" t="s">
        <v>75</v>
      </c>
      <c r="I1634" t="s">
        <v>76</v>
      </c>
      <c r="J1634" t="s">
        <v>77</v>
      </c>
      <c r="K1634" t="s">
        <v>78</v>
      </c>
      <c r="L1634" t="s">
        <v>373</v>
      </c>
      <c r="M1634" t="s">
        <v>374</v>
      </c>
      <c r="N1634" t="s">
        <v>1695</v>
      </c>
      <c r="O1634" t="s">
        <v>82</v>
      </c>
      <c r="P1634" t="str">
        <f>"4170054341                    "</f>
        <v xml:space="preserve">4170054341                    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>
        <v>0</v>
      </c>
      <c r="AQ1634">
        <v>69.22</v>
      </c>
      <c r="AR1634">
        <v>0</v>
      </c>
      <c r="AS1634">
        <v>0</v>
      </c>
      <c r="AT1634">
        <v>0</v>
      </c>
      <c r="AU1634">
        <v>0</v>
      </c>
      <c r="AV1634">
        <v>0</v>
      </c>
      <c r="AW1634">
        <v>0</v>
      </c>
      <c r="AX1634">
        <v>0</v>
      </c>
      <c r="AY1634">
        <v>0</v>
      </c>
      <c r="AZ1634">
        <v>0</v>
      </c>
      <c r="BA1634">
        <v>0</v>
      </c>
      <c r="BB1634">
        <v>0</v>
      </c>
      <c r="BC1634">
        <v>0</v>
      </c>
      <c r="BD1634">
        <v>0</v>
      </c>
      <c r="BE1634">
        <v>0</v>
      </c>
      <c r="BF1634">
        <v>0</v>
      </c>
      <c r="BG1634">
        <v>0</v>
      </c>
      <c r="BH1634">
        <v>1</v>
      </c>
      <c r="BI1634">
        <v>6</v>
      </c>
      <c r="BJ1634">
        <v>3.1</v>
      </c>
      <c r="BK1634">
        <v>6</v>
      </c>
      <c r="BL1634">
        <v>214.94</v>
      </c>
      <c r="BM1634">
        <v>32.24</v>
      </c>
      <c r="BN1634">
        <v>247.18</v>
      </c>
      <c r="BO1634">
        <v>247.18</v>
      </c>
      <c r="BQ1634" t="s">
        <v>1696</v>
      </c>
      <c r="BR1634" t="s">
        <v>84</v>
      </c>
      <c r="BS1634" s="3">
        <v>45882</v>
      </c>
      <c r="BT1634" s="4">
        <v>0.41319444444444442</v>
      </c>
      <c r="BU1634" t="s">
        <v>1697</v>
      </c>
      <c r="BV1634" t="s">
        <v>86</v>
      </c>
      <c r="BY1634">
        <v>15360</v>
      </c>
      <c r="CA1634" t="s">
        <v>203</v>
      </c>
      <c r="CC1634" t="s">
        <v>374</v>
      </c>
      <c r="CD1634">
        <v>6220</v>
      </c>
      <c r="CE1634" t="s">
        <v>147</v>
      </c>
      <c r="CF1634" s="3">
        <v>45882</v>
      </c>
      <c r="CI1634">
        <v>1</v>
      </c>
      <c r="CJ1634">
        <v>1</v>
      </c>
      <c r="CK1634">
        <v>21</v>
      </c>
      <c r="CL1634" t="s">
        <v>90</v>
      </c>
    </row>
    <row r="1635" spans="1:90" x14ac:dyDescent="0.3">
      <c r="A1635" t="s">
        <v>72</v>
      </c>
      <c r="B1635" t="s">
        <v>73</v>
      </c>
      <c r="C1635" t="s">
        <v>74</v>
      </c>
      <c r="E1635" t="str">
        <f>"080067188969"</f>
        <v>080067188969</v>
      </c>
      <c r="F1635" s="3">
        <v>45881</v>
      </c>
      <c r="G1635">
        <v>202605</v>
      </c>
      <c r="H1635" t="s">
        <v>75</v>
      </c>
      <c r="I1635" t="s">
        <v>76</v>
      </c>
      <c r="J1635" t="s">
        <v>77</v>
      </c>
      <c r="K1635" t="s">
        <v>78</v>
      </c>
      <c r="L1635" t="s">
        <v>179</v>
      </c>
      <c r="M1635" t="s">
        <v>180</v>
      </c>
      <c r="N1635" t="s">
        <v>181</v>
      </c>
      <c r="O1635" t="s">
        <v>82</v>
      </c>
      <c r="P1635" t="str">
        <f>"4170054340                    "</f>
        <v xml:space="preserve">4170054340                    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0</v>
      </c>
      <c r="AP1635">
        <v>0</v>
      </c>
      <c r="AQ1635">
        <v>32.47</v>
      </c>
      <c r="AR1635">
        <v>0</v>
      </c>
      <c r="AS1635">
        <v>0</v>
      </c>
      <c r="AT1635">
        <v>0</v>
      </c>
      <c r="AU1635">
        <v>0</v>
      </c>
      <c r="AV1635">
        <v>0</v>
      </c>
      <c r="AW1635">
        <v>0</v>
      </c>
      <c r="AX1635">
        <v>0</v>
      </c>
      <c r="AY1635">
        <v>0</v>
      </c>
      <c r="AZ1635">
        <v>0</v>
      </c>
      <c r="BA1635">
        <v>0</v>
      </c>
      <c r="BB1635">
        <v>0</v>
      </c>
      <c r="BC1635">
        <v>0</v>
      </c>
      <c r="BD1635">
        <v>0</v>
      </c>
      <c r="BE1635">
        <v>0</v>
      </c>
      <c r="BF1635">
        <v>0</v>
      </c>
      <c r="BG1635">
        <v>0</v>
      </c>
      <c r="BH1635">
        <v>1</v>
      </c>
      <c r="BI1635">
        <v>1</v>
      </c>
      <c r="BJ1635">
        <v>1.3</v>
      </c>
      <c r="BK1635">
        <v>1.5</v>
      </c>
      <c r="BL1635">
        <v>100.82</v>
      </c>
      <c r="BM1635">
        <v>15.12</v>
      </c>
      <c r="BN1635">
        <v>115.94</v>
      </c>
      <c r="BO1635">
        <v>115.94</v>
      </c>
      <c r="BQ1635" t="s">
        <v>182</v>
      </c>
      <c r="BR1635" t="s">
        <v>84</v>
      </c>
      <c r="BS1635" s="3">
        <v>45882</v>
      </c>
      <c r="BT1635" s="4">
        <v>0.38541666666666669</v>
      </c>
      <c r="BU1635" t="s">
        <v>543</v>
      </c>
      <c r="BV1635" t="s">
        <v>86</v>
      </c>
      <c r="BY1635">
        <v>6384</v>
      </c>
      <c r="CA1635" t="s">
        <v>184</v>
      </c>
      <c r="CC1635" t="s">
        <v>180</v>
      </c>
      <c r="CD1635">
        <v>1748</v>
      </c>
      <c r="CE1635" t="s">
        <v>147</v>
      </c>
      <c r="CF1635" s="3">
        <v>45882</v>
      </c>
      <c r="CI1635">
        <v>1</v>
      </c>
      <c r="CJ1635">
        <v>1</v>
      </c>
      <c r="CK1635">
        <v>24</v>
      </c>
      <c r="CL1635" t="s">
        <v>90</v>
      </c>
    </row>
    <row r="1636" spans="1:90" x14ac:dyDescent="0.3">
      <c r="A1636" t="s">
        <v>72</v>
      </c>
      <c r="B1636" t="s">
        <v>73</v>
      </c>
      <c r="C1636" t="s">
        <v>74</v>
      </c>
      <c r="E1636" t="str">
        <f>"080067189273"</f>
        <v>080067189273</v>
      </c>
      <c r="F1636" s="3">
        <v>45881</v>
      </c>
      <c r="G1636">
        <v>202605</v>
      </c>
      <c r="H1636" t="s">
        <v>75</v>
      </c>
      <c r="I1636" t="s">
        <v>76</v>
      </c>
      <c r="J1636" t="s">
        <v>77</v>
      </c>
      <c r="K1636" t="s">
        <v>78</v>
      </c>
      <c r="L1636" t="s">
        <v>162</v>
      </c>
      <c r="M1636" t="s">
        <v>163</v>
      </c>
      <c r="N1636" t="s">
        <v>2321</v>
      </c>
      <c r="O1636" t="s">
        <v>82</v>
      </c>
      <c r="P1636" t="str">
        <f>"4170054290                    "</f>
        <v xml:space="preserve">4170054290                    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0</v>
      </c>
      <c r="AQ1636">
        <v>23.09</v>
      </c>
      <c r="AR1636">
        <v>0</v>
      </c>
      <c r="AS1636">
        <v>0</v>
      </c>
      <c r="AT1636">
        <v>0</v>
      </c>
      <c r="AU1636">
        <v>0</v>
      </c>
      <c r="AV1636">
        <v>0</v>
      </c>
      <c r="AW1636">
        <v>0</v>
      </c>
      <c r="AX1636">
        <v>0</v>
      </c>
      <c r="AY1636">
        <v>0</v>
      </c>
      <c r="AZ1636">
        <v>0</v>
      </c>
      <c r="BA1636">
        <v>0</v>
      </c>
      <c r="BB1636">
        <v>0</v>
      </c>
      <c r="BC1636">
        <v>0</v>
      </c>
      <c r="BD1636">
        <v>0</v>
      </c>
      <c r="BE1636">
        <v>0</v>
      </c>
      <c r="BF1636">
        <v>0</v>
      </c>
      <c r="BG1636">
        <v>0</v>
      </c>
      <c r="BH1636">
        <v>1</v>
      </c>
      <c r="BI1636">
        <v>1</v>
      </c>
      <c r="BJ1636">
        <v>0.2</v>
      </c>
      <c r="BK1636">
        <v>1</v>
      </c>
      <c r="BL1636">
        <v>71.69</v>
      </c>
      <c r="BM1636">
        <v>10.75</v>
      </c>
      <c r="BN1636">
        <v>82.44</v>
      </c>
      <c r="BO1636">
        <v>82.44</v>
      </c>
      <c r="BQ1636" t="s">
        <v>2322</v>
      </c>
      <c r="BR1636" t="s">
        <v>84</v>
      </c>
      <c r="BS1636" s="3">
        <v>45882</v>
      </c>
      <c r="BT1636" s="4">
        <v>0.41666666666666669</v>
      </c>
      <c r="BU1636" t="s">
        <v>2323</v>
      </c>
      <c r="BV1636" t="s">
        <v>86</v>
      </c>
      <c r="BY1636">
        <v>1200</v>
      </c>
      <c r="CA1636" t="s">
        <v>919</v>
      </c>
      <c r="CC1636" t="s">
        <v>163</v>
      </c>
      <c r="CD1636">
        <v>3200</v>
      </c>
      <c r="CE1636" t="s">
        <v>109</v>
      </c>
      <c r="CF1636" s="3">
        <v>45883</v>
      </c>
      <c r="CI1636">
        <v>1</v>
      </c>
      <c r="CJ1636">
        <v>1</v>
      </c>
      <c r="CK1636">
        <v>21</v>
      </c>
      <c r="CL1636" t="s">
        <v>90</v>
      </c>
    </row>
    <row r="1637" spans="1:90" x14ac:dyDescent="0.3">
      <c r="A1637" t="s">
        <v>72</v>
      </c>
      <c r="B1637" t="s">
        <v>73</v>
      </c>
      <c r="C1637" t="s">
        <v>74</v>
      </c>
      <c r="E1637" t="str">
        <f>"080067189292"</f>
        <v>080067189292</v>
      </c>
      <c r="F1637" s="3">
        <v>45881</v>
      </c>
      <c r="G1637">
        <v>202605</v>
      </c>
      <c r="H1637" t="s">
        <v>75</v>
      </c>
      <c r="I1637" t="s">
        <v>76</v>
      </c>
      <c r="J1637" t="s">
        <v>77</v>
      </c>
      <c r="K1637" t="s">
        <v>78</v>
      </c>
      <c r="L1637" t="s">
        <v>198</v>
      </c>
      <c r="M1637" t="s">
        <v>199</v>
      </c>
      <c r="N1637" t="s">
        <v>430</v>
      </c>
      <c r="O1637" t="s">
        <v>82</v>
      </c>
      <c r="P1637" t="str">
        <f>"4170054345                    "</f>
        <v xml:space="preserve">4170054345                    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Q1637">
        <v>23.09</v>
      </c>
      <c r="AR1637">
        <v>0</v>
      </c>
      <c r="AS1637">
        <v>0</v>
      </c>
      <c r="AT1637">
        <v>0</v>
      </c>
      <c r="AU1637">
        <v>0</v>
      </c>
      <c r="AV1637">
        <v>0</v>
      </c>
      <c r="AW1637">
        <v>0</v>
      </c>
      <c r="AX1637">
        <v>0</v>
      </c>
      <c r="AY1637">
        <v>0</v>
      </c>
      <c r="AZ1637">
        <v>0</v>
      </c>
      <c r="BA1637">
        <v>0</v>
      </c>
      <c r="BB1637">
        <v>0</v>
      </c>
      <c r="BC1637">
        <v>0</v>
      </c>
      <c r="BD1637">
        <v>0</v>
      </c>
      <c r="BE1637">
        <v>0</v>
      </c>
      <c r="BF1637">
        <v>0</v>
      </c>
      <c r="BG1637">
        <v>0</v>
      </c>
      <c r="BH1637">
        <v>1</v>
      </c>
      <c r="BI1637">
        <v>1</v>
      </c>
      <c r="BJ1637">
        <v>0.2</v>
      </c>
      <c r="BK1637">
        <v>1</v>
      </c>
      <c r="BL1637">
        <v>71.69</v>
      </c>
      <c r="BM1637">
        <v>10.75</v>
      </c>
      <c r="BN1637">
        <v>82.44</v>
      </c>
      <c r="BO1637">
        <v>82.44</v>
      </c>
      <c r="BQ1637" t="s">
        <v>431</v>
      </c>
      <c r="BR1637" t="s">
        <v>84</v>
      </c>
      <c r="BS1637" s="3">
        <v>45882</v>
      </c>
      <c r="BT1637" s="4">
        <v>0.34166666666666667</v>
      </c>
      <c r="BU1637" t="s">
        <v>1902</v>
      </c>
      <c r="BV1637" t="s">
        <v>86</v>
      </c>
      <c r="BY1637">
        <v>1200</v>
      </c>
      <c r="CA1637" t="s">
        <v>433</v>
      </c>
      <c r="CC1637" t="s">
        <v>199</v>
      </c>
      <c r="CD1637">
        <v>6001</v>
      </c>
      <c r="CE1637" t="s">
        <v>109</v>
      </c>
      <c r="CF1637" s="3">
        <v>45882</v>
      </c>
      <c r="CI1637">
        <v>1</v>
      </c>
      <c r="CJ1637">
        <v>1</v>
      </c>
      <c r="CK1637">
        <v>21</v>
      </c>
      <c r="CL1637" t="s">
        <v>90</v>
      </c>
    </row>
    <row r="1638" spans="1:90" x14ac:dyDescent="0.3">
      <c r="A1638" t="s">
        <v>72</v>
      </c>
      <c r="B1638" t="s">
        <v>73</v>
      </c>
      <c r="C1638" t="s">
        <v>74</v>
      </c>
      <c r="E1638" t="str">
        <f>"080067189403"</f>
        <v>080067189403</v>
      </c>
      <c r="F1638" s="3">
        <v>45881</v>
      </c>
      <c r="G1638">
        <v>202605</v>
      </c>
      <c r="H1638" t="s">
        <v>75</v>
      </c>
      <c r="I1638" t="s">
        <v>76</v>
      </c>
      <c r="J1638" t="s">
        <v>77</v>
      </c>
      <c r="K1638" t="s">
        <v>78</v>
      </c>
      <c r="L1638" t="s">
        <v>1316</v>
      </c>
      <c r="M1638" t="s">
        <v>1317</v>
      </c>
      <c r="N1638" t="s">
        <v>2324</v>
      </c>
      <c r="O1638" t="s">
        <v>82</v>
      </c>
      <c r="P1638" t="str">
        <f>"4170054370                    "</f>
        <v xml:space="preserve">4170054370                    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0</v>
      </c>
      <c r="AQ1638">
        <v>23.09</v>
      </c>
      <c r="AR1638">
        <v>0</v>
      </c>
      <c r="AS1638">
        <v>0</v>
      </c>
      <c r="AT1638">
        <v>0</v>
      </c>
      <c r="AU1638">
        <v>0</v>
      </c>
      <c r="AV1638">
        <v>0</v>
      </c>
      <c r="AW1638">
        <v>0</v>
      </c>
      <c r="AX1638">
        <v>0</v>
      </c>
      <c r="AY1638">
        <v>0</v>
      </c>
      <c r="AZ1638">
        <v>0</v>
      </c>
      <c r="BA1638">
        <v>0</v>
      </c>
      <c r="BB1638">
        <v>0</v>
      </c>
      <c r="BC1638">
        <v>0</v>
      </c>
      <c r="BD1638">
        <v>0</v>
      </c>
      <c r="BE1638">
        <v>0</v>
      </c>
      <c r="BF1638">
        <v>0</v>
      </c>
      <c r="BG1638">
        <v>0</v>
      </c>
      <c r="BH1638">
        <v>1</v>
      </c>
      <c r="BI1638">
        <v>1</v>
      </c>
      <c r="BJ1638">
        <v>0.2</v>
      </c>
      <c r="BK1638">
        <v>1</v>
      </c>
      <c r="BL1638">
        <v>71.69</v>
      </c>
      <c r="BM1638">
        <v>10.75</v>
      </c>
      <c r="BN1638">
        <v>82.44</v>
      </c>
      <c r="BO1638">
        <v>82.44</v>
      </c>
      <c r="BQ1638" t="s">
        <v>2325</v>
      </c>
      <c r="BR1638" t="s">
        <v>84</v>
      </c>
      <c r="BS1638" s="3">
        <v>45882</v>
      </c>
      <c r="BT1638" s="4">
        <v>0.4236111111111111</v>
      </c>
      <c r="BU1638" t="s">
        <v>2326</v>
      </c>
      <c r="BV1638" t="s">
        <v>86</v>
      </c>
      <c r="BY1638">
        <v>1200</v>
      </c>
      <c r="CA1638" t="s">
        <v>136</v>
      </c>
      <c r="CC1638" t="s">
        <v>1317</v>
      </c>
      <c r="CD1638">
        <v>4026</v>
      </c>
      <c r="CE1638" t="s">
        <v>109</v>
      </c>
      <c r="CF1638" s="3">
        <v>45883</v>
      </c>
      <c r="CI1638">
        <v>1</v>
      </c>
      <c r="CJ1638">
        <v>1</v>
      </c>
      <c r="CK1638">
        <v>21</v>
      </c>
      <c r="CL1638" t="s">
        <v>90</v>
      </c>
    </row>
    <row r="1639" spans="1:90" x14ac:dyDescent="0.3">
      <c r="A1639" t="s">
        <v>72</v>
      </c>
      <c r="B1639" t="s">
        <v>73</v>
      </c>
      <c r="C1639" t="s">
        <v>74</v>
      </c>
      <c r="E1639" t="str">
        <f>"080067189466"</f>
        <v>080067189466</v>
      </c>
      <c r="F1639" s="3">
        <v>45881</v>
      </c>
      <c r="G1639">
        <v>202605</v>
      </c>
      <c r="H1639" t="s">
        <v>75</v>
      </c>
      <c r="I1639" t="s">
        <v>76</v>
      </c>
      <c r="J1639" t="s">
        <v>77</v>
      </c>
      <c r="K1639" t="s">
        <v>78</v>
      </c>
      <c r="L1639" t="s">
        <v>520</v>
      </c>
      <c r="M1639" t="s">
        <v>521</v>
      </c>
      <c r="N1639" t="s">
        <v>522</v>
      </c>
      <c r="O1639" t="s">
        <v>82</v>
      </c>
      <c r="P1639" t="str">
        <f>"4170054359                    "</f>
        <v xml:space="preserve">4170054359                    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0</v>
      </c>
      <c r="AQ1639">
        <v>44.73</v>
      </c>
      <c r="AR1639">
        <v>0</v>
      </c>
      <c r="AS1639">
        <v>0</v>
      </c>
      <c r="AT1639">
        <v>0</v>
      </c>
      <c r="AU1639">
        <v>0</v>
      </c>
      <c r="AV1639">
        <v>0</v>
      </c>
      <c r="AW1639">
        <v>0</v>
      </c>
      <c r="AX1639">
        <v>0</v>
      </c>
      <c r="AY1639">
        <v>0</v>
      </c>
      <c r="AZ1639">
        <v>0</v>
      </c>
      <c r="BA1639">
        <v>0</v>
      </c>
      <c r="BB1639">
        <v>0</v>
      </c>
      <c r="BC1639">
        <v>0</v>
      </c>
      <c r="BD1639">
        <v>0</v>
      </c>
      <c r="BE1639">
        <v>0</v>
      </c>
      <c r="BF1639">
        <v>0</v>
      </c>
      <c r="BG1639">
        <v>0</v>
      </c>
      <c r="BH1639">
        <v>1</v>
      </c>
      <c r="BI1639">
        <v>1</v>
      </c>
      <c r="BJ1639">
        <v>0.2</v>
      </c>
      <c r="BK1639">
        <v>1</v>
      </c>
      <c r="BL1639">
        <v>138.88999999999999</v>
      </c>
      <c r="BM1639">
        <v>20.83</v>
      </c>
      <c r="BN1639">
        <v>159.72</v>
      </c>
      <c r="BO1639">
        <v>159.72</v>
      </c>
      <c r="BQ1639" t="s">
        <v>523</v>
      </c>
      <c r="BR1639" t="s">
        <v>84</v>
      </c>
      <c r="BS1639" s="3">
        <v>45882</v>
      </c>
      <c r="BT1639" s="4">
        <v>0.4375</v>
      </c>
      <c r="BU1639" t="s">
        <v>524</v>
      </c>
      <c r="BV1639" t="s">
        <v>86</v>
      </c>
      <c r="BY1639">
        <v>1200</v>
      </c>
      <c r="CA1639" t="s">
        <v>525</v>
      </c>
      <c r="CC1639" t="s">
        <v>521</v>
      </c>
      <c r="CD1639">
        <v>1871</v>
      </c>
      <c r="CE1639" t="s">
        <v>109</v>
      </c>
      <c r="CF1639" s="3">
        <v>45882</v>
      </c>
      <c r="CI1639">
        <v>1</v>
      </c>
      <c r="CJ1639">
        <v>1</v>
      </c>
      <c r="CK1639">
        <v>23</v>
      </c>
      <c r="CL1639" t="s">
        <v>90</v>
      </c>
    </row>
    <row r="1640" spans="1:90" x14ac:dyDescent="0.3">
      <c r="A1640" t="s">
        <v>72</v>
      </c>
      <c r="B1640" t="s">
        <v>73</v>
      </c>
      <c r="C1640" t="s">
        <v>74</v>
      </c>
      <c r="E1640" t="str">
        <f>"080067189507"</f>
        <v>080067189507</v>
      </c>
      <c r="F1640" s="3">
        <v>45881</v>
      </c>
      <c r="G1640">
        <v>202605</v>
      </c>
      <c r="H1640" t="s">
        <v>75</v>
      </c>
      <c r="I1640" t="s">
        <v>76</v>
      </c>
      <c r="J1640" t="s">
        <v>77</v>
      </c>
      <c r="K1640" t="s">
        <v>78</v>
      </c>
      <c r="L1640" t="s">
        <v>79</v>
      </c>
      <c r="M1640" t="s">
        <v>80</v>
      </c>
      <c r="N1640" t="s">
        <v>1154</v>
      </c>
      <c r="O1640" t="s">
        <v>82</v>
      </c>
      <c r="P1640" t="str">
        <f>"4170054364                    "</f>
        <v xml:space="preserve">4170054364                    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0</v>
      </c>
      <c r="AQ1640">
        <v>18.03</v>
      </c>
      <c r="AR1640">
        <v>0</v>
      </c>
      <c r="AS1640">
        <v>0</v>
      </c>
      <c r="AT1640">
        <v>0</v>
      </c>
      <c r="AU1640">
        <v>0</v>
      </c>
      <c r="AV1640">
        <v>0</v>
      </c>
      <c r="AW1640">
        <v>0</v>
      </c>
      <c r="AX1640">
        <v>0</v>
      </c>
      <c r="AY1640">
        <v>0</v>
      </c>
      <c r="AZ1640">
        <v>0</v>
      </c>
      <c r="BA1640">
        <v>0</v>
      </c>
      <c r="BB1640">
        <v>0</v>
      </c>
      <c r="BC1640">
        <v>0</v>
      </c>
      <c r="BD1640">
        <v>0</v>
      </c>
      <c r="BE1640">
        <v>0</v>
      </c>
      <c r="BF1640">
        <v>0</v>
      </c>
      <c r="BG1640">
        <v>0</v>
      </c>
      <c r="BH1640">
        <v>1</v>
      </c>
      <c r="BI1640">
        <v>1</v>
      </c>
      <c r="BJ1640">
        <v>0.2</v>
      </c>
      <c r="BK1640">
        <v>1</v>
      </c>
      <c r="BL1640">
        <v>55.99</v>
      </c>
      <c r="BM1640">
        <v>8.4</v>
      </c>
      <c r="BN1640">
        <v>64.39</v>
      </c>
      <c r="BO1640">
        <v>64.39</v>
      </c>
      <c r="BQ1640" t="s">
        <v>1155</v>
      </c>
      <c r="BR1640" t="s">
        <v>84</v>
      </c>
      <c r="BS1640" s="3">
        <v>45882</v>
      </c>
      <c r="BT1640" s="4">
        <v>0.37430555555555556</v>
      </c>
      <c r="BU1640" t="s">
        <v>738</v>
      </c>
      <c r="BV1640" t="s">
        <v>86</v>
      </c>
      <c r="BY1640">
        <v>1200</v>
      </c>
      <c r="CA1640" t="s">
        <v>188</v>
      </c>
      <c r="CC1640" t="s">
        <v>80</v>
      </c>
      <c r="CD1640">
        <v>1401</v>
      </c>
      <c r="CE1640" t="s">
        <v>109</v>
      </c>
      <c r="CF1640" s="3">
        <v>45882</v>
      </c>
      <c r="CI1640">
        <v>1</v>
      </c>
      <c r="CJ1640">
        <v>1</v>
      </c>
      <c r="CK1640">
        <v>22</v>
      </c>
      <c r="CL1640" t="s">
        <v>90</v>
      </c>
    </row>
    <row r="1641" spans="1:90" x14ac:dyDescent="0.3">
      <c r="A1641" t="s">
        <v>72</v>
      </c>
      <c r="B1641" t="s">
        <v>73</v>
      </c>
      <c r="C1641" t="s">
        <v>74</v>
      </c>
      <c r="E1641" t="str">
        <f>"080067189543"</f>
        <v>080067189543</v>
      </c>
      <c r="F1641" s="3">
        <v>45881</v>
      </c>
      <c r="G1641">
        <v>202605</v>
      </c>
      <c r="H1641" t="s">
        <v>75</v>
      </c>
      <c r="I1641" t="s">
        <v>76</v>
      </c>
      <c r="J1641" t="s">
        <v>77</v>
      </c>
      <c r="K1641" t="s">
        <v>78</v>
      </c>
      <c r="L1641" t="s">
        <v>198</v>
      </c>
      <c r="M1641" t="s">
        <v>199</v>
      </c>
      <c r="N1641" t="s">
        <v>1628</v>
      </c>
      <c r="O1641" t="s">
        <v>82</v>
      </c>
      <c r="P1641" t="str">
        <f>"4170054354                    "</f>
        <v xml:space="preserve">4170054354                    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0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0</v>
      </c>
      <c r="AQ1641">
        <v>23.09</v>
      </c>
      <c r="AR1641">
        <v>0</v>
      </c>
      <c r="AS1641">
        <v>0</v>
      </c>
      <c r="AT1641">
        <v>0</v>
      </c>
      <c r="AU1641">
        <v>0</v>
      </c>
      <c r="AV1641">
        <v>0</v>
      </c>
      <c r="AW1641">
        <v>0</v>
      </c>
      <c r="AX1641">
        <v>0</v>
      </c>
      <c r="AY1641">
        <v>0</v>
      </c>
      <c r="AZ1641">
        <v>0</v>
      </c>
      <c r="BA1641">
        <v>0</v>
      </c>
      <c r="BB1641">
        <v>0</v>
      </c>
      <c r="BC1641">
        <v>0</v>
      </c>
      <c r="BD1641">
        <v>0</v>
      </c>
      <c r="BE1641">
        <v>0</v>
      </c>
      <c r="BF1641">
        <v>0</v>
      </c>
      <c r="BG1641">
        <v>0</v>
      </c>
      <c r="BH1641">
        <v>1</v>
      </c>
      <c r="BI1641">
        <v>1</v>
      </c>
      <c r="BJ1641">
        <v>0.2</v>
      </c>
      <c r="BK1641">
        <v>1</v>
      </c>
      <c r="BL1641">
        <v>71.69</v>
      </c>
      <c r="BM1641">
        <v>10.75</v>
      </c>
      <c r="BN1641">
        <v>82.44</v>
      </c>
      <c r="BO1641">
        <v>82.44</v>
      </c>
      <c r="BQ1641" t="s">
        <v>1629</v>
      </c>
      <c r="BR1641" t="s">
        <v>84</v>
      </c>
      <c r="BS1641" s="3">
        <v>45882</v>
      </c>
      <c r="BT1641" s="4">
        <v>0.42291666666666666</v>
      </c>
      <c r="BU1641" t="s">
        <v>1022</v>
      </c>
      <c r="BV1641" t="s">
        <v>86</v>
      </c>
      <c r="BY1641">
        <v>1200</v>
      </c>
      <c r="CA1641" t="s">
        <v>1570</v>
      </c>
      <c r="CC1641" t="s">
        <v>199</v>
      </c>
      <c r="CD1641">
        <v>6001</v>
      </c>
      <c r="CE1641" t="s">
        <v>109</v>
      </c>
      <c r="CF1641" s="3">
        <v>45882</v>
      </c>
      <c r="CI1641">
        <v>1</v>
      </c>
      <c r="CJ1641">
        <v>1</v>
      </c>
      <c r="CK1641">
        <v>21</v>
      </c>
      <c r="CL1641" t="s">
        <v>90</v>
      </c>
    </row>
    <row r="1642" spans="1:90" x14ac:dyDescent="0.3">
      <c r="A1642" t="s">
        <v>72</v>
      </c>
      <c r="B1642" t="s">
        <v>73</v>
      </c>
      <c r="C1642" t="s">
        <v>74</v>
      </c>
      <c r="E1642" t="str">
        <f>"080067189575"</f>
        <v>080067189575</v>
      </c>
      <c r="F1642" s="3">
        <v>45881</v>
      </c>
      <c r="G1642">
        <v>202605</v>
      </c>
      <c r="H1642" t="s">
        <v>75</v>
      </c>
      <c r="I1642" t="s">
        <v>76</v>
      </c>
      <c r="J1642" t="s">
        <v>77</v>
      </c>
      <c r="K1642" t="s">
        <v>78</v>
      </c>
      <c r="L1642" t="s">
        <v>217</v>
      </c>
      <c r="M1642" t="s">
        <v>218</v>
      </c>
      <c r="N1642" t="s">
        <v>219</v>
      </c>
      <c r="O1642" t="s">
        <v>82</v>
      </c>
      <c r="P1642" t="str">
        <f>"4170054308                    "</f>
        <v xml:space="preserve">4170054308                    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0</v>
      </c>
      <c r="AQ1642">
        <v>23.09</v>
      </c>
      <c r="AR1642">
        <v>0</v>
      </c>
      <c r="AS1642">
        <v>0</v>
      </c>
      <c r="AT1642">
        <v>0</v>
      </c>
      <c r="AU1642">
        <v>0</v>
      </c>
      <c r="AV1642">
        <v>0</v>
      </c>
      <c r="AW1642">
        <v>0</v>
      </c>
      <c r="AX1642">
        <v>0</v>
      </c>
      <c r="AY1642">
        <v>0</v>
      </c>
      <c r="AZ1642">
        <v>0</v>
      </c>
      <c r="BA1642">
        <v>0</v>
      </c>
      <c r="BB1642">
        <v>0</v>
      </c>
      <c r="BC1642">
        <v>0</v>
      </c>
      <c r="BD1642">
        <v>0</v>
      </c>
      <c r="BE1642">
        <v>0</v>
      </c>
      <c r="BF1642">
        <v>0</v>
      </c>
      <c r="BG1642">
        <v>0</v>
      </c>
      <c r="BH1642">
        <v>1</v>
      </c>
      <c r="BI1642">
        <v>1</v>
      </c>
      <c r="BJ1642">
        <v>0.2</v>
      </c>
      <c r="BK1642">
        <v>1</v>
      </c>
      <c r="BL1642">
        <v>71.69</v>
      </c>
      <c r="BM1642">
        <v>10.75</v>
      </c>
      <c r="BN1642">
        <v>82.44</v>
      </c>
      <c r="BO1642">
        <v>82.44</v>
      </c>
      <c r="BQ1642" t="s">
        <v>220</v>
      </c>
      <c r="BR1642" t="s">
        <v>84</v>
      </c>
      <c r="BS1642" s="3">
        <v>45882</v>
      </c>
      <c r="BT1642" s="4">
        <v>0.34722222222222221</v>
      </c>
      <c r="BU1642" t="s">
        <v>221</v>
      </c>
      <c r="BV1642" t="s">
        <v>86</v>
      </c>
      <c r="BY1642">
        <v>1200</v>
      </c>
      <c r="CA1642" t="s">
        <v>566</v>
      </c>
      <c r="CC1642" t="s">
        <v>218</v>
      </c>
      <c r="CD1642">
        <v>4051</v>
      </c>
      <c r="CE1642" t="s">
        <v>109</v>
      </c>
      <c r="CF1642" s="3">
        <v>45882</v>
      </c>
      <c r="CI1642">
        <v>1</v>
      </c>
      <c r="CJ1642">
        <v>1</v>
      </c>
      <c r="CK1642">
        <v>21</v>
      </c>
      <c r="CL1642" t="s">
        <v>90</v>
      </c>
    </row>
    <row r="1643" spans="1:90" x14ac:dyDescent="0.3">
      <c r="A1643" t="s">
        <v>72</v>
      </c>
      <c r="B1643" t="s">
        <v>73</v>
      </c>
      <c r="C1643" t="s">
        <v>74</v>
      </c>
      <c r="E1643" t="str">
        <f>"080067189619"</f>
        <v>080067189619</v>
      </c>
      <c r="F1643" s="3">
        <v>45881</v>
      </c>
      <c r="G1643">
        <v>202605</v>
      </c>
      <c r="H1643" t="s">
        <v>75</v>
      </c>
      <c r="I1643" t="s">
        <v>76</v>
      </c>
      <c r="J1643" t="s">
        <v>77</v>
      </c>
      <c r="K1643" t="s">
        <v>78</v>
      </c>
      <c r="L1643" t="s">
        <v>217</v>
      </c>
      <c r="M1643" t="s">
        <v>218</v>
      </c>
      <c r="N1643" t="s">
        <v>249</v>
      </c>
      <c r="O1643" t="s">
        <v>82</v>
      </c>
      <c r="P1643" t="str">
        <f>"4170054346                    "</f>
        <v xml:space="preserve">4170054346                    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Q1643">
        <v>23.09</v>
      </c>
      <c r="AR1643">
        <v>0</v>
      </c>
      <c r="AS1643">
        <v>0</v>
      </c>
      <c r="AT1643">
        <v>0</v>
      </c>
      <c r="AU1643">
        <v>0</v>
      </c>
      <c r="AV1643">
        <v>0</v>
      </c>
      <c r="AW1643">
        <v>0</v>
      </c>
      <c r="AX1643">
        <v>0</v>
      </c>
      <c r="AY1643">
        <v>0</v>
      </c>
      <c r="AZ1643">
        <v>0</v>
      </c>
      <c r="BA1643">
        <v>0</v>
      </c>
      <c r="BB1643">
        <v>0</v>
      </c>
      <c r="BC1643">
        <v>0</v>
      </c>
      <c r="BD1643">
        <v>0</v>
      </c>
      <c r="BE1643">
        <v>0</v>
      </c>
      <c r="BF1643">
        <v>0</v>
      </c>
      <c r="BG1643">
        <v>0</v>
      </c>
      <c r="BH1643">
        <v>1</v>
      </c>
      <c r="BI1643">
        <v>1</v>
      </c>
      <c r="BJ1643">
        <v>0.2</v>
      </c>
      <c r="BK1643">
        <v>1</v>
      </c>
      <c r="BL1643">
        <v>71.69</v>
      </c>
      <c r="BM1643">
        <v>10.75</v>
      </c>
      <c r="BN1643">
        <v>82.44</v>
      </c>
      <c r="BO1643">
        <v>82.44</v>
      </c>
      <c r="BQ1643" t="s">
        <v>250</v>
      </c>
      <c r="BR1643" t="s">
        <v>84</v>
      </c>
      <c r="BS1643" s="3">
        <v>45882</v>
      </c>
      <c r="BT1643" s="4">
        <v>0.39583333333333331</v>
      </c>
      <c r="BU1643" t="s">
        <v>787</v>
      </c>
      <c r="BV1643" t="s">
        <v>86</v>
      </c>
      <c r="BY1643">
        <v>1200</v>
      </c>
      <c r="CA1643" t="s">
        <v>136</v>
      </c>
      <c r="CC1643" t="s">
        <v>218</v>
      </c>
      <c r="CD1643">
        <v>4052</v>
      </c>
      <c r="CE1643" t="s">
        <v>109</v>
      </c>
      <c r="CF1643" s="3">
        <v>45883</v>
      </c>
      <c r="CI1643">
        <v>1</v>
      </c>
      <c r="CJ1643">
        <v>1</v>
      </c>
      <c r="CK1643">
        <v>21</v>
      </c>
      <c r="CL1643" t="s">
        <v>90</v>
      </c>
    </row>
    <row r="1644" spans="1:90" x14ac:dyDescent="0.3">
      <c r="A1644" t="s">
        <v>72</v>
      </c>
      <c r="B1644" t="s">
        <v>73</v>
      </c>
      <c r="C1644" t="s">
        <v>74</v>
      </c>
      <c r="E1644" t="str">
        <f>"080067189646"</f>
        <v>080067189646</v>
      </c>
      <c r="F1644" s="3">
        <v>45881</v>
      </c>
      <c r="G1644">
        <v>202605</v>
      </c>
      <c r="H1644" t="s">
        <v>75</v>
      </c>
      <c r="I1644" t="s">
        <v>76</v>
      </c>
      <c r="J1644" t="s">
        <v>77</v>
      </c>
      <c r="K1644" t="s">
        <v>78</v>
      </c>
      <c r="L1644" t="s">
        <v>555</v>
      </c>
      <c r="M1644" t="s">
        <v>556</v>
      </c>
      <c r="N1644" t="s">
        <v>1472</v>
      </c>
      <c r="O1644" t="s">
        <v>82</v>
      </c>
      <c r="P1644" t="str">
        <f>"4170054349                    "</f>
        <v xml:space="preserve">4170054349                    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0</v>
      </c>
      <c r="AP1644">
        <v>0</v>
      </c>
      <c r="AQ1644">
        <v>44.73</v>
      </c>
      <c r="AR1644">
        <v>0</v>
      </c>
      <c r="AS1644">
        <v>0</v>
      </c>
      <c r="AT1644">
        <v>0</v>
      </c>
      <c r="AU1644">
        <v>0</v>
      </c>
      <c r="AV1644">
        <v>0</v>
      </c>
      <c r="AW1644">
        <v>0</v>
      </c>
      <c r="AX1644">
        <v>0</v>
      </c>
      <c r="AY1644">
        <v>0</v>
      </c>
      <c r="AZ1644">
        <v>0</v>
      </c>
      <c r="BA1644">
        <v>0</v>
      </c>
      <c r="BB1644">
        <v>0</v>
      </c>
      <c r="BC1644">
        <v>0</v>
      </c>
      <c r="BD1644">
        <v>0</v>
      </c>
      <c r="BE1644">
        <v>0</v>
      </c>
      <c r="BF1644">
        <v>0</v>
      </c>
      <c r="BG1644">
        <v>0</v>
      </c>
      <c r="BH1644">
        <v>1</v>
      </c>
      <c r="BI1644">
        <v>1</v>
      </c>
      <c r="BJ1644">
        <v>0.2</v>
      </c>
      <c r="BK1644">
        <v>1</v>
      </c>
      <c r="BL1644">
        <v>138.88999999999999</v>
      </c>
      <c r="BM1644">
        <v>20.83</v>
      </c>
      <c r="BN1644">
        <v>159.72</v>
      </c>
      <c r="BO1644">
        <v>159.72</v>
      </c>
      <c r="BQ1644" t="s">
        <v>1473</v>
      </c>
      <c r="BR1644" t="s">
        <v>84</v>
      </c>
      <c r="BS1644" s="3">
        <v>45882</v>
      </c>
      <c r="BT1644" s="4">
        <v>0.49652777777777779</v>
      </c>
      <c r="BU1644" t="s">
        <v>2327</v>
      </c>
      <c r="BV1644" t="s">
        <v>86</v>
      </c>
      <c r="BY1644">
        <v>1200</v>
      </c>
      <c r="CA1644" t="s">
        <v>396</v>
      </c>
      <c r="CC1644" t="s">
        <v>556</v>
      </c>
      <c r="CD1644">
        <v>6849</v>
      </c>
      <c r="CE1644" t="s">
        <v>109</v>
      </c>
      <c r="CF1644" s="3">
        <v>45883</v>
      </c>
      <c r="CI1644">
        <v>2</v>
      </c>
      <c r="CJ1644">
        <v>1</v>
      </c>
      <c r="CK1644">
        <v>23</v>
      </c>
      <c r="CL1644" t="s">
        <v>90</v>
      </c>
    </row>
    <row r="1645" spans="1:90" x14ac:dyDescent="0.3">
      <c r="A1645" t="s">
        <v>72</v>
      </c>
      <c r="B1645" t="s">
        <v>73</v>
      </c>
      <c r="C1645" t="s">
        <v>74</v>
      </c>
      <c r="E1645" t="str">
        <f>"080067189709"</f>
        <v>080067189709</v>
      </c>
      <c r="F1645" s="3">
        <v>45881</v>
      </c>
      <c r="G1645">
        <v>202605</v>
      </c>
      <c r="H1645" t="s">
        <v>75</v>
      </c>
      <c r="I1645" t="s">
        <v>76</v>
      </c>
      <c r="J1645" t="s">
        <v>77</v>
      </c>
      <c r="K1645" t="s">
        <v>78</v>
      </c>
      <c r="L1645" t="s">
        <v>75</v>
      </c>
      <c r="M1645" t="s">
        <v>76</v>
      </c>
      <c r="N1645" t="s">
        <v>1058</v>
      </c>
      <c r="O1645" t="s">
        <v>82</v>
      </c>
      <c r="P1645" t="str">
        <f>"4170054310                    "</f>
        <v xml:space="preserve">4170054310                    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0</v>
      </c>
      <c r="AQ1645">
        <v>18.03</v>
      </c>
      <c r="AR1645">
        <v>0</v>
      </c>
      <c r="AS1645">
        <v>0</v>
      </c>
      <c r="AT1645">
        <v>0</v>
      </c>
      <c r="AU1645">
        <v>0</v>
      </c>
      <c r="AV1645">
        <v>0</v>
      </c>
      <c r="AW1645">
        <v>0</v>
      </c>
      <c r="AX1645">
        <v>0</v>
      </c>
      <c r="AY1645">
        <v>0</v>
      </c>
      <c r="AZ1645">
        <v>0</v>
      </c>
      <c r="BA1645">
        <v>0</v>
      </c>
      <c r="BB1645">
        <v>0</v>
      </c>
      <c r="BC1645">
        <v>0</v>
      </c>
      <c r="BD1645">
        <v>0</v>
      </c>
      <c r="BE1645">
        <v>0</v>
      </c>
      <c r="BF1645">
        <v>0</v>
      </c>
      <c r="BG1645">
        <v>0</v>
      </c>
      <c r="BH1645">
        <v>1</v>
      </c>
      <c r="BI1645">
        <v>1</v>
      </c>
      <c r="BJ1645">
        <v>1.8</v>
      </c>
      <c r="BK1645">
        <v>2</v>
      </c>
      <c r="BL1645">
        <v>55.99</v>
      </c>
      <c r="BM1645">
        <v>8.4</v>
      </c>
      <c r="BN1645">
        <v>64.39</v>
      </c>
      <c r="BO1645">
        <v>64.39</v>
      </c>
      <c r="BQ1645" t="s">
        <v>1059</v>
      </c>
      <c r="BR1645" t="s">
        <v>84</v>
      </c>
      <c r="BS1645" s="3">
        <v>45882</v>
      </c>
      <c r="BT1645" s="4">
        <v>0.38333333333333336</v>
      </c>
      <c r="BU1645" t="s">
        <v>1060</v>
      </c>
      <c r="BV1645" t="s">
        <v>86</v>
      </c>
      <c r="BY1645">
        <v>8820</v>
      </c>
      <c r="CA1645" t="s">
        <v>1026</v>
      </c>
      <c r="CC1645" t="s">
        <v>76</v>
      </c>
      <c r="CD1645">
        <v>1614</v>
      </c>
      <c r="CE1645" t="s">
        <v>147</v>
      </c>
      <c r="CF1645" s="3">
        <v>45882</v>
      </c>
      <c r="CI1645">
        <v>1</v>
      </c>
      <c r="CJ1645">
        <v>1</v>
      </c>
      <c r="CK1645">
        <v>22</v>
      </c>
      <c r="CL1645" t="s">
        <v>90</v>
      </c>
    </row>
    <row r="1646" spans="1:90" x14ac:dyDescent="0.3">
      <c r="A1646" t="s">
        <v>72</v>
      </c>
      <c r="B1646" t="s">
        <v>73</v>
      </c>
      <c r="C1646" t="s">
        <v>74</v>
      </c>
      <c r="E1646" t="str">
        <f>"080067189748"</f>
        <v>080067189748</v>
      </c>
      <c r="F1646" s="3">
        <v>45881</v>
      </c>
      <c r="G1646">
        <v>202605</v>
      </c>
      <c r="H1646" t="s">
        <v>75</v>
      </c>
      <c r="I1646" t="s">
        <v>76</v>
      </c>
      <c r="J1646" t="s">
        <v>77</v>
      </c>
      <c r="K1646" t="s">
        <v>78</v>
      </c>
      <c r="L1646" t="s">
        <v>1157</v>
      </c>
      <c r="M1646" t="s">
        <v>1158</v>
      </c>
      <c r="N1646" t="s">
        <v>2328</v>
      </c>
      <c r="O1646" t="s">
        <v>82</v>
      </c>
      <c r="P1646" t="str">
        <f>"4170054371                    "</f>
        <v xml:space="preserve">4170054371                    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Q1646">
        <v>64.92</v>
      </c>
      <c r="AR1646">
        <v>0</v>
      </c>
      <c r="AS1646">
        <v>0</v>
      </c>
      <c r="AT1646">
        <v>0</v>
      </c>
      <c r="AU1646">
        <v>0</v>
      </c>
      <c r="AV1646">
        <v>0</v>
      </c>
      <c r="AW1646">
        <v>0</v>
      </c>
      <c r="AX1646">
        <v>0</v>
      </c>
      <c r="AY1646">
        <v>0</v>
      </c>
      <c r="AZ1646">
        <v>0</v>
      </c>
      <c r="BA1646">
        <v>0</v>
      </c>
      <c r="BB1646">
        <v>0</v>
      </c>
      <c r="BC1646">
        <v>0</v>
      </c>
      <c r="BD1646">
        <v>0</v>
      </c>
      <c r="BE1646">
        <v>0</v>
      </c>
      <c r="BF1646">
        <v>0</v>
      </c>
      <c r="BG1646">
        <v>0</v>
      </c>
      <c r="BH1646">
        <v>1</v>
      </c>
      <c r="BI1646">
        <v>3</v>
      </c>
      <c r="BJ1646">
        <v>1.4</v>
      </c>
      <c r="BK1646">
        <v>3</v>
      </c>
      <c r="BL1646">
        <v>201.6</v>
      </c>
      <c r="BM1646">
        <v>30.24</v>
      </c>
      <c r="BN1646">
        <v>231.84</v>
      </c>
      <c r="BO1646">
        <v>231.84</v>
      </c>
      <c r="BQ1646" t="s">
        <v>2329</v>
      </c>
      <c r="BR1646" t="s">
        <v>84</v>
      </c>
      <c r="BS1646" s="3">
        <v>45882</v>
      </c>
      <c r="BT1646" s="4">
        <v>0.43402777777777779</v>
      </c>
      <c r="BU1646" t="s">
        <v>2330</v>
      </c>
      <c r="BV1646" t="s">
        <v>86</v>
      </c>
      <c r="BY1646">
        <v>7000</v>
      </c>
      <c r="CA1646" t="s">
        <v>2331</v>
      </c>
      <c r="CC1646" t="s">
        <v>1158</v>
      </c>
      <c r="CD1646">
        <v>2302</v>
      </c>
      <c r="CE1646" t="s">
        <v>147</v>
      </c>
      <c r="CF1646" s="3">
        <v>45882</v>
      </c>
      <c r="CI1646">
        <v>1</v>
      </c>
      <c r="CJ1646">
        <v>1</v>
      </c>
      <c r="CK1646">
        <v>23</v>
      </c>
      <c r="CL1646" t="s">
        <v>90</v>
      </c>
    </row>
    <row r="1647" spans="1:90" x14ac:dyDescent="0.3">
      <c r="A1647" t="s">
        <v>72</v>
      </c>
      <c r="B1647" t="s">
        <v>73</v>
      </c>
      <c r="C1647" t="s">
        <v>74</v>
      </c>
      <c r="E1647" t="str">
        <f>"080067190046"</f>
        <v>080067190046</v>
      </c>
      <c r="F1647" s="3">
        <v>45881</v>
      </c>
      <c r="G1647">
        <v>202605</v>
      </c>
      <c r="H1647" t="s">
        <v>75</v>
      </c>
      <c r="I1647" t="s">
        <v>76</v>
      </c>
      <c r="J1647" t="s">
        <v>77</v>
      </c>
      <c r="K1647" t="s">
        <v>78</v>
      </c>
      <c r="L1647" t="s">
        <v>123</v>
      </c>
      <c r="M1647" t="s">
        <v>124</v>
      </c>
      <c r="N1647" t="s">
        <v>1321</v>
      </c>
      <c r="O1647" t="s">
        <v>82</v>
      </c>
      <c r="P1647" t="str">
        <f>"4170054331                    "</f>
        <v xml:space="preserve">4170054331                    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0</v>
      </c>
      <c r="AQ1647">
        <v>34.619999999999997</v>
      </c>
      <c r="AR1647">
        <v>0</v>
      </c>
      <c r="AS1647">
        <v>0</v>
      </c>
      <c r="AT1647">
        <v>0</v>
      </c>
      <c r="AU1647">
        <v>0</v>
      </c>
      <c r="AV1647">
        <v>0</v>
      </c>
      <c r="AW1647">
        <v>0</v>
      </c>
      <c r="AX1647">
        <v>0</v>
      </c>
      <c r="AY1647">
        <v>0</v>
      </c>
      <c r="AZ1647">
        <v>0</v>
      </c>
      <c r="BA1647">
        <v>0</v>
      </c>
      <c r="BB1647">
        <v>0</v>
      </c>
      <c r="BC1647">
        <v>0</v>
      </c>
      <c r="BD1647">
        <v>0</v>
      </c>
      <c r="BE1647">
        <v>0</v>
      </c>
      <c r="BF1647">
        <v>0</v>
      </c>
      <c r="BG1647">
        <v>0</v>
      </c>
      <c r="BH1647">
        <v>1</v>
      </c>
      <c r="BI1647">
        <v>3</v>
      </c>
      <c r="BJ1647">
        <v>2.6</v>
      </c>
      <c r="BK1647">
        <v>3</v>
      </c>
      <c r="BL1647">
        <v>107.5</v>
      </c>
      <c r="BM1647">
        <v>16.13</v>
      </c>
      <c r="BN1647">
        <v>123.63</v>
      </c>
      <c r="BO1647">
        <v>123.63</v>
      </c>
      <c r="BQ1647" t="s">
        <v>1322</v>
      </c>
      <c r="BR1647" t="s">
        <v>84</v>
      </c>
      <c r="BS1647" s="3">
        <v>45882</v>
      </c>
      <c r="BT1647" s="4">
        <v>0.33333333333333331</v>
      </c>
      <c r="BU1647" t="s">
        <v>2332</v>
      </c>
      <c r="BV1647" t="s">
        <v>86</v>
      </c>
      <c r="BY1647">
        <v>12800</v>
      </c>
      <c r="CA1647" t="s">
        <v>128</v>
      </c>
      <c r="CC1647" t="s">
        <v>124</v>
      </c>
      <c r="CD1647">
        <v>7530</v>
      </c>
      <c r="CE1647" t="s">
        <v>117</v>
      </c>
      <c r="CF1647" s="3">
        <v>45883</v>
      </c>
      <c r="CI1647">
        <v>1</v>
      </c>
      <c r="CJ1647">
        <v>1</v>
      </c>
      <c r="CK1647">
        <v>21</v>
      </c>
      <c r="CL1647" t="s">
        <v>90</v>
      </c>
    </row>
    <row r="1648" spans="1:90" x14ac:dyDescent="0.3">
      <c r="A1648" t="s">
        <v>72</v>
      </c>
      <c r="B1648" t="s">
        <v>73</v>
      </c>
      <c r="C1648" t="s">
        <v>74</v>
      </c>
      <c r="E1648" t="str">
        <f>"080067190091"</f>
        <v>080067190091</v>
      </c>
      <c r="F1648" s="3">
        <v>45881</v>
      </c>
      <c r="G1648">
        <v>202605</v>
      </c>
      <c r="H1648" t="s">
        <v>75</v>
      </c>
      <c r="I1648" t="s">
        <v>76</v>
      </c>
      <c r="J1648" t="s">
        <v>77</v>
      </c>
      <c r="K1648" t="s">
        <v>78</v>
      </c>
      <c r="L1648" t="s">
        <v>123</v>
      </c>
      <c r="M1648" t="s">
        <v>124</v>
      </c>
      <c r="N1648" t="s">
        <v>1321</v>
      </c>
      <c r="O1648" t="s">
        <v>82</v>
      </c>
      <c r="P1648" t="str">
        <f>"4170054330                    "</f>
        <v xml:space="preserve">4170054330                    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Q1648">
        <v>34.619999999999997</v>
      </c>
      <c r="AR1648">
        <v>0</v>
      </c>
      <c r="AS1648">
        <v>0</v>
      </c>
      <c r="AT1648">
        <v>0</v>
      </c>
      <c r="AU1648">
        <v>0</v>
      </c>
      <c r="AV1648">
        <v>0</v>
      </c>
      <c r="AW1648">
        <v>0</v>
      </c>
      <c r="AX1648">
        <v>0</v>
      </c>
      <c r="AY1648">
        <v>0</v>
      </c>
      <c r="AZ1648">
        <v>0</v>
      </c>
      <c r="BA1648">
        <v>0</v>
      </c>
      <c r="BB1648">
        <v>0</v>
      </c>
      <c r="BC1648">
        <v>0</v>
      </c>
      <c r="BD1648">
        <v>0</v>
      </c>
      <c r="BE1648">
        <v>0</v>
      </c>
      <c r="BF1648">
        <v>0</v>
      </c>
      <c r="BG1648">
        <v>0</v>
      </c>
      <c r="BH1648">
        <v>1</v>
      </c>
      <c r="BI1648">
        <v>3</v>
      </c>
      <c r="BJ1648">
        <v>2.8</v>
      </c>
      <c r="BK1648">
        <v>3</v>
      </c>
      <c r="BL1648">
        <v>107.5</v>
      </c>
      <c r="BM1648">
        <v>16.13</v>
      </c>
      <c r="BN1648">
        <v>123.63</v>
      </c>
      <c r="BO1648">
        <v>123.63</v>
      </c>
      <c r="BQ1648" t="s">
        <v>1322</v>
      </c>
      <c r="BR1648" t="s">
        <v>84</v>
      </c>
      <c r="BS1648" s="3">
        <v>45882</v>
      </c>
      <c r="BT1648" s="4">
        <v>0.33333333333333331</v>
      </c>
      <c r="BU1648" t="s">
        <v>2332</v>
      </c>
      <c r="BV1648" t="s">
        <v>86</v>
      </c>
      <c r="BY1648">
        <v>14112</v>
      </c>
      <c r="CA1648" t="s">
        <v>128</v>
      </c>
      <c r="CC1648" t="s">
        <v>124</v>
      </c>
      <c r="CD1648">
        <v>7530</v>
      </c>
      <c r="CE1648" t="s">
        <v>117</v>
      </c>
      <c r="CF1648" s="3">
        <v>45883</v>
      </c>
      <c r="CI1648">
        <v>1</v>
      </c>
      <c r="CJ1648">
        <v>1</v>
      </c>
      <c r="CK1648">
        <v>21</v>
      </c>
      <c r="CL1648" t="s">
        <v>90</v>
      </c>
    </row>
    <row r="1649" spans="1:90" x14ac:dyDescent="0.3">
      <c r="A1649" t="s">
        <v>72</v>
      </c>
      <c r="B1649" t="s">
        <v>73</v>
      </c>
      <c r="C1649" t="s">
        <v>74</v>
      </c>
      <c r="E1649" t="str">
        <f>"080067190144"</f>
        <v>080067190144</v>
      </c>
      <c r="F1649" s="3">
        <v>45881</v>
      </c>
      <c r="G1649">
        <v>202605</v>
      </c>
      <c r="H1649" t="s">
        <v>75</v>
      </c>
      <c r="I1649" t="s">
        <v>76</v>
      </c>
      <c r="J1649" t="s">
        <v>77</v>
      </c>
      <c r="K1649" t="s">
        <v>78</v>
      </c>
      <c r="L1649" t="s">
        <v>335</v>
      </c>
      <c r="M1649" t="s">
        <v>336</v>
      </c>
      <c r="N1649" t="s">
        <v>727</v>
      </c>
      <c r="O1649" t="s">
        <v>82</v>
      </c>
      <c r="P1649" t="str">
        <f>"4170054332                    "</f>
        <v xml:space="preserve">4170054332                    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Q1649">
        <v>44.73</v>
      </c>
      <c r="AR1649">
        <v>0</v>
      </c>
      <c r="AS1649">
        <v>0</v>
      </c>
      <c r="AT1649">
        <v>0</v>
      </c>
      <c r="AU1649">
        <v>0</v>
      </c>
      <c r="AV1649">
        <v>0</v>
      </c>
      <c r="AW1649">
        <v>0</v>
      </c>
      <c r="AX1649">
        <v>0</v>
      </c>
      <c r="AY1649">
        <v>0</v>
      </c>
      <c r="AZ1649">
        <v>0</v>
      </c>
      <c r="BA1649">
        <v>0</v>
      </c>
      <c r="BB1649">
        <v>0</v>
      </c>
      <c r="BC1649">
        <v>0</v>
      </c>
      <c r="BD1649">
        <v>0</v>
      </c>
      <c r="BE1649">
        <v>0</v>
      </c>
      <c r="BF1649">
        <v>0</v>
      </c>
      <c r="BG1649">
        <v>0</v>
      </c>
      <c r="BH1649">
        <v>1</v>
      </c>
      <c r="BI1649">
        <v>1</v>
      </c>
      <c r="BJ1649">
        <v>1.4</v>
      </c>
      <c r="BK1649">
        <v>1.5</v>
      </c>
      <c r="BL1649">
        <v>138.88999999999999</v>
      </c>
      <c r="BM1649">
        <v>20.83</v>
      </c>
      <c r="BN1649">
        <v>159.72</v>
      </c>
      <c r="BO1649">
        <v>159.72</v>
      </c>
      <c r="BQ1649" t="s">
        <v>728</v>
      </c>
      <c r="BR1649" t="s">
        <v>84</v>
      </c>
      <c r="BS1649" s="3">
        <v>45882</v>
      </c>
      <c r="BT1649" s="4">
        <v>0.41875000000000001</v>
      </c>
      <c r="BU1649" t="s">
        <v>1587</v>
      </c>
      <c r="BV1649" t="s">
        <v>86</v>
      </c>
      <c r="BY1649">
        <v>7000</v>
      </c>
      <c r="CA1649" t="s">
        <v>730</v>
      </c>
      <c r="CC1649" t="s">
        <v>336</v>
      </c>
      <c r="CD1649" s="5" t="s">
        <v>341</v>
      </c>
      <c r="CE1649" t="s">
        <v>147</v>
      </c>
      <c r="CF1649" s="3">
        <v>45883</v>
      </c>
      <c r="CI1649">
        <v>1</v>
      </c>
      <c r="CJ1649">
        <v>1</v>
      </c>
      <c r="CK1649">
        <v>23</v>
      </c>
      <c r="CL1649" t="s">
        <v>90</v>
      </c>
    </row>
    <row r="1650" spans="1:90" x14ac:dyDescent="0.3">
      <c r="A1650" t="s">
        <v>72</v>
      </c>
      <c r="B1650" t="s">
        <v>73</v>
      </c>
      <c r="C1650" t="s">
        <v>74</v>
      </c>
      <c r="E1650" t="str">
        <f>"080067190209"</f>
        <v>080067190209</v>
      </c>
      <c r="F1650" s="3">
        <v>45881</v>
      </c>
      <c r="G1650">
        <v>202605</v>
      </c>
      <c r="H1650" t="s">
        <v>75</v>
      </c>
      <c r="I1650" t="s">
        <v>76</v>
      </c>
      <c r="J1650" t="s">
        <v>77</v>
      </c>
      <c r="K1650" t="s">
        <v>78</v>
      </c>
      <c r="L1650" t="s">
        <v>513</v>
      </c>
      <c r="M1650" t="s">
        <v>514</v>
      </c>
      <c r="N1650" t="s">
        <v>1017</v>
      </c>
      <c r="O1650" t="s">
        <v>82</v>
      </c>
      <c r="P1650" t="str">
        <f>"4170054355                    "</f>
        <v xml:space="preserve">4170054355                    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0</v>
      </c>
      <c r="AQ1650">
        <v>44.73</v>
      </c>
      <c r="AR1650">
        <v>0</v>
      </c>
      <c r="AS1650">
        <v>0</v>
      </c>
      <c r="AT1650">
        <v>0</v>
      </c>
      <c r="AU1650">
        <v>0</v>
      </c>
      <c r="AV1650">
        <v>0</v>
      </c>
      <c r="AW1650">
        <v>0</v>
      </c>
      <c r="AX1650">
        <v>0</v>
      </c>
      <c r="AY1650">
        <v>0</v>
      </c>
      <c r="AZ1650">
        <v>0</v>
      </c>
      <c r="BA1650">
        <v>0</v>
      </c>
      <c r="BB1650">
        <v>0</v>
      </c>
      <c r="BC1650">
        <v>0</v>
      </c>
      <c r="BD1650">
        <v>0</v>
      </c>
      <c r="BE1650">
        <v>0</v>
      </c>
      <c r="BF1650">
        <v>0</v>
      </c>
      <c r="BG1650">
        <v>0</v>
      </c>
      <c r="BH1650">
        <v>1</v>
      </c>
      <c r="BI1650">
        <v>1</v>
      </c>
      <c r="BJ1650">
        <v>0.2</v>
      </c>
      <c r="BK1650">
        <v>1</v>
      </c>
      <c r="BL1650">
        <v>138.88999999999999</v>
      </c>
      <c r="BM1650">
        <v>20.83</v>
      </c>
      <c r="BN1650">
        <v>159.72</v>
      </c>
      <c r="BO1650">
        <v>159.72</v>
      </c>
      <c r="BQ1650" t="s">
        <v>1018</v>
      </c>
      <c r="BR1650" t="s">
        <v>84</v>
      </c>
      <c r="BS1650" s="3">
        <v>45882</v>
      </c>
      <c r="BT1650" s="4">
        <v>0.40625</v>
      </c>
      <c r="BU1650" t="s">
        <v>2298</v>
      </c>
      <c r="BV1650" t="s">
        <v>86</v>
      </c>
      <c r="BY1650">
        <v>1200</v>
      </c>
      <c r="CA1650" t="s">
        <v>518</v>
      </c>
      <c r="CC1650" t="s">
        <v>514</v>
      </c>
      <c r="CD1650" s="5" t="s">
        <v>519</v>
      </c>
      <c r="CE1650" t="s">
        <v>109</v>
      </c>
      <c r="CF1650" s="3">
        <v>45883</v>
      </c>
      <c r="CI1650">
        <v>1</v>
      </c>
      <c r="CJ1650">
        <v>1</v>
      </c>
      <c r="CK1650">
        <v>23</v>
      </c>
      <c r="CL1650" t="s">
        <v>90</v>
      </c>
    </row>
    <row r="1651" spans="1:90" x14ac:dyDescent="0.3">
      <c r="A1651" t="s">
        <v>72</v>
      </c>
      <c r="B1651" t="s">
        <v>73</v>
      </c>
      <c r="C1651" t="s">
        <v>74</v>
      </c>
      <c r="E1651" t="str">
        <f>"080067190257"</f>
        <v>080067190257</v>
      </c>
      <c r="F1651" s="3">
        <v>45881</v>
      </c>
      <c r="G1651">
        <v>202605</v>
      </c>
      <c r="H1651" t="s">
        <v>75</v>
      </c>
      <c r="I1651" t="s">
        <v>76</v>
      </c>
      <c r="J1651" t="s">
        <v>77</v>
      </c>
      <c r="K1651" t="s">
        <v>78</v>
      </c>
      <c r="L1651" t="s">
        <v>373</v>
      </c>
      <c r="M1651" t="s">
        <v>374</v>
      </c>
      <c r="N1651" t="s">
        <v>1084</v>
      </c>
      <c r="O1651" t="s">
        <v>82</v>
      </c>
      <c r="P1651" t="str">
        <f>"4170054351                    "</f>
        <v xml:space="preserve">4170054351                    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0</v>
      </c>
      <c r="AQ1651">
        <v>23.09</v>
      </c>
      <c r="AR1651">
        <v>0</v>
      </c>
      <c r="AS1651">
        <v>0</v>
      </c>
      <c r="AT1651">
        <v>0</v>
      </c>
      <c r="AU1651">
        <v>0</v>
      </c>
      <c r="AV1651">
        <v>0</v>
      </c>
      <c r="AW1651">
        <v>0</v>
      </c>
      <c r="AX1651">
        <v>0</v>
      </c>
      <c r="AY1651">
        <v>0</v>
      </c>
      <c r="AZ1651">
        <v>0</v>
      </c>
      <c r="BA1651">
        <v>0</v>
      </c>
      <c r="BB1651">
        <v>0</v>
      </c>
      <c r="BC1651">
        <v>0</v>
      </c>
      <c r="BD1651">
        <v>0</v>
      </c>
      <c r="BE1651">
        <v>0</v>
      </c>
      <c r="BF1651">
        <v>0</v>
      </c>
      <c r="BG1651">
        <v>0</v>
      </c>
      <c r="BH1651">
        <v>1</v>
      </c>
      <c r="BI1651">
        <v>1</v>
      </c>
      <c r="BJ1651">
        <v>0.2</v>
      </c>
      <c r="BK1651">
        <v>1</v>
      </c>
      <c r="BL1651">
        <v>71.69</v>
      </c>
      <c r="BM1651">
        <v>10.75</v>
      </c>
      <c r="BN1651">
        <v>82.44</v>
      </c>
      <c r="BO1651">
        <v>82.44</v>
      </c>
      <c r="BQ1651" t="s">
        <v>1085</v>
      </c>
      <c r="BR1651" t="s">
        <v>84</v>
      </c>
      <c r="BS1651" s="3">
        <v>45882</v>
      </c>
      <c r="BT1651" s="4">
        <v>0.38819444444444445</v>
      </c>
      <c r="BU1651" t="s">
        <v>1969</v>
      </c>
      <c r="BV1651" t="s">
        <v>86</v>
      </c>
      <c r="BY1651">
        <v>1200</v>
      </c>
      <c r="CA1651" t="s">
        <v>203</v>
      </c>
      <c r="CC1651" t="s">
        <v>374</v>
      </c>
      <c r="CD1651">
        <v>6220</v>
      </c>
      <c r="CE1651" t="s">
        <v>109</v>
      </c>
      <c r="CF1651" s="3">
        <v>45882</v>
      </c>
      <c r="CI1651">
        <v>1</v>
      </c>
      <c r="CJ1651">
        <v>1</v>
      </c>
      <c r="CK1651">
        <v>21</v>
      </c>
      <c r="CL1651" t="s">
        <v>90</v>
      </c>
    </row>
    <row r="1652" spans="1:90" x14ac:dyDescent="0.3">
      <c r="A1652" t="s">
        <v>72</v>
      </c>
      <c r="B1652" t="s">
        <v>73</v>
      </c>
      <c r="C1652" t="s">
        <v>74</v>
      </c>
      <c r="E1652" t="str">
        <f>"080067190432"</f>
        <v>080067190432</v>
      </c>
      <c r="F1652" s="3">
        <v>45881</v>
      </c>
      <c r="G1652">
        <v>202605</v>
      </c>
      <c r="H1652" t="s">
        <v>75</v>
      </c>
      <c r="I1652" t="s">
        <v>76</v>
      </c>
      <c r="J1652" t="s">
        <v>77</v>
      </c>
      <c r="K1652" t="s">
        <v>78</v>
      </c>
      <c r="L1652" t="s">
        <v>123</v>
      </c>
      <c r="M1652" t="s">
        <v>124</v>
      </c>
      <c r="N1652" t="s">
        <v>406</v>
      </c>
      <c r="O1652" t="s">
        <v>82</v>
      </c>
      <c r="P1652" t="str">
        <f>"4170054365                    "</f>
        <v xml:space="preserve">4170054365                    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0</v>
      </c>
      <c r="AP1652">
        <v>0</v>
      </c>
      <c r="AQ1652">
        <v>74.98</v>
      </c>
      <c r="AR1652">
        <v>0</v>
      </c>
      <c r="AS1652">
        <v>0</v>
      </c>
      <c r="AT1652">
        <v>0</v>
      </c>
      <c r="AU1652">
        <v>0</v>
      </c>
      <c r="AV1652">
        <v>0</v>
      </c>
      <c r="AW1652">
        <v>0</v>
      </c>
      <c r="AX1652">
        <v>0</v>
      </c>
      <c r="AY1652">
        <v>0</v>
      </c>
      <c r="AZ1652">
        <v>0</v>
      </c>
      <c r="BA1652">
        <v>0</v>
      </c>
      <c r="BB1652">
        <v>0</v>
      </c>
      <c r="BC1652">
        <v>0</v>
      </c>
      <c r="BD1652">
        <v>0</v>
      </c>
      <c r="BE1652">
        <v>0</v>
      </c>
      <c r="BF1652">
        <v>0</v>
      </c>
      <c r="BG1652">
        <v>0</v>
      </c>
      <c r="BH1652">
        <v>1</v>
      </c>
      <c r="BI1652">
        <v>4</v>
      </c>
      <c r="BJ1652">
        <v>6.4</v>
      </c>
      <c r="BK1652">
        <v>6.5</v>
      </c>
      <c r="BL1652">
        <v>232.84</v>
      </c>
      <c r="BM1652">
        <v>34.93</v>
      </c>
      <c r="BN1652">
        <v>267.77</v>
      </c>
      <c r="BO1652">
        <v>267.77</v>
      </c>
      <c r="BQ1652" t="s">
        <v>407</v>
      </c>
      <c r="BR1652" t="s">
        <v>84</v>
      </c>
      <c r="BS1652" s="3">
        <v>45882</v>
      </c>
      <c r="BT1652" s="4">
        <v>0.4236111111111111</v>
      </c>
      <c r="BU1652" t="s">
        <v>408</v>
      </c>
      <c r="BV1652" t="s">
        <v>86</v>
      </c>
      <c r="BY1652">
        <v>31824</v>
      </c>
      <c r="CA1652" t="s">
        <v>192</v>
      </c>
      <c r="CC1652" t="s">
        <v>124</v>
      </c>
      <c r="CD1652">
        <v>7441</v>
      </c>
      <c r="CE1652" t="s">
        <v>117</v>
      </c>
      <c r="CF1652" s="3">
        <v>45883</v>
      </c>
      <c r="CI1652">
        <v>1</v>
      </c>
      <c r="CJ1652">
        <v>1</v>
      </c>
      <c r="CK1652">
        <v>21</v>
      </c>
      <c r="CL1652" t="s">
        <v>90</v>
      </c>
    </row>
    <row r="1653" spans="1:90" x14ac:dyDescent="0.3">
      <c r="A1653" t="s">
        <v>72</v>
      </c>
      <c r="B1653" t="s">
        <v>73</v>
      </c>
      <c r="C1653" t="s">
        <v>74</v>
      </c>
      <c r="E1653" t="str">
        <f>"080067190519"</f>
        <v>080067190519</v>
      </c>
      <c r="F1653" s="3">
        <v>45881</v>
      </c>
      <c r="G1653">
        <v>202605</v>
      </c>
      <c r="H1653" t="s">
        <v>75</v>
      </c>
      <c r="I1653" t="s">
        <v>76</v>
      </c>
      <c r="J1653" t="s">
        <v>77</v>
      </c>
      <c r="K1653" t="s">
        <v>78</v>
      </c>
      <c r="L1653" t="s">
        <v>303</v>
      </c>
      <c r="M1653" t="s">
        <v>304</v>
      </c>
      <c r="N1653" t="s">
        <v>840</v>
      </c>
      <c r="O1653" t="s">
        <v>82</v>
      </c>
      <c r="P1653" t="str">
        <f>"4170054360                    "</f>
        <v xml:space="preserve">4170054360                    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0</v>
      </c>
      <c r="AP1653">
        <v>0</v>
      </c>
      <c r="AQ1653">
        <v>85.12</v>
      </c>
      <c r="AR1653">
        <v>0</v>
      </c>
      <c r="AS1653">
        <v>0</v>
      </c>
      <c r="AT1653">
        <v>0</v>
      </c>
      <c r="AU1653">
        <v>0</v>
      </c>
      <c r="AV1653">
        <v>0</v>
      </c>
      <c r="AW1653">
        <v>0</v>
      </c>
      <c r="AX1653">
        <v>0</v>
      </c>
      <c r="AY1653">
        <v>0</v>
      </c>
      <c r="AZ1653">
        <v>0</v>
      </c>
      <c r="BA1653">
        <v>0</v>
      </c>
      <c r="BB1653">
        <v>0</v>
      </c>
      <c r="BC1653">
        <v>0</v>
      </c>
      <c r="BD1653">
        <v>0</v>
      </c>
      <c r="BE1653">
        <v>0</v>
      </c>
      <c r="BF1653">
        <v>0</v>
      </c>
      <c r="BG1653">
        <v>0</v>
      </c>
      <c r="BH1653">
        <v>1</v>
      </c>
      <c r="BI1653">
        <v>4</v>
      </c>
      <c r="BJ1653">
        <v>1.7</v>
      </c>
      <c r="BK1653">
        <v>4</v>
      </c>
      <c r="BL1653">
        <v>264.32</v>
      </c>
      <c r="BM1653">
        <v>39.65</v>
      </c>
      <c r="BN1653">
        <v>303.97000000000003</v>
      </c>
      <c r="BO1653">
        <v>303.97000000000003</v>
      </c>
      <c r="BQ1653" t="s">
        <v>841</v>
      </c>
      <c r="BR1653" t="s">
        <v>84</v>
      </c>
      <c r="BS1653" s="3">
        <v>45882</v>
      </c>
      <c r="BT1653" s="4">
        <v>0.44722222222222224</v>
      </c>
      <c r="BU1653" t="s">
        <v>2001</v>
      </c>
      <c r="BV1653" t="s">
        <v>86</v>
      </c>
      <c r="BY1653">
        <v>8550</v>
      </c>
      <c r="CA1653" t="s">
        <v>308</v>
      </c>
      <c r="CC1653" t="s">
        <v>304</v>
      </c>
      <c r="CD1653">
        <v>7130</v>
      </c>
      <c r="CE1653" t="s">
        <v>147</v>
      </c>
      <c r="CF1653" s="3">
        <v>45883</v>
      </c>
      <c r="CI1653">
        <v>1</v>
      </c>
      <c r="CJ1653">
        <v>1</v>
      </c>
      <c r="CK1653">
        <v>23</v>
      </c>
      <c r="CL1653" t="s">
        <v>90</v>
      </c>
    </row>
    <row r="1654" spans="1:90" x14ac:dyDescent="0.3">
      <c r="A1654" t="s">
        <v>72</v>
      </c>
      <c r="B1654" t="s">
        <v>73</v>
      </c>
      <c r="C1654" t="s">
        <v>74</v>
      </c>
      <c r="E1654" t="str">
        <f>"080011592442"</f>
        <v>080011592442</v>
      </c>
      <c r="F1654" s="3">
        <v>45881</v>
      </c>
      <c r="G1654">
        <v>202605</v>
      </c>
      <c r="H1654" t="s">
        <v>325</v>
      </c>
      <c r="I1654" t="s">
        <v>326</v>
      </c>
      <c r="J1654" t="s">
        <v>2333</v>
      </c>
      <c r="K1654" t="s">
        <v>78</v>
      </c>
      <c r="L1654" t="s">
        <v>75</v>
      </c>
      <c r="M1654" t="s">
        <v>76</v>
      </c>
      <c r="N1654" t="s">
        <v>94</v>
      </c>
      <c r="O1654" t="s">
        <v>82</v>
      </c>
      <c r="P1654" t="str">
        <f>"ZA1001403712                  "</f>
        <v xml:space="preserve">ZA1001403712                  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Q1654">
        <v>18.03</v>
      </c>
      <c r="AR1654">
        <v>0</v>
      </c>
      <c r="AS1654">
        <v>0</v>
      </c>
      <c r="AT1654">
        <v>0</v>
      </c>
      <c r="AU1654">
        <v>0</v>
      </c>
      <c r="AV1654">
        <v>0</v>
      </c>
      <c r="AW1654">
        <v>0</v>
      </c>
      <c r="AX1654">
        <v>0</v>
      </c>
      <c r="AY1654">
        <v>0</v>
      </c>
      <c r="AZ1654">
        <v>0</v>
      </c>
      <c r="BA1654">
        <v>0</v>
      </c>
      <c r="BB1654">
        <v>0</v>
      </c>
      <c r="BC1654">
        <v>0</v>
      </c>
      <c r="BD1654">
        <v>0</v>
      </c>
      <c r="BE1654">
        <v>0</v>
      </c>
      <c r="BF1654">
        <v>0</v>
      </c>
      <c r="BG1654">
        <v>0</v>
      </c>
      <c r="BH1654">
        <v>1</v>
      </c>
      <c r="BI1654">
        <v>2.2999999999999998</v>
      </c>
      <c r="BJ1654">
        <v>0.9</v>
      </c>
      <c r="BK1654">
        <v>3</v>
      </c>
      <c r="BL1654">
        <v>55.99</v>
      </c>
      <c r="BM1654">
        <v>8.4</v>
      </c>
      <c r="BN1654">
        <v>64.39</v>
      </c>
      <c r="BO1654">
        <v>64.39</v>
      </c>
      <c r="BP1654" t="s">
        <v>96</v>
      </c>
      <c r="BQ1654" t="s">
        <v>97</v>
      </c>
      <c r="BR1654" t="s">
        <v>2334</v>
      </c>
      <c r="BS1654" s="3">
        <v>45882</v>
      </c>
      <c r="BT1654" s="4">
        <v>0.39583333333333331</v>
      </c>
      <c r="BU1654" t="s">
        <v>245</v>
      </c>
      <c r="BV1654" t="s">
        <v>86</v>
      </c>
      <c r="BY1654">
        <v>4419.6000000000004</v>
      </c>
      <c r="BZ1654" t="s">
        <v>330</v>
      </c>
      <c r="CA1654" t="s">
        <v>1743</v>
      </c>
      <c r="CC1654" t="s">
        <v>76</v>
      </c>
      <c r="CD1654">
        <v>1619</v>
      </c>
      <c r="CE1654" t="s">
        <v>102</v>
      </c>
      <c r="CF1654" s="3">
        <v>45882</v>
      </c>
      <c r="CI1654">
        <v>1</v>
      </c>
      <c r="CJ1654">
        <v>1</v>
      </c>
      <c r="CK1654">
        <v>22</v>
      </c>
      <c r="CL1654" t="s">
        <v>90</v>
      </c>
    </row>
    <row r="1655" spans="1:90" x14ac:dyDescent="0.3">
      <c r="A1655" t="s">
        <v>72</v>
      </c>
      <c r="B1655" t="s">
        <v>73</v>
      </c>
      <c r="C1655" t="s">
        <v>74</v>
      </c>
      <c r="E1655" t="str">
        <f>"080067190549"</f>
        <v>080067190549</v>
      </c>
      <c r="F1655" s="3">
        <v>45881</v>
      </c>
      <c r="G1655">
        <v>202605</v>
      </c>
      <c r="H1655" t="s">
        <v>75</v>
      </c>
      <c r="I1655" t="s">
        <v>76</v>
      </c>
      <c r="J1655" t="s">
        <v>77</v>
      </c>
      <c r="K1655" t="s">
        <v>78</v>
      </c>
      <c r="L1655" t="s">
        <v>123</v>
      </c>
      <c r="M1655" t="s">
        <v>124</v>
      </c>
      <c r="N1655" t="s">
        <v>406</v>
      </c>
      <c r="O1655" t="s">
        <v>82</v>
      </c>
      <c r="P1655" t="str">
        <f>"4170054350                    "</f>
        <v xml:space="preserve">4170054350                    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0</v>
      </c>
      <c r="AP1655">
        <v>0</v>
      </c>
      <c r="AQ1655">
        <v>23.09</v>
      </c>
      <c r="AR1655">
        <v>0</v>
      </c>
      <c r="AS1655">
        <v>0</v>
      </c>
      <c r="AT1655">
        <v>0</v>
      </c>
      <c r="AU1655">
        <v>0</v>
      </c>
      <c r="AV1655">
        <v>0</v>
      </c>
      <c r="AW1655">
        <v>0</v>
      </c>
      <c r="AX1655">
        <v>0</v>
      </c>
      <c r="AY1655">
        <v>0</v>
      </c>
      <c r="AZ1655">
        <v>0</v>
      </c>
      <c r="BA1655">
        <v>0</v>
      </c>
      <c r="BB1655">
        <v>0</v>
      </c>
      <c r="BC1655">
        <v>0</v>
      </c>
      <c r="BD1655">
        <v>0</v>
      </c>
      <c r="BE1655">
        <v>0</v>
      </c>
      <c r="BF1655">
        <v>0</v>
      </c>
      <c r="BG1655">
        <v>0</v>
      </c>
      <c r="BH1655">
        <v>1</v>
      </c>
      <c r="BI1655">
        <v>1</v>
      </c>
      <c r="BJ1655">
        <v>0.6</v>
      </c>
      <c r="BK1655">
        <v>1</v>
      </c>
      <c r="BL1655">
        <v>71.69</v>
      </c>
      <c r="BM1655">
        <v>10.75</v>
      </c>
      <c r="BN1655">
        <v>82.44</v>
      </c>
      <c r="BO1655">
        <v>82.44</v>
      </c>
      <c r="BQ1655" t="s">
        <v>407</v>
      </c>
      <c r="BR1655" t="s">
        <v>84</v>
      </c>
      <c r="BS1655" s="3">
        <v>45882</v>
      </c>
      <c r="BT1655" s="4">
        <v>0.4236111111111111</v>
      </c>
      <c r="BU1655" t="s">
        <v>408</v>
      </c>
      <c r="BV1655" t="s">
        <v>86</v>
      </c>
      <c r="BY1655">
        <v>3192</v>
      </c>
      <c r="CA1655" t="s">
        <v>192</v>
      </c>
      <c r="CC1655" t="s">
        <v>124</v>
      </c>
      <c r="CD1655">
        <v>7441</v>
      </c>
      <c r="CE1655" t="s">
        <v>147</v>
      </c>
      <c r="CF1655" s="3">
        <v>45883</v>
      </c>
      <c r="CI1655">
        <v>1</v>
      </c>
      <c r="CJ1655">
        <v>1</v>
      </c>
      <c r="CK1655">
        <v>21</v>
      </c>
      <c r="CL1655" t="s">
        <v>90</v>
      </c>
    </row>
    <row r="1656" spans="1:90" x14ac:dyDescent="0.3">
      <c r="A1656" t="s">
        <v>72</v>
      </c>
      <c r="B1656" t="s">
        <v>73</v>
      </c>
      <c r="C1656" t="s">
        <v>74</v>
      </c>
      <c r="E1656" t="str">
        <f>"080067190577"</f>
        <v>080067190577</v>
      </c>
      <c r="F1656" s="3">
        <v>45881</v>
      </c>
      <c r="G1656">
        <v>202605</v>
      </c>
      <c r="H1656" t="s">
        <v>75</v>
      </c>
      <c r="I1656" t="s">
        <v>76</v>
      </c>
      <c r="J1656" t="s">
        <v>77</v>
      </c>
      <c r="K1656" t="s">
        <v>78</v>
      </c>
      <c r="L1656" t="s">
        <v>234</v>
      </c>
      <c r="M1656" t="s">
        <v>235</v>
      </c>
      <c r="N1656" t="s">
        <v>683</v>
      </c>
      <c r="O1656" t="s">
        <v>82</v>
      </c>
      <c r="P1656" t="str">
        <f>"4170054352                    "</f>
        <v xml:space="preserve">4170054352                    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0</v>
      </c>
      <c r="AQ1656">
        <v>23.09</v>
      </c>
      <c r="AR1656">
        <v>0</v>
      </c>
      <c r="AS1656">
        <v>0</v>
      </c>
      <c r="AT1656">
        <v>0</v>
      </c>
      <c r="AU1656">
        <v>0</v>
      </c>
      <c r="AV1656">
        <v>0</v>
      </c>
      <c r="AW1656">
        <v>0</v>
      </c>
      <c r="AX1656">
        <v>0</v>
      </c>
      <c r="AY1656">
        <v>0</v>
      </c>
      <c r="AZ1656">
        <v>0</v>
      </c>
      <c r="BA1656">
        <v>0</v>
      </c>
      <c r="BB1656">
        <v>0</v>
      </c>
      <c r="BC1656">
        <v>0</v>
      </c>
      <c r="BD1656">
        <v>0</v>
      </c>
      <c r="BE1656">
        <v>0</v>
      </c>
      <c r="BF1656">
        <v>0</v>
      </c>
      <c r="BG1656">
        <v>0</v>
      </c>
      <c r="BH1656">
        <v>1</v>
      </c>
      <c r="BI1656">
        <v>1</v>
      </c>
      <c r="BJ1656">
        <v>0.2</v>
      </c>
      <c r="BK1656">
        <v>1</v>
      </c>
      <c r="BL1656">
        <v>71.69</v>
      </c>
      <c r="BM1656">
        <v>10.75</v>
      </c>
      <c r="BN1656">
        <v>82.44</v>
      </c>
      <c r="BO1656">
        <v>82.44</v>
      </c>
      <c r="BQ1656" t="s">
        <v>684</v>
      </c>
      <c r="BR1656" t="s">
        <v>84</v>
      </c>
      <c r="BS1656" s="3">
        <v>45882</v>
      </c>
      <c r="BT1656" s="4">
        <v>0.39097222222222222</v>
      </c>
      <c r="BU1656" t="s">
        <v>2335</v>
      </c>
      <c r="BV1656" t="s">
        <v>86</v>
      </c>
      <c r="BY1656">
        <v>1200</v>
      </c>
      <c r="CA1656" t="s">
        <v>2336</v>
      </c>
      <c r="CC1656" t="s">
        <v>235</v>
      </c>
      <c r="CD1656" s="5" t="s">
        <v>240</v>
      </c>
      <c r="CE1656" t="s">
        <v>109</v>
      </c>
      <c r="CF1656" s="3">
        <v>45882</v>
      </c>
      <c r="CI1656">
        <v>1</v>
      </c>
      <c r="CJ1656">
        <v>1</v>
      </c>
      <c r="CK1656">
        <v>21</v>
      </c>
      <c r="CL1656" t="s">
        <v>90</v>
      </c>
    </row>
    <row r="1657" spans="1:90" x14ac:dyDescent="0.3">
      <c r="A1657" t="s">
        <v>72</v>
      </c>
      <c r="B1657" t="s">
        <v>73</v>
      </c>
      <c r="C1657" t="s">
        <v>74</v>
      </c>
      <c r="E1657" t="str">
        <f>"080067190721"</f>
        <v>080067190721</v>
      </c>
      <c r="F1657" s="3">
        <v>45881</v>
      </c>
      <c r="G1657">
        <v>202605</v>
      </c>
      <c r="H1657" t="s">
        <v>75</v>
      </c>
      <c r="I1657" t="s">
        <v>76</v>
      </c>
      <c r="J1657" t="s">
        <v>77</v>
      </c>
      <c r="K1657" t="s">
        <v>78</v>
      </c>
      <c r="L1657" t="s">
        <v>137</v>
      </c>
      <c r="M1657" t="s">
        <v>138</v>
      </c>
      <c r="N1657" t="s">
        <v>261</v>
      </c>
      <c r="O1657" t="s">
        <v>82</v>
      </c>
      <c r="P1657" t="str">
        <f>"4170054367                    "</f>
        <v xml:space="preserve">4170054367                    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0</v>
      </c>
      <c r="AQ1657">
        <v>109.58</v>
      </c>
      <c r="AR1657">
        <v>0</v>
      </c>
      <c r="AS1657">
        <v>0</v>
      </c>
      <c r="AT1657">
        <v>0</v>
      </c>
      <c r="AU1657">
        <v>0</v>
      </c>
      <c r="AV1657">
        <v>0</v>
      </c>
      <c r="AW1657">
        <v>0</v>
      </c>
      <c r="AX1657">
        <v>0</v>
      </c>
      <c r="AY1657">
        <v>0</v>
      </c>
      <c r="AZ1657">
        <v>0</v>
      </c>
      <c r="BA1657">
        <v>0</v>
      </c>
      <c r="BB1657">
        <v>0</v>
      </c>
      <c r="BC1657">
        <v>0</v>
      </c>
      <c r="BD1657">
        <v>0</v>
      </c>
      <c r="BE1657">
        <v>0</v>
      </c>
      <c r="BF1657">
        <v>0</v>
      </c>
      <c r="BG1657">
        <v>0</v>
      </c>
      <c r="BH1657">
        <v>1</v>
      </c>
      <c r="BI1657">
        <v>9.3000000000000007</v>
      </c>
      <c r="BJ1657">
        <v>1.9</v>
      </c>
      <c r="BK1657">
        <v>9.5</v>
      </c>
      <c r="BL1657">
        <v>340.28</v>
      </c>
      <c r="BM1657">
        <v>51.04</v>
      </c>
      <c r="BN1657">
        <v>391.32</v>
      </c>
      <c r="BO1657">
        <v>391.32</v>
      </c>
      <c r="BQ1657" t="s">
        <v>262</v>
      </c>
      <c r="BR1657" t="s">
        <v>84</v>
      </c>
      <c r="BS1657" s="3">
        <v>45882</v>
      </c>
      <c r="BT1657" s="4">
        <v>0.37847222222222221</v>
      </c>
      <c r="BU1657" t="s">
        <v>263</v>
      </c>
      <c r="BV1657" t="s">
        <v>86</v>
      </c>
      <c r="BY1657">
        <v>9600</v>
      </c>
      <c r="CA1657" t="s">
        <v>264</v>
      </c>
      <c r="CC1657" t="s">
        <v>138</v>
      </c>
      <c r="CD1657">
        <v>3608</v>
      </c>
      <c r="CE1657" t="s">
        <v>147</v>
      </c>
      <c r="CF1657" s="3">
        <v>45882</v>
      </c>
      <c r="CI1657">
        <v>1</v>
      </c>
      <c r="CJ1657">
        <v>1</v>
      </c>
      <c r="CK1657">
        <v>21</v>
      </c>
      <c r="CL1657" t="s">
        <v>90</v>
      </c>
    </row>
    <row r="1658" spans="1:90" x14ac:dyDescent="0.3">
      <c r="A1658" t="s">
        <v>72</v>
      </c>
      <c r="B1658" t="s">
        <v>73</v>
      </c>
      <c r="C1658" t="s">
        <v>74</v>
      </c>
      <c r="E1658" t="str">
        <f>"080067190755"</f>
        <v>080067190755</v>
      </c>
      <c r="F1658" s="3">
        <v>45881</v>
      </c>
      <c r="G1658">
        <v>202605</v>
      </c>
      <c r="H1658" t="s">
        <v>75</v>
      </c>
      <c r="I1658" t="s">
        <v>76</v>
      </c>
      <c r="J1658" t="s">
        <v>77</v>
      </c>
      <c r="K1658" t="s">
        <v>78</v>
      </c>
      <c r="L1658" t="s">
        <v>359</v>
      </c>
      <c r="M1658" t="s">
        <v>360</v>
      </c>
      <c r="N1658" t="s">
        <v>2337</v>
      </c>
      <c r="O1658" t="s">
        <v>82</v>
      </c>
      <c r="P1658" t="str">
        <f>"4170054374                    "</f>
        <v xml:space="preserve">4170054374                    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0</v>
      </c>
      <c r="AQ1658">
        <v>44.73</v>
      </c>
      <c r="AR1658">
        <v>0</v>
      </c>
      <c r="AS1658">
        <v>0</v>
      </c>
      <c r="AT1658">
        <v>0</v>
      </c>
      <c r="AU1658">
        <v>0</v>
      </c>
      <c r="AV1658">
        <v>0</v>
      </c>
      <c r="AW1658">
        <v>0</v>
      </c>
      <c r="AX1658">
        <v>0</v>
      </c>
      <c r="AY1658">
        <v>0</v>
      </c>
      <c r="AZ1658">
        <v>0</v>
      </c>
      <c r="BA1658">
        <v>0</v>
      </c>
      <c r="BB1658">
        <v>0</v>
      </c>
      <c r="BC1658">
        <v>0</v>
      </c>
      <c r="BD1658">
        <v>0</v>
      </c>
      <c r="BE1658">
        <v>0</v>
      </c>
      <c r="BF1658">
        <v>0</v>
      </c>
      <c r="BG1658">
        <v>0</v>
      </c>
      <c r="BH1658">
        <v>1</v>
      </c>
      <c r="BI1658">
        <v>1</v>
      </c>
      <c r="BJ1658">
        <v>0.9</v>
      </c>
      <c r="BK1658">
        <v>1</v>
      </c>
      <c r="BL1658">
        <v>138.88999999999999</v>
      </c>
      <c r="BM1658">
        <v>20.83</v>
      </c>
      <c r="BN1658">
        <v>159.72</v>
      </c>
      <c r="BO1658">
        <v>159.72</v>
      </c>
      <c r="BQ1658" t="s">
        <v>2338</v>
      </c>
      <c r="BR1658" t="s">
        <v>84</v>
      </c>
      <c r="BS1658" s="3">
        <v>45882</v>
      </c>
      <c r="BT1658" s="4">
        <v>0.60069444444444442</v>
      </c>
      <c r="BU1658" t="s">
        <v>571</v>
      </c>
      <c r="BV1658" t="s">
        <v>90</v>
      </c>
      <c r="BW1658" t="s">
        <v>364</v>
      </c>
      <c r="BX1658" t="s">
        <v>365</v>
      </c>
      <c r="BY1658">
        <v>4275</v>
      </c>
      <c r="CA1658" t="s">
        <v>2339</v>
      </c>
      <c r="CC1658" t="s">
        <v>360</v>
      </c>
      <c r="CD1658" s="5" t="s">
        <v>367</v>
      </c>
      <c r="CE1658" t="s">
        <v>147</v>
      </c>
      <c r="CF1658" s="3">
        <v>45882</v>
      </c>
      <c r="CI1658">
        <v>1</v>
      </c>
      <c r="CJ1658">
        <v>1</v>
      </c>
      <c r="CK1658">
        <v>23</v>
      </c>
      <c r="CL1658" t="s">
        <v>90</v>
      </c>
    </row>
    <row r="1659" spans="1:90" x14ac:dyDescent="0.3">
      <c r="A1659" t="s">
        <v>72</v>
      </c>
      <c r="B1659" t="s">
        <v>73</v>
      </c>
      <c r="C1659" t="s">
        <v>74</v>
      </c>
      <c r="E1659" t="str">
        <f>"080067191265"</f>
        <v>080067191265</v>
      </c>
      <c r="F1659" s="3">
        <v>45881</v>
      </c>
      <c r="G1659">
        <v>202605</v>
      </c>
      <c r="H1659" t="s">
        <v>75</v>
      </c>
      <c r="I1659" t="s">
        <v>76</v>
      </c>
      <c r="J1659" t="s">
        <v>77</v>
      </c>
      <c r="K1659" t="s">
        <v>78</v>
      </c>
      <c r="L1659" t="s">
        <v>223</v>
      </c>
      <c r="M1659" t="s">
        <v>224</v>
      </c>
      <c r="N1659" t="s">
        <v>225</v>
      </c>
      <c r="O1659" t="s">
        <v>82</v>
      </c>
      <c r="P1659" t="str">
        <f>"4170054363                    "</f>
        <v xml:space="preserve">4170054363                    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0</v>
      </c>
      <c r="AP1659">
        <v>0</v>
      </c>
      <c r="AQ1659">
        <v>23.09</v>
      </c>
      <c r="AR1659">
        <v>0</v>
      </c>
      <c r="AS1659">
        <v>0</v>
      </c>
      <c r="AT1659">
        <v>0</v>
      </c>
      <c r="AU1659">
        <v>0</v>
      </c>
      <c r="AV1659">
        <v>0</v>
      </c>
      <c r="AW1659">
        <v>0</v>
      </c>
      <c r="AX1659">
        <v>0</v>
      </c>
      <c r="AY1659">
        <v>0</v>
      </c>
      <c r="AZ1659">
        <v>0</v>
      </c>
      <c r="BA1659">
        <v>0</v>
      </c>
      <c r="BB1659">
        <v>0</v>
      </c>
      <c r="BC1659">
        <v>0</v>
      </c>
      <c r="BD1659">
        <v>0</v>
      </c>
      <c r="BE1659">
        <v>0</v>
      </c>
      <c r="BF1659">
        <v>0</v>
      </c>
      <c r="BG1659">
        <v>0</v>
      </c>
      <c r="BH1659">
        <v>1</v>
      </c>
      <c r="BI1659">
        <v>1</v>
      </c>
      <c r="BJ1659">
        <v>0.2</v>
      </c>
      <c r="BK1659">
        <v>1</v>
      </c>
      <c r="BL1659">
        <v>71.69</v>
      </c>
      <c r="BM1659">
        <v>10.75</v>
      </c>
      <c r="BN1659">
        <v>82.44</v>
      </c>
      <c r="BO1659">
        <v>82.44</v>
      </c>
      <c r="BQ1659" t="s">
        <v>226</v>
      </c>
      <c r="BR1659" t="s">
        <v>84</v>
      </c>
      <c r="BS1659" s="3">
        <v>45882</v>
      </c>
      <c r="BT1659" s="4">
        <v>0.4375</v>
      </c>
      <c r="BU1659" t="s">
        <v>227</v>
      </c>
      <c r="BV1659" t="s">
        <v>86</v>
      </c>
      <c r="BY1659">
        <v>1200</v>
      </c>
      <c r="CA1659" t="s">
        <v>228</v>
      </c>
      <c r="CC1659" t="s">
        <v>224</v>
      </c>
      <c r="CD1659">
        <v>5200</v>
      </c>
      <c r="CE1659" t="s">
        <v>109</v>
      </c>
      <c r="CF1659" s="3">
        <v>45883</v>
      </c>
      <c r="CI1659">
        <v>1</v>
      </c>
      <c r="CJ1659">
        <v>1</v>
      </c>
      <c r="CK1659">
        <v>21</v>
      </c>
      <c r="CL1659" t="s">
        <v>90</v>
      </c>
    </row>
    <row r="1660" spans="1:90" x14ac:dyDescent="0.3">
      <c r="A1660" t="s">
        <v>72</v>
      </c>
      <c r="B1660" t="s">
        <v>73</v>
      </c>
      <c r="C1660" t="s">
        <v>74</v>
      </c>
      <c r="E1660" t="str">
        <f>"080067191296"</f>
        <v>080067191296</v>
      </c>
      <c r="F1660" s="3">
        <v>45881</v>
      </c>
      <c r="G1660">
        <v>202605</v>
      </c>
      <c r="H1660" t="s">
        <v>75</v>
      </c>
      <c r="I1660" t="s">
        <v>76</v>
      </c>
      <c r="J1660" t="s">
        <v>77</v>
      </c>
      <c r="K1660" t="s">
        <v>78</v>
      </c>
      <c r="L1660" t="s">
        <v>198</v>
      </c>
      <c r="M1660" t="s">
        <v>199</v>
      </c>
      <c r="N1660" t="s">
        <v>920</v>
      </c>
      <c r="O1660" t="s">
        <v>82</v>
      </c>
      <c r="P1660" t="str">
        <f>"4170054372                    "</f>
        <v xml:space="preserve">4170054372                    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0</v>
      </c>
      <c r="AP1660">
        <v>0</v>
      </c>
      <c r="AQ1660">
        <v>23.09</v>
      </c>
      <c r="AR1660">
        <v>0</v>
      </c>
      <c r="AS1660">
        <v>0</v>
      </c>
      <c r="AT1660">
        <v>0</v>
      </c>
      <c r="AU1660">
        <v>0</v>
      </c>
      <c r="AV1660">
        <v>0</v>
      </c>
      <c r="AW1660">
        <v>0</v>
      </c>
      <c r="AX1660">
        <v>0</v>
      </c>
      <c r="AY1660">
        <v>0</v>
      </c>
      <c r="AZ1660">
        <v>0</v>
      </c>
      <c r="BA1660">
        <v>0</v>
      </c>
      <c r="BB1660">
        <v>0</v>
      </c>
      <c r="BC1660">
        <v>0</v>
      </c>
      <c r="BD1660">
        <v>0</v>
      </c>
      <c r="BE1660">
        <v>0</v>
      </c>
      <c r="BF1660">
        <v>0</v>
      </c>
      <c r="BG1660">
        <v>0</v>
      </c>
      <c r="BH1660">
        <v>1</v>
      </c>
      <c r="BI1660">
        <v>1</v>
      </c>
      <c r="BJ1660">
        <v>1.9</v>
      </c>
      <c r="BK1660">
        <v>2</v>
      </c>
      <c r="BL1660">
        <v>71.69</v>
      </c>
      <c r="BM1660">
        <v>10.75</v>
      </c>
      <c r="BN1660">
        <v>82.44</v>
      </c>
      <c r="BO1660">
        <v>82.44</v>
      </c>
      <c r="BQ1660" t="s">
        <v>921</v>
      </c>
      <c r="BR1660" t="s">
        <v>84</v>
      </c>
      <c r="BS1660" s="3">
        <v>45882</v>
      </c>
      <c r="BT1660" s="4">
        <v>0.4284722222222222</v>
      </c>
      <c r="BU1660" t="s">
        <v>1392</v>
      </c>
      <c r="BV1660" t="s">
        <v>86</v>
      </c>
      <c r="BY1660">
        <v>9600</v>
      </c>
      <c r="CA1660" t="s">
        <v>413</v>
      </c>
      <c r="CC1660" t="s">
        <v>199</v>
      </c>
      <c r="CD1660">
        <v>6056</v>
      </c>
      <c r="CE1660" t="s">
        <v>147</v>
      </c>
      <c r="CF1660" s="3">
        <v>45882</v>
      </c>
      <c r="CI1660">
        <v>1</v>
      </c>
      <c r="CJ1660">
        <v>1</v>
      </c>
      <c r="CK1660">
        <v>21</v>
      </c>
      <c r="CL1660" t="s">
        <v>90</v>
      </c>
    </row>
    <row r="1661" spans="1:90" x14ac:dyDescent="0.3">
      <c r="A1661" t="s">
        <v>72</v>
      </c>
      <c r="B1661" t="s">
        <v>73</v>
      </c>
      <c r="C1661" t="s">
        <v>74</v>
      </c>
      <c r="E1661" t="str">
        <f>"080067191299"</f>
        <v>080067191299</v>
      </c>
      <c r="F1661" s="3">
        <v>45881</v>
      </c>
      <c r="G1661">
        <v>202605</v>
      </c>
      <c r="H1661" t="s">
        <v>75</v>
      </c>
      <c r="I1661" t="s">
        <v>76</v>
      </c>
      <c r="J1661" t="s">
        <v>77</v>
      </c>
      <c r="K1661" t="s">
        <v>78</v>
      </c>
      <c r="L1661" t="s">
        <v>79</v>
      </c>
      <c r="M1661" t="s">
        <v>80</v>
      </c>
      <c r="N1661" t="s">
        <v>1067</v>
      </c>
      <c r="O1661" t="s">
        <v>82</v>
      </c>
      <c r="P1661" t="str">
        <f>"4170054381                    "</f>
        <v xml:space="preserve">4170054381                    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0</v>
      </c>
      <c r="AQ1661">
        <v>18.03</v>
      </c>
      <c r="AR1661">
        <v>0</v>
      </c>
      <c r="AS1661">
        <v>0</v>
      </c>
      <c r="AT1661">
        <v>0</v>
      </c>
      <c r="AU1661">
        <v>0</v>
      </c>
      <c r="AV1661">
        <v>0</v>
      </c>
      <c r="AW1661">
        <v>0</v>
      </c>
      <c r="AX1661">
        <v>0</v>
      </c>
      <c r="AY1661">
        <v>0</v>
      </c>
      <c r="AZ1661">
        <v>0</v>
      </c>
      <c r="BA1661">
        <v>0</v>
      </c>
      <c r="BB1661">
        <v>0</v>
      </c>
      <c r="BC1661">
        <v>0</v>
      </c>
      <c r="BD1661">
        <v>0</v>
      </c>
      <c r="BE1661">
        <v>0</v>
      </c>
      <c r="BF1661">
        <v>0</v>
      </c>
      <c r="BG1661">
        <v>0</v>
      </c>
      <c r="BH1661">
        <v>1</v>
      </c>
      <c r="BI1661">
        <v>1</v>
      </c>
      <c r="BJ1661">
        <v>0.2</v>
      </c>
      <c r="BK1661">
        <v>1</v>
      </c>
      <c r="BL1661">
        <v>55.99</v>
      </c>
      <c r="BM1661">
        <v>8.4</v>
      </c>
      <c r="BN1661">
        <v>64.39</v>
      </c>
      <c r="BO1661">
        <v>64.39</v>
      </c>
      <c r="BQ1661" t="s">
        <v>1068</v>
      </c>
      <c r="BR1661" t="s">
        <v>84</v>
      </c>
      <c r="BS1661" s="3">
        <v>45882</v>
      </c>
      <c r="BT1661" s="4">
        <v>0.375</v>
      </c>
      <c r="BU1661" t="s">
        <v>2340</v>
      </c>
      <c r="BV1661" t="s">
        <v>86</v>
      </c>
      <c r="BY1661">
        <v>1200</v>
      </c>
      <c r="CA1661" t="s">
        <v>1069</v>
      </c>
      <c r="CC1661" t="s">
        <v>80</v>
      </c>
      <c r="CD1661">
        <v>1428</v>
      </c>
      <c r="CE1661" t="s">
        <v>109</v>
      </c>
      <c r="CF1661" s="3">
        <v>45883</v>
      </c>
      <c r="CI1661">
        <v>1</v>
      </c>
      <c r="CJ1661">
        <v>1</v>
      </c>
      <c r="CK1661">
        <v>22</v>
      </c>
      <c r="CL1661" t="s">
        <v>90</v>
      </c>
    </row>
    <row r="1662" spans="1:90" x14ac:dyDescent="0.3">
      <c r="A1662" t="s">
        <v>72</v>
      </c>
      <c r="B1662" t="s">
        <v>73</v>
      </c>
      <c r="C1662" t="s">
        <v>74</v>
      </c>
      <c r="E1662" t="str">
        <f>"080067191332"</f>
        <v>080067191332</v>
      </c>
      <c r="F1662" s="3">
        <v>45881</v>
      </c>
      <c r="G1662">
        <v>202605</v>
      </c>
      <c r="H1662" t="s">
        <v>75</v>
      </c>
      <c r="I1662" t="s">
        <v>76</v>
      </c>
      <c r="J1662" t="s">
        <v>77</v>
      </c>
      <c r="K1662" t="s">
        <v>78</v>
      </c>
      <c r="L1662" t="s">
        <v>223</v>
      </c>
      <c r="M1662" t="s">
        <v>224</v>
      </c>
      <c r="N1662" t="s">
        <v>939</v>
      </c>
      <c r="O1662" t="s">
        <v>82</v>
      </c>
      <c r="P1662" t="str">
        <f>"4170054379                    "</f>
        <v xml:space="preserve">4170054379                    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Q1662">
        <v>23.09</v>
      </c>
      <c r="AR1662">
        <v>0</v>
      </c>
      <c r="AS1662">
        <v>0</v>
      </c>
      <c r="AT1662">
        <v>0</v>
      </c>
      <c r="AU1662">
        <v>0</v>
      </c>
      <c r="AV1662">
        <v>0</v>
      </c>
      <c r="AW1662">
        <v>0</v>
      </c>
      <c r="AX1662">
        <v>0</v>
      </c>
      <c r="AY1662">
        <v>0</v>
      </c>
      <c r="AZ1662">
        <v>0</v>
      </c>
      <c r="BA1662">
        <v>0</v>
      </c>
      <c r="BB1662">
        <v>0</v>
      </c>
      <c r="BC1662">
        <v>0</v>
      </c>
      <c r="BD1662">
        <v>0</v>
      </c>
      <c r="BE1662">
        <v>0</v>
      </c>
      <c r="BF1662">
        <v>0</v>
      </c>
      <c r="BG1662">
        <v>0</v>
      </c>
      <c r="BH1662">
        <v>1</v>
      </c>
      <c r="BI1662">
        <v>1</v>
      </c>
      <c r="BJ1662">
        <v>0.2</v>
      </c>
      <c r="BK1662">
        <v>1</v>
      </c>
      <c r="BL1662">
        <v>71.69</v>
      </c>
      <c r="BM1662">
        <v>10.75</v>
      </c>
      <c r="BN1662">
        <v>82.44</v>
      </c>
      <c r="BO1662">
        <v>82.44</v>
      </c>
      <c r="BQ1662" t="s">
        <v>940</v>
      </c>
      <c r="BR1662" t="s">
        <v>84</v>
      </c>
      <c r="BS1662" s="3">
        <v>45882</v>
      </c>
      <c r="BT1662" s="4">
        <v>0.4375</v>
      </c>
      <c r="BU1662" t="s">
        <v>2084</v>
      </c>
      <c r="BV1662" t="s">
        <v>86</v>
      </c>
      <c r="BY1662">
        <v>1200</v>
      </c>
      <c r="CA1662" t="s">
        <v>228</v>
      </c>
      <c r="CC1662" t="s">
        <v>224</v>
      </c>
      <c r="CD1662">
        <v>5201</v>
      </c>
      <c r="CE1662" t="s">
        <v>109</v>
      </c>
      <c r="CF1662" s="3">
        <v>45883</v>
      </c>
      <c r="CI1662">
        <v>1</v>
      </c>
      <c r="CJ1662">
        <v>1</v>
      </c>
      <c r="CK1662">
        <v>21</v>
      </c>
      <c r="CL1662" t="s">
        <v>90</v>
      </c>
    </row>
    <row r="1663" spans="1:90" x14ac:dyDescent="0.3">
      <c r="A1663" t="s">
        <v>72</v>
      </c>
      <c r="B1663" t="s">
        <v>73</v>
      </c>
      <c r="C1663" t="s">
        <v>74</v>
      </c>
      <c r="E1663" t="str">
        <f>"080067191365"</f>
        <v>080067191365</v>
      </c>
      <c r="F1663" s="3">
        <v>45881</v>
      </c>
      <c r="G1663">
        <v>202605</v>
      </c>
      <c r="H1663" t="s">
        <v>75</v>
      </c>
      <c r="I1663" t="s">
        <v>76</v>
      </c>
      <c r="J1663" t="s">
        <v>77</v>
      </c>
      <c r="K1663" t="s">
        <v>78</v>
      </c>
      <c r="L1663" t="s">
        <v>79</v>
      </c>
      <c r="M1663" t="s">
        <v>80</v>
      </c>
      <c r="N1663" t="s">
        <v>1067</v>
      </c>
      <c r="O1663" t="s">
        <v>82</v>
      </c>
      <c r="P1663" t="str">
        <f>"4170054383                    "</f>
        <v xml:space="preserve">4170054383                    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Q1663">
        <v>18.03</v>
      </c>
      <c r="AR1663">
        <v>0</v>
      </c>
      <c r="AS1663">
        <v>0</v>
      </c>
      <c r="AT1663">
        <v>0</v>
      </c>
      <c r="AU1663">
        <v>0</v>
      </c>
      <c r="AV1663">
        <v>0</v>
      </c>
      <c r="AW1663">
        <v>0</v>
      </c>
      <c r="AX1663">
        <v>0</v>
      </c>
      <c r="AY1663">
        <v>0</v>
      </c>
      <c r="AZ1663">
        <v>0</v>
      </c>
      <c r="BA1663">
        <v>0</v>
      </c>
      <c r="BB1663">
        <v>0</v>
      </c>
      <c r="BC1663">
        <v>0</v>
      </c>
      <c r="BD1663">
        <v>0</v>
      </c>
      <c r="BE1663">
        <v>0</v>
      </c>
      <c r="BF1663">
        <v>0</v>
      </c>
      <c r="BG1663">
        <v>0</v>
      </c>
      <c r="BH1663">
        <v>1</v>
      </c>
      <c r="BI1663">
        <v>1</v>
      </c>
      <c r="BJ1663">
        <v>0.2</v>
      </c>
      <c r="BK1663">
        <v>1</v>
      </c>
      <c r="BL1663">
        <v>55.99</v>
      </c>
      <c r="BM1663">
        <v>8.4</v>
      </c>
      <c r="BN1663">
        <v>64.39</v>
      </c>
      <c r="BO1663">
        <v>64.39</v>
      </c>
      <c r="BQ1663" t="s">
        <v>1068</v>
      </c>
      <c r="BR1663" t="s">
        <v>84</v>
      </c>
      <c r="BS1663" s="3">
        <v>45882</v>
      </c>
      <c r="BT1663" s="4">
        <v>0.375</v>
      </c>
      <c r="BU1663" t="s">
        <v>2340</v>
      </c>
      <c r="BV1663" t="s">
        <v>86</v>
      </c>
      <c r="BY1663">
        <v>1200</v>
      </c>
      <c r="CA1663" t="s">
        <v>1069</v>
      </c>
      <c r="CC1663" t="s">
        <v>80</v>
      </c>
      <c r="CD1663">
        <v>1428</v>
      </c>
      <c r="CE1663" t="s">
        <v>109</v>
      </c>
      <c r="CF1663" s="3">
        <v>45883</v>
      </c>
      <c r="CI1663">
        <v>1</v>
      </c>
      <c r="CJ1663">
        <v>1</v>
      </c>
      <c r="CK1663">
        <v>22</v>
      </c>
      <c r="CL1663" t="s">
        <v>90</v>
      </c>
    </row>
    <row r="1664" spans="1:90" x14ac:dyDescent="0.3">
      <c r="A1664" t="s">
        <v>72</v>
      </c>
      <c r="B1664" t="s">
        <v>73</v>
      </c>
      <c r="C1664" t="s">
        <v>74</v>
      </c>
      <c r="E1664" t="str">
        <f>"080067191345"</f>
        <v>080067191345</v>
      </c>
      <c r="F1664" s="3">
        <v>45881</v>
      </c>
      <c r="G1664">
        <v>202605</v>
      </c>
      <c r="H1664" t="s">
        <v>75</v>
      </c>
      <c r="I1664" t="s">
        <v>76</v>
      </c>
      <c r="J1664" t="s">
        <v>77</v>
      </c>
      <c r="K1664" t="s">
        <v>78</v>
      </c>
      <c r="L1664" t="s">
        <v>319</v>
      </c>
      <c r="M1664" t="s">
        <v>320</v>
      </c>
      <c r="N1664" t="s">
        <v>321</v>
      </c>
      <c r="O1664" t="s">
        <v>82</v>
      </c>
      <c r="P1664" t="str">
        <f>"4170054378                    "</f>
        <v xml:space="preserve">4170054378                    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Q1664">
        <v>125.51</v>
      </c>
      <c r="AR1664">
        <v>0</v>
      </c>
      <c r="AS1664">
        <v>0</v>
      </c>
      <c r="AT1664">
        <v>0</v>
      </c>
      <c r="AU1664">
        <v>0</v>
      </c>
      <c r="AV1664">
        <v>0</v>
      </c>
      <c r="AW1664">
        <v>0</v>
      </c>
      <c r="AX1664">
        <v>0</v>
      </c>
      <c r="AY1664">
        <v>0</v>
      </c>
      <c r="AZ1664">
        <v>0</v>
      </c>
      <c r="BA1664">
        <v>0</v>
      </c>
      <c r="BB1664">
        <v>0</v>
      </c>
      <c r="BC1664">
        <v>0</v>
      </c>
      <c r="BD1664">
        <v>0</v>
      </c>
      <c r="BE1664">
        <v>0</v>
      </c>
      <c r="BF1664">
        <v>0</v>
      </c>
      <c r="BG1664">
        <v>0</v>
      </c>
      <c r="BH1664">
        <v>1</v>
      </c>
      <c r="BI1664">
        <v>6</v>
      </c>
      <c r="BJ1664">
        <v>1.9</v>
      </c>
      <c r="BK1664">
        <v>6</v>
      </c>
      <c r="BL1664">
        <v>389.75</v>
      </c>
      <c r="BM1664">
        <v>58.46</v>
      </c>
      <c r="BN1664">
        <v>448.21</v>
      </c>
      <c r="BO1664">
        <v>448.21</v>
      </c>
      <c r="BQ1664" t="s">
        <v>322</v>
      </c>
      <c r="BR1664" t="s">
        <v>84</v>
      </c>
      <c r="BS1664" s="3">
        <v>45882</v>
      </c>
      <c r="BT1664" s="4">
        <v>0.44374999999999998</v>
      </c>
      <c r="BU1664" t="s">
        <v>2213</v>
      </c>
      <c r="BV1664" t="s">
        <v>86</v>
      </c>
      <c r="BY1664">
        <v>9600</v>
      </c>
      <c r="CA1664" t="s">
        <v>324</v>
      </c>
      <c r="CC1664" t="s">
        <v>320</v>
      </c>
      <c r="CD1664">
        <v>2531</v>
      </c>
      <c r="CE1664" t="s">
        <v>147</v>
      </c>
      <c r="CF1664" s="3">
        <v>45883</v>
      </c>
      <c r="CI1664">
        <v>1</v>
      </c>
      <c r="CJ1664">
        <v>1</v>
      </c>
      <c r="CK1664">
        <v>23</v>
      </c>
      <c r="CL1664" t="s">
        <v>90</v>
      </c>
    </row>
    <row r="1665" spans="1:90" x14ac:dyDescent="0.3">
      <c r="A1665" t="s">
        <v>72</v>
      </c>
      <c r="B1665" t="s">
        <v>73</v>
      </c>
      <c r="C1665" t="s">
        <v>74</v>
      </c>
      <c r="E1665" t="str">
        <f>"080067191404"</f>
        <v>080067191404</v>
      </c>
      <c r="F1665" s="3">
        <v>45881</v>
      </c>
      <c r="G1665">
        <v>202605</v>
      </c>
      <c r="H1665" t="s">
        <v>75</v>
      </c>
      <c r="I1665" t="s">
        <v>76</v>
      </c>
      <c r="J1665" t="s">
        <v>77</v>
      </c>
      <c r="K1665" t="s">
        <v>78</v>
      </c>
      <c r="L1665" t="s">
        <v>75</v>
      </c>
      <c r="M1665" t="s">
        <v>76</v>
      </c>
      <c r="N1665" t="s">
        <v>152</v>
      </c>
      <c r="O1665" t="s">
        <v>82</v>
      </c>
      <c r="P1665" t="str">
        <f>"4170054368                    "</f>
        <v xml:space="preserve">4170054368                    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0</v>
      </c>
      <c r="AQ1665">
        <v>18.03</v>
      </c>
      <c r="AR1665">
        <v>0</v>
      </c>
      <c r="AS1665">
        <v>0</v>
      </c>
      <c r="AT1665">
        <v>0</v>
      </c>
      <c r="AU1665">
        <v>0</v>
      </c>
      <c r="AV1665">
        <v>0</v>
      </c>
      <c r="AW1665">
        <v>0</v>
      </c>
      <c r="AX1665">
        <v>0</v>
      </c>
      <c r="AY1665">
        <v>0</v>
      </c>
      <c r="AZ1665">
        <v>0</v>
      </c>
      <c r="BA1665">
        <v>0</v>
      </c>
      <c r="BB1665">
        <v>0</v>
      </c>
      <c r="BC1665">
        <v>0</v>
      </c>
      <c r="BD1665">
        <v>0</v>
      </c>
      <c r="BE1665">
        <v>0</v>
      </c>
      <c r="BF1665">
        <v>0</v>
      </c>
      <c r="BG1665">
        <v>0</v>
      </c>
      <c r="BH1665">
        <v>1</v>
      </c>
      <c r="BI1665">
        <v>1</v>
      </c>
      <c r="BJ1665">
        <v>1.1000000000000001</v>
      </c>
      <c r="BK1665">
        <v>2</v>
      </c>
      <c r="BL1665">
        <v>55.99</v>
      </c>
      <c r="BM1665">
        <v>8.4</v>
      </c>
      <c r="BN1665">
        <v>64.39</v>
      </c>
      <c r="BO1665">
        <v>64.39</v>
      </c>
      <c r="BQ1665" t="s">
        <v>153</v>
      </c>
      <c r="BR1665" t="s">
        <v>84</v>
      </c>
      <c r="BS1665" s="3">
        <v>45882</v>
      </c>
      <c r="BT1665" s="4">
        <v>0.31597222222222221</v>
      </c>
      <c r="BU1665" t="s">
        <v>995</v>
      </c>
      <c r="BV1665" t="s">
        <v>86</v>
      </c>
      <c r="BY1665">
        <v>5320</v>
      </c>
      <c r="CA1665" t="s">
        <v>155</v>
      </c>
      <c r="CC1665" t="s">
        <v>76</v>
      </c>
      <c r="CD1665">
        <v>1600</v>
      </c>
      <c r="CE1665" t="s">
        <v>147</v>
      </c>
      <c r="CF1665" s="3">
        <v>45882</v>
      </c>
      <c r="CI1665">
        <v>1</v>
      </c>
      <c r="CJ1665">
        <v>1</v>
      </c>
      <c r="CK1665">
        <v>22</v>
      </c>
      <c r="CL1665" t="s">
        <v>90</v>
      </c>
    </row>
    <row r="1666" spans="1:90" x14ac:dyDescent="0.3">
      <c r="A1666" t="s">
        <v>72</v>
      </c>
      <c r="B1666" t="s">
        <v>73</v>
      </c>
      <c r="C1666" t="s">
        <v>74</v>
      </c>
      <c r="E1666" t="str">
        <f>"009944913283"</f>
        <v>009944913283</v>
      </c>
      <c r="F1666" s="3">
        <v>45881</v>
      </c>
      <c r="G1666">
        <v>202605</v>
      </c>
      <c r="H1666" t="s">
        <v>198</v>
      </c>
      <c r="I1666" t="s">
        <v>199</v>
      </c>
      <c r="J1666" t="s">
        <v>2341</v>
      </c>
      <c r="K1666" t="s">
        <v>78</v>
      </c>
      <c r="L1666" t="s">
        <v>75</v>
      </c>
      <c r="M1666" t="s">
        <v>76</v>
      </c>
      <c r="N1666" t="s">
        <v>2342</v>
      </c>
      <c r="O1666" t="s">
        <v>95</v>
      </c>
      <c r="P1666" t="str">
        <f>"PLZ2404170328                 "</f>
        <v xml:space="preserve">PLZ2404170328                 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0</v>
      </c>
      <c r="AO1666">
        <v>0</v>
      </c>
      <c r="AP1666">
        <v>0</v>
      </c>
      <c r="AQ1666">
        <v>175.49</v>
      </c>
      <c r="AR1666">
        <v>0</v>
      </c>
      <c r="AS1666">
        <v>0</v>
      </c>
      <c r="AT1666">
        <v>0</v>
      </c>
      <c r="AU1666">
        <v>0</v>
      </c>
      <c r="AV1666">
        <v>0</v>
      </c>
      <c r="AW1666">
        <v>0</v>
      </c>
      <c r="AX1666">
        <v>0</v>
      </c>
      <c r="AY1666">
        <v>0</v>
      </c>
      <c r="AZ1666">
        <v>0</v>
      </c>
      <c r="BA1666">
        <v>0</v>
      </c>
      <c r="BB1666">
        <v>0</v>
      </c>
      <c r="BC1666">
        <v>0</v>
      </c>
      <c r="BD1666">
        <v>0</v>
      </c>
      <c r="BE1666">
        <v>0</v>
      </c>
      <c r="BF1666">
        <v>0</v>
      </c>
      <c r="BG1666">
        <v>0</v>
      </c>
      <c r="BH1666">
        <v>2</v>
      </c>
      <c r="BI1666">
        <v>75</v>
      </c>
      <c r="BJ1666">
        <v>85.6</v>
      </c>
      <c r="BK1666">
        <v>86</v>
      </c>
      <c r="BL1666">
        <v>550.82000000000005</v>
      </c>
      <c r="BM1666">
        <v>82.62</v>
      </c>
      <c r="BN1666">
        <v>633.44000000000005</v>
      </c>
      <c r="BO1666">
        <v>633.44000000000005</v>
      </c>
      <c r="BP1666" t="s">
        <v>2343</v>
      </c>
      <c r="BR1666" t="s">
        <v>2344</v>
      </c>
      <c r="BS1666" s="3">
        <v>45883</v>
      </c>
      <c r="BT1666" s="4">
        <v>0.65625</v>
      </c>
      <c r="BU1666" t="s">
        <v>588</v>
      </c>
      <c r="BV1666" t="s">
        <v>86</v>
      </c>
      <c r="BY1666">
        <v>428172</v>
      </c>
      <c r="BZ1666" t="s">
        <v>100</v>
      </c>
      <c r="CA1666" t="s">
        <v>589</v>
      </c>
      <c r="CC1666" t="s">
        <v>76</v>
      </c>
      <c r="CD1666">
        <v>1600</v>
      </c>
      <c r="CE1666" t="s">
        <v>178</v>
      </c>
      <c r="CF1666" s="3">
        <v>45883</v>
      </c>
      <c r="CI1666">
        <v>3</v>
      </c>
      <c r="CJ1666">
        <v>2</v>
      </c>
      <c r="CK1666">
        <v>41</v>
      </c>
      <c r="CL1666" t="s">
        <v>90</v>
      </c>
    </row>
    <row r="1667" spans="1:90" x14ac:dyDescent="0.3">
      <c r="A1667" t="s">
        <v>72</v>
      </c>
      <c r="B1667" t="s">
        <v>73</v>
      </c>
      <c r="C1667" t="s">
        <v>74</v>
      </c>
      <c r="E1667" t="str">
        <f>"080067192120"</f>
        <v>080067192120</v>
      </c>
      <c r="F1667" s="3">
        <v>45881</v>
      </c>
      <c r="G1667">
        <v>202605</v>
      </c>
      <c r="H1667" t="s">
        <v>75</v>
      </c>
      <c r="I1667" t="s">
        <v>76</v>
      </c>
      <c r="J1667" t="s">
        <v>77</v>
      </c>
      <c r="K1667" t="s">
        <v>78</v>
      </c>
      <c r="L1667" t="s">
        <v>229</v>
      </c>
      <c r="M1667" t="s">
        <v>230</v>
      </c>
      <c r="N1667" t="s">
        <v>231</v>
      </c>
      <c r="O1667" t="s">
        <v>82</v>
      </c>
      <c r="P1667" t="str">
        <f>"4170054384                    "</f>
        <v xml:space="preserve">4170054384                    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Q1667">
        <v>44.73</v>
      </c>
      <c r="AR1667">
        <v>0</v>
      </c>
      <c r="AS1667">
        <v>0</v>
      </c>
      <c r="AT1667">
        <v>0</v>
      </c>
      <c r="AU1667">
        <v>0</v>
      </c>
      <c r="AV1667">
        <v>0</v>
      </c>
      <c r="AW1667">
        <v>0</v>
      </c>
      <c r="AX1667">
        <v>0</v>
      </c>
      <c r="AY1667">
        <v>0</v>
      </c>
      <c r="AZ1667">
        <v>0</v>
      </c>
      <c r="BA1667">
        <v>0</v>
      </c>
      <c r="BB1667">
        <v>0</v>
      </c>
      <c r="BC1667">
        <v>0</v>
      </c>
      <c r="BD1667">
        <v>0</v>
      </c>
      <c r="BE1667">
        <v>0</v>
      </c>
      <c r="BF1667">
        <v>0</v>
      </c>
      <c r="BG1667">
        <v>0</v>
      </c>
      <c r="BH1667">
        <v>1</v>
      </c>
      <c r="BI1667">
        <v>1</v>
      </c>
      <c r="BJ1667">
        <v>0.2</v>
      </c>
      <c r="BK1667">
        <v>1</v>
      </c>
      <c r="BL1667">
        <v>138.88999999999999</v>
      </c>
      <c r="BM1667">
        <v>20.83</v>
      </c>
      <c r="BN1667">
        <v>159.72</v>
      </c>
      <c r="BO1667">
        <v>159.72</v>
      </c>
      <c r="BQ1667" t="s">
        <v>232</v>
      </c>
      <c r="BR1667" t="s">
        <v>84</v>
      </c>
      <c r="BS1667" s="3">
        <v>45882</v>
      </c>
      <c r="BT1667" s="4">
        <v>0.32291666666666669</v>
      </c>
      <c r="BU1667" t="s">
        <v>233</v>
      </c>
      <c r="BV1667" t="s">
        <v>86</v>
      </c>
      <c r="BY1667">
        <v>1200</v>
      </c>
      <c r="CC1667" t="s">
        <v>230</v>
      </c>
      <c r="CD1667">
        <v>2740</v>
      </c>
      <c r="CE1667" t="s">
        <v>109</v>
      </c>
      <c r="CF1667" s="3">
        <v>45883</v>
      </c>
      <c r="CI1667">
        <v>1</v>
      </c>
      <c r="CJ1667">
        <v>1</v>
      </c>
      <c r="CK1667">
        <v>23</v>
      </c>
      <c r="CL1667" t="s">
        <v>90</v>
      </c>
    </row>
    <row r="1668" spans="1:90" x14ac:dyDescent="0.3">
      <c r="A1668" t="s">
        <v>72</v>
      </c>
      <c r="B1668" t="s">
        <v>73</v>
      </c>
      <c r="C1668" t="s">
        <v>74</v>
      </c>
      <c r="E1668" t="str">
        <f>"080067192167"</f>
        <v>080067192167</v>
      </c>
      <c r="F1668" s="3">
        <v>45881</v>
      </c>
      <c r="G1668">
        <v>202605</v>
      </c>
      <c r="H1668" t="s">
        <v>75</v>
      </c>
      <c r="I1668" t="s">
        <v>76</v>
      </c>
      <c r="J1668" t="s">
        <v>77</v>
      </c>
      <c r="K1668" t="s">
        <v>78</v>
      </c>
      <c r="L1668" t="s">
        <v>229</v>
      </c>
      <c r="M1668" t="s">
        <v>230</v>
      </c>
      <c r="N1668" t="s">
        <v>231</v>
      </c>
      <c r="O1668" t="s">
        <v>82</v>
      </c>
      <c r="P1668" t="str">
        <f>"4170054382                    "</f>
        <v xml:space="preserve">4170054382                    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0</v>
      </c>
      <c r="AO1668">
        <v>0</v>
      </c>
      <c r="AP1668">
        <v>0</v>
      </c>
      <c r="AQ1668">
        <v>44.73</v>
      </c>
      <c r="AR1668">
        <v>0</v>
      </c>
      <c r="AS1668">
        <v>0</v>
      </c>
      <c r="AT1668">
        <v>0</v>
      </c>
      <c r="AU1668">
        <v>0</v>
      </c>
      <c r="AV1668">
        <v>0</v>
      </c>
      <c r="AW1668">
        <v>0</v>
      </c>
      <c r="AX1668">
        <v>0</v>
      </c>
      <c r="AY1668">
        <v>0</v>
      </c>
      <c r="AZ1668">
        <v>0</v>
      </c>
      <c r="BA1668">
        <v>0</v>
      </c>
      <c r="BB1668">
        <v>0</v>
      </c>
      <c r="BC1668">
        <v>0</v>
      </c>
      <c r="BD1668">
        <v>0</v>
      </c>
      <c r="BE1668">
        <v>0</v>
      </c>
      <c r="BF1668">
        <v>0</v>
      </c>
      <c r="BG1668">
        <v>0</v>
      </c>
      <c r="BH1668">
        <v>1</v>
      </c>
      <c r="BI1668">
        <v>1</v>
      </c>
      <c r="BJ1668">
        <v>0.2</v>
      </c>
      <c r="BK1668">
        <v>1</v>
      </c>
      <c r="BL1668">
        <v>138.88999999999999</v>
      </c>
      <c r="BM1668">
        <v>20.83</v>
      </c>
      <c r="BN1668">
        <v>159.72</v>
      </c>
      <c r="BO1668">
        <v>159.72</v>
      </c>
      <c r="BQ1668" t="s">
        <v>232</v>
      </c>
      <c r="BR1668" t="s">
        <v>84</v>
      </c>
      <c r="BS1668" s="3">
        <v>45882</v>
      </c>
      <c r="BT1668" s="4">
        <v>0.3125</v>
      </c>
      <c r="BU1668" t="s">
        <v>233</v>
      </c>
      <c r="BV1668" t="s">
        <v>86</v>
      </c>
      <c r="BY1668">
        <v>1200</v>
      </c>
      <c r="CC1668" t="s">
        <v>230</v>
      </c>
      <c r="CD1668">
        <v>2740</v>
      </c>
      <c r="CE1668" t="s">
        <v>109</v>
      </c>
      <c r="CF1668" s="3">
        <v>45883</v>
      </c>
      <c r="CI1668">
        <v>1</v>
      </c>
      <c r="CJ1668">
        <v>1</v>
      </c>
      <c r="CK1668">
        <v>23</v>
      </c>
      <c r="CL1668" t="s">
        <v>90</v>
      </c>
    </row>
    <row r="1669" spans="1:90" x14ac:dyDescent="0.3">
      <c r="A1669" t="s">
        <v>72</v>
      </c>
      <c r="B1669" t="s">
        <v>73</v>
      </c>
      <c r="C1669" t="s">
        <v>74</v>
      </c>
      <c r="E1669" t="str">
        <f>"080067192554"</f>
        <v>080067192554</v>
      </c>
      <c r="F1669" s="3">
        <v>45881</v>
      </c>
      <c r="G1669">
        <v>202605</v>
      </c>
      <c r="H1669" t="s">
        <v>75</v>
      </c>
      <c r="I1669" t="s">
        <v>76</v>
      </c>
      <c r="J1669" t="s">
        <v>77</v>
      </c>
      <c r="K1669" t="s">
        <v>78</v>
      </c>
      <c r="L1669" t="s">
        <v>137</v>
      </c>
      <c r="M1669" t="s">
        <v>138</v>
      </c>
      <c r="N1669" t="s">
        <v>1717</v>
      </c>
      <c r="O1669" t="s">
        <v>82</v>
      </c>
      <c r="P1669" t="str">
        <f>"4170054380                    "</f>
        <v xml:space="preserve">4170054380                    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Q1669">
        <v>23.09</v>
      </c>
      <c r="AR1669">
        <v>0</v>
      </c>
      <c r="AS1669">
        <v>0</v>
      </c>
      <c r="AT1669">
        <v>0</v>
      </c>
      <c r="AU1669">
        <v>0</v>
      </c>
      <c r="AV1669">
        <v>0</v>
      </c>
      <c r="AW1669">
        <v>0</v>
      </c>
      <c r="AX1669">
        <v>0</v>
      </c>
      <c r="AY1669">
        <v>0</v>
      </c>
      <c r="AZ1669">
        <v>0</v>
      </c>
      <c r="BA1669">
        <v>0</v>
      </c>
      <c r="BB1669">
        <v>0</v>
      </c>
      <c r="BC1669">
        <v>0</v>
      </c>
      <c r="BD1669">
        <v>0</v>
      </c>
      <c r="BE1669">
        <v>0</v>
      </c>
      <c r="BF1669">
        <v>0</v>
      </c>
      <c r="BG1669">
        <v>0</v>
      </c>
      <c r="BH1669">
        <v>1</v>
      </c>
      <c r="BI1669">
        <v>1</v>
      </c>
      <c r="BJ1669">
        <v>1.1000000000000001</v>
      </c>
      <c r="BK1669">
        <v>1.5</v>
      </c>
      <c r="BL1669">
        <v>71.69</v>
      </c>
      <c r="BM1669">
        <v>10.75</v>
      </c>
      <c r="BN1669">
        <v>82.44</v>
      </c>
      <c r="BO1669">
        <v>82.44</v>
      </c>
      <c r="BQ1669" t="s">
        <v>1718</v>
      </c>
      <c r="BR1669" t="s">
        <v>84</v>
      </c>
      <c r="BS1669" s="3">
        <v>45882</v>
      </c>
      <c r="BT1669" s="4">
        <v>0.3611111111111111</v>
      </c>
      <c r="BU1669" t="s">
        <v>2281</v>
      </c>
      <c r="BV1669" t="s">
        <v>86</v>
      </c>
      <c r="BY1669">
        <v>5320</v>
      </c>
      <c r="CA1669" t="s">
        <v>264</v>
      </c>
      <c r="CC1669" t="s">
        <v>138</v>
      </c>
      <c r="CD1669">
        <v>3610</v>
      </c>
      <c r="CE1669" t="s">
        <v>147</v>
      </c>
      <c r="CF1669" s="3">
        <v>45883</v>
      </c>
      <c r="CI1669">
        <v>1</v>
      </c>
      <c r="CJ1669">
        <v>1</v>
      </c>
      <c r="CK1669">
        <v>21</v>
      </c>
      <c r="CL1669" t="s">
        <v>90</v>
      </c>
    </row>
    <row r="1670" spans="1:90" x14ac:dyDescent="0.3">
      <c r="A1670" t="s">
        <v>72</v>
      </c>
      <c r="B1670" t="s">
        <v>73</v>
      </c>
      <c r="C1670" t="s">
        <v>74</v>
      </c>
      <c r="E1670" t="str">
        <f>"080067192599"</f>
        <v>080067192599</v>
      </c>
      <c r="F1670" s="3">
        <v>45881</v>
      </c>
      <c r="G1670">
        <v>202605</v>
      </c>
      <c r="H1670" t="s">
        <v>75</v>
      </c>
      <c r="I1670" t="s">
        <v>76</v>
      </c>
      <c r="J1670" t="s">
        <v>77</v>
      </c>
      <c r="K1670" t="s">
        <v>78</v>
      </c>
      <c r="L1670" t="s">
        <v>303</v>
      </c>
      <c r="M1670" t="s">
        <v>304</v>
      </c>
      <c r="N1670" t="s">
        <v>840</v>
      </c>
      <c r="O1670" t="s">
        <v>82</v>
      </c>
      <c r="P1670" t="str">
        <f>"4170054373                    "</f>
        <v xml:space="preserve">4170054373                    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0</v>
      </c>
      <c r="AQ1670">
        <v>44.73</v>
      </c>
      <c r="AR1670">
        <v>0</v>
      </c>
      <c r="AS1670">
        <v>0</v>
      </c>
      <c r="AT1670">
        <v>0</v>
      </c>
      <c r="AU1670">
        <v>0</v>
      </c>
      <c r="AV1670">
        <v>0</v>
      </c>
      <c r="AW1670">
        <v>0</v>
      </c>
      <c r="AX1670">
        <v>0</v>
      </c>
      <c r="AY1670">
        <v>0</v>
      </c>
      <c r="AZ1670">
        <v>0</v>
      </c>
      <c r="BA1670">
        <v>0</v>
      </c>
      <c r="BB1670">
        <v>0</v>
      </c>
      <c r="BC1670">
        <v>0</v>
      </c>
      <c r="BD1670">
        <v>0</v>
      </c>
      <c r="BE1670">
        <v>0</v>
      </c>
      <c r="BF1670">
        <v>0</v>
      </c>
      <c r="BG1670">
        <v>0</v>
      </c>
      <c r="BH1670">
        <v>1</v>
      </c>
      <c r="BI1670">
        <v>1</v>
      </c>
      <c r="BJ1670">
        <v>0.2</v>
      </c>
      <c r="BK1670">
        <v>1</v>
      </c>
      <c r="BL1670">
        <v>138.88999999999999</v>
      </c>
      <c r="BM1670">
        <v>20.83</v>
      </c>
      <c r="BN1670">
        <v>159.72</v>
      </c>
      <c r="BO1670">
        <v>159.72</v>
      </c>
      <c r="BQ1670" t="s">
        <v>841</v>
      </c>
      <c r="BR1670" t="s">
        <v>84</v>
      </c>
      <c r="BS1670" s="3">
        <v>45882</v>
      </c>
      <c r="BT1670" s="4">
        <v>0.44722222222222224</v>
      </c>
      <c r="BU1670" t="s">
        <v>2001</v>
      </c>
      <c r="BV1670" t="s">
        <v>86</v>
      </c>
      <c r="BY1670">
        <v>1200</v>
      </c>
      <c r="CA1670" t="s">
        <v>308</v>
      </c>
      <c r="CC1670" t="s">
        <v>304</v>
      </c>
      <c r="CD1670">
        <v>7130</v>
      </c>
      <c r="CE1670" t="s">
        <v>109</v>
      </c>
      <c r="CF1670" s="3">
        <v>45883</v>
      </c>
      <c r="CI1670">
        <v>1</v>
      </c>
      <c r="CJ1670">
        <v>1</v>
      </c>
      <c r="CK1670">
        <v>23</v>
      </c>
      <c r="CL1670" t="s">
        <v>90</v>
      </c>
    </row>
    <row r="1671" spans="1:90" x14ac:dyDescent="0.3">
      <c r="A1671" t="s">
        <v>72</v>
      </c>
      <c r="B1671" t="s">
        <v>73</v>
      </c>
      <c r="C1671" t="s">
        <v>74</v>
      </c>
      <c r="E1671" t="str">
        <f>"080067193420"</f>
        <v>080067193420</v>
      </c>
      <c r="F1671" s="3">
        <v>45881</v>
      </c>
      <c r="G1671">
        <v>202605</v>
      </c>
      <c r="H1671" t="s">
        <v>75</v>
      </c>
      <c r="I1671" t="s">
        <v>76</v>
      </c>
      <c r="J1671" t="s">
        <v>77</v>
      </c>
      <c r="K1671" t="s">
        <v>78</v>
      </c>
      <c r="L1671" t="s">
        <v>223</v>
      </c>
      <c r="M1671" t="s">
        <v>224</v>
      </c>
      <c r="N1671" t="s">
        <v>2345</v>
      </c>
      <c r="O1671" t="s">
        <v>82</v>
      </c>
      <c r="P1671" t="str">
        <f>"4170054299                    "</f>
        <v xml:space="preserve">4170054299                    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0</v>
      </c>
      <c r="AQ1671">
        <v>51.92</v>
      </c>
      <c r="AR1671">
        <v>0</v>
      </c>
      <c r="AS1671">
        <v>0</v>
      </c>
      <c r="AT1671">
        <v>0</v>
      </c>
      <c r="AU1671">
        <v>0</v>
      </c>
      <c r="AV1671">
        <v>0</v>
      </c>
      <c r="AW1671">
        <v>0</v>
      </c>
      <c r="AX1671">
        <v>0</v>
      </c>
      <c r="AY1671">
        <v>0</v>
      </c>
      <c r="AZ1671">
        <v>0</v>
      </c>
      <c r="BA1671">
        <v>0</v>
      </c>
      <c r="BB1671">
        <v>0</v>
      </c>
      <c r="BC1671">
        <v>0</v>
      </c>
      <c r="BD1671">
        <v>0</v>
      </c>
      <c r="BE1671">
        <v>0</v>
      </c>
      <c r="BF1671">
        <v>0</v>
      </c>
      <c r="BG1671">
        <v>0</v>
      </c>
      <c r="BH1671">
        <v>1</v>
      </c>
      <c r="BI1671">
        <v>1</v>
      </c>
      <c r="BJ1671">
        <v>4.2</v>
      </c>
      <c r="BK1671">
        <v>4.5</v>
      </c>
      <c r="BL1671">
        <v>161.22</v>
      </c>
      <c r="BM1671">
        <v>24.18</v>
      </c>
      <c r="BN1671">
        <v>185.4</v>
      </c>
      <c r="BO1671">
        <v>185.4</v>
      </c>
      <c r="BQ1671" t="s">
        <v>2346</v>
      </c>
      <c r="BR1671" t="s">
        <v>84</v>
      </c>
      <c r="BS1671" s="3">
        <v>45882</v>
      </c>
      <c r="BT1671" s="4">
        <v>0.64652777777777781</v>
      </c>
      <c r="BU1671" t="s">
        <v>2347</v>
      </c>
      <c r="BV1671" t="s">
        <v>90</v>
      </c>
      <c r="BY1671">
        <v>20992</v>
      </c>
      <c r="CA1671" t="s">
        <v>268</v>
      </c>
      <c r="CC1671" t="s">
        <v>224</v>
      </c>
      <c r="CD1671">
        <v>5200</v>
      </c>
      <c r="CE1671" t="s">
        <v>117</v>
      </c>
      <c r="CF1671" s="3">
        <v>45883</v>
      </c>
      <c r="CI1671">
        <v>1</v>
      </c>
      <c r="CJ1671">
        <v>1</v>
      </c>
      <c r="CK1671">
        <v>21</v>
      </c>
      <c r="CL1671" t="s">
        <v>90</v>
      </c>
    </row>
    <row r="1672" spans="1:90" x14ac:dyDescent="0.3">
      <c r="A1672" t="s">
        <v>72</v>
      </c>
      <c r="B1672" t="s">
        <v>73</v>
      </c>
      <c r="C1672" t="s">
        <v>74</v>
      </c>
      <c r="E1672" t="str">
        <f>"080067193453"</f>
        <v>080067193453</v>
      </c>
      <c r="F1672" s="3">
        <v>45881</v>
      </c>
      <c r="G1672">
        <v>202605</v>
      </c>
      <c r="H1672" t="s">
        <v>75</v>
      </c>
      <c r="I1672" t="s">
        <v>76</v>
      </c>
      <c r="J1672" t="s">
        <v>77</v>
      </c>
      <c r="K1672" t="s">
        <v>78</v>
      </c>
      <c r="L1672" t="s">
        <v>123</v>
      </c>
      <c r="M1672" t="s">
        <v>124</v>
      </c>
      <c r="N1672" t="s">
        <v>406</v>
      </c>
      <c r="O1672" t="s">
        <v>82</v>
      </c>
      <c r="P1672" t="str">
        <f>"4170054389                    "</f>
        <v xml:space="preserve">4170054389                    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0</v>
      </c>
      <c r="AP1672">
        <v>0</v>
      </c>
      <c r="AQ1672">
        <v>46.15</v>
      </c>
      <c r="AR1672">
        <v>0</v>
      </c>
      <c r="AS1672">
        <v>0</v>
      </c>
      <c r="AT1672">
        <v>0</v>
      </c>
      <c r="AU1672">
        <v>0</v>
      </c>
      <c r="AV1672">
        <v>0</v>
      </c>
      <c r="AW1672">
        <v>0</v>
      </c>
      <c r="AX1672">
        <v>0</v>
      </c>
      <c r="AY1672">
        <v>0</v>
      </c>
      <c r="AZ1672">
        <v>0</v>
      </c>
      <c r="BA1672">
        <v>0</v>
      </c>
      <c r="BB1672">
        <v>0</v>
      </c>
      <c r="BC1672">
        <v>0</v>
      </c>
      <c r="BD1672">
        <v>0</v>
      </c>
      <c r="BE1672">
        <v>0</v>
      </c>
      <c r="BF1672">
        <v>0</v>
      </c>
      <c r="BG1672">
        <v>0</v>
      </c>
      <c r="BH1672">
        <v>1</v>
      </c>
      <c r="BI1672">
        <v>4</v>
      </c>
      <c r="BJ1672">
        <v>3.3</v>
      </c>
      <c r="BK1672">
        <v>4</v>
      </c>
      <c r="BL1672">
        <v>143.31</v>
      </c>
      <c r="BM1672">
        <v>21.5</v>
      </c>
      <c r="BN1672">
        <v>164.81</v>
      </c>
      <c r="BO1672">
        <v>164.81</v>
      </c>
      <c r="BQ1672" t="s">
        <v>407</v>
      </c>
      <c r="BR1672" t="s">
        <v>84</v>
      </c>
      <c r="BS1672" s="3">
        <v>45882</v>
      </c>
      <c r="BT1672" s="4">
        <v>0.4236111111111111</v>
      </c>
      <c r="BU1672" t="s">
        <v>408</v>
      </c>
      <c r="BV1672" t="s">
        <v>86</v>
      </c>
      <c r="BY1672">
        <v>16704</v>
      </c>
      <c r="CA1672" t="s">
        <v>192</v>
      </c>
      <c r="CC1672" t="s">
        <v>124</v>
      </c>
      <c r="CD1672">
        <v>7441</v>
      </c>
      <c r="CE1672" t="s">
        <v>117</v>
      </c>
      <c r="CF1672" s="3">
        <v>45883</v>
      </c>
      <c r="CI1672">
        <v>1</v>
      </c>
      <c r="CJ1672">
        <v>1</v>
      </c>
      <c r="CK1672">
        <v>21</v>
      </c>
      <c r="CL1672" t="s">
        <v>90</v>
      </c>
    </row>
    <row r="1673" spans="1:90" x14ac:dyDescent="0.3">
      <c r="A1673" t="s">
        <v>72</v>
      </c>
      <c r="B1673" t="s">
        <v>73</v>
      </c>
      <c r="C1673" t="s">
        <v>74</v>
      </c>
      <c r="E1673" t="str">
        <f>"080067193508"</f>
        <v>080067193508</v>
      </c>
      <c r="F1673" s="3">
        <v>45881</v>
      </c>
      <c r="G1673">
        <v>202605</v>
      </c>
      <c r="H1673" t="s">
        <v>75</v>
      </c>
      <c r="I1673" t="s">
        <v>76</v>
      </c>
      <c r="J1673" t="s">
        <v>77</v>
      </c>
      <c r="K1673" t="s">
        <v>78</v>
      </c>
      <c r="L1673" t="s">
        <v>75</v>
      </c>
      <c r="M1673" t="s">
        <v>76</v>
      </c>
      <c r="N1673" t="s">
        <v>1126</v>
      </c>
      <c r="O1673" t="s">
        <v>82</v>
      </c>
      <c r="P1673" t="str">
        <f>"4170054387                    "</f>
        <v xml:space="preserve">4170054387                    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Q1673">
        <v>18.03</v>
      </c>
      <c r="AR1673">
        <v>0</v>
      </c>
      <c r="AS1673">
        <v>0</v>
      </c>
      <c r="AT1673">
        <v>0</v>
      </c>
      <c r="AU1673">
        <v>0</v>
      </c>
      <c r="AV1673">
        <v>0</v>
      </c>
      <c r="AW1673">
        <v>0</v>
      </c>
      <c r="AX1673">
        <v>0</v>
      </c>
      <c r="AY1673">
        <v>0</v>
      </c>
      <c r="AZ1673">
        <v>0</v>
      </c>
      <c r="BA1673">
        <v>0</v>
      </c>
      <c r="BB1673">
        <v>0</v>
      </c>
      <c r="BC1673">
        <v>0</v>
      </c>
      <c r="BD1673">
        <v>0</v>
      </c>
      <c r="BE1673">
        <v>0</v>
      </c>
      <c r="BF1673">
        <v>0</v>
      </c>
      <c r="BG1673">
        <v>0</v>
      </c>
      <c r="BH1673">
        <v>1</v>
      </c>
      <c r="BI1673">
        <v>3</v>
      </c>
      <c r="BJ1673">
        <v>2.2000000000000002</v>
      </c>
      <c r="BK1673">
        <v>3</v>
      </c>
      <c r="BL1673">
        <v>55.99</v>
      </c>
      <c r="BM1673">
        <v>8.4</v>
      </c>
      <c r="BN1673">
        <v>64.39</v>
      </c>
      <c r="BO1673">
        <v>64.39</v>
      </c>
      <c r="BQ1673" t="s">
        <v>1127</v>
      </c>
      <c r="BR1673" t="s">
        <v>84</v>
      </c>
      <c r="BS1673" s="3">
        <v>45882</v>
      </c>
      <c r="BT1673" s="4">
        <v>0.42638888888888887</v>
      </c>
      <c r="BU1673" t="s">
        <v>2348</v>
      </c>
      <c r="BV1673" t="s">
        <v>86</v>
      </c>
      <c r="BY1673">
        <v>11136</v>
      </c>
      <c r="CA1673" t="s">
        <v>1743</v>
      </c>
      <c r="CC1673" t="s">
        <v>76</v>
      </c>
      <c r="CD1673">
        <v>1619</v>
      </c>
      <c r="CE1673" t="s">
        <v>117</v>
      </c>
      <c r="CF1673" s="3">
        <v>45882</v>
      </c>
      <c r="CI1673">
        <v>1</v>
      </c>
      <c r="CJ1673">
        <v>1</v>
      </c>
      <c r="CK1673">
        <v>22</v>
      </c>
      <c r="CL1673" t="s">
        <v>90</v>
      </c>
    </row>
    <row r="1674" spans="1:90" x14ac:dyDescent="0.3">
      <c r="A1674" t="s">
        <v>72</v>
      </c>
      <c r="B1674" t="s">
        <v>73</v>
      </c>
      <c r="C1674" t="s">
        <v>74</v>
      </c>
      <c r="E1674" t="str">
        <f>"080067193547"</f>
        <v>080067193547</v>
      </c>
      <c r="F1674" s="3">
        <v>45881</v>
      </c>
      <c r="G1674">
        <v>202605</v>
      </c>
      <c r="H1674" t="s">
        <v>75</v>
      </c>
      <c r="I1674" t="s">
        <v>76</v>
      </c>
      <c r="J1674" t="s">
        <v>77</v>
      </c>
      <c r="K1674" t="s">
        <v>78</v>
      </c>
      <c r="L1674" t="s">
        <v>137</v>
      </c>
      <c r="M1674" t="s">
        <v>138</v>
      </c>
      <c r="N1674" t="s">
        <v>370</v>
      </c>
      <c r="O1674" t="s">
        <v>82</v>
      </c>
      <c r="P1674" t="str">
        <f>"4170054385                    "</f>
        <v xml:space="preserve">4170054385                    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0</v>
      </c>
      <c r="AP1674">
        <v>0</v>
      </c>
      <c r="AQ1674">
        <v>40.380000000000003</v>
      </c>
      <c r="AR1674">
        <v>0</v>
      </c>
      <c r="AS1674">
        <v>0</v>
      </c>
      <c r="AT1674">
        <v>0</v>
      </c>
      <c r="AU1674">
        <v>0</v>
      </c>
      <c r="AV1674">
        <v>0</v>
      </c>
      <c r="AW1674">
        <v>0</v>
      </c>
      <c r="AX1674">
        <v>0</v>
      </c>
      <c r="AY1674">
        <v>0</v>
      </c>
      <c r="AZ1674">
        <v>0</v>
      </c>
      <c r="BA1674">
        <v>0</v>
      </c>
      <c r="BB1674">
        <v>0</v>
      </c>
      <c r="BC1674">
        <v>0</v>
      </c>
      <c r="BD1674">
        <v>0</v>
      </c>
      <c r="BE1674">
        <v>0</v>
      </c>
      <c r="BF1674">
        <v>0</v>
      </c>
      <c r="BG1674">
        <v>0</v>
      </c>
      <c r="BH1674">
        <v>1</v>
      </c>
      <c r="BI1674">
        <v>1</v>
      </c>
      <c r="BJ1674">
        <v>3.4</v>
      </c>
      <c r="BK1674">
        <v>3.5</v>
      </c>
      <c r="BL1674">
        <v>125.4</v>
      </c>
      <c r="BM1674">
        <v>18.809999999999999</v>
      </c>
      <c r="BN1674">
        <v>144.21</v>
      </c>
      <c r="BO1674">
        <v>144.21</v>
      </c>
      <c r="BQ1674" t="s">
        <v>371</v>
      </c>
      <c r="BR1674" t="s">
        <v>84</v>
      </c>
      <c r="BS1674" s="3">
        <v>45882</v>
      </c>
      <c r="BT1674" s="4">
        <v>0.3659722222222222</v>
      </c>
      <c r="BU1674" t="s">
        <v>2349</v>
      </c>
      <c r="BV1674" t="s">
        <v>86</v>
      </c>
      <c r="BY1674">
        <v>16965</v>
      </c>
      <c r="CA1674" t="s">
        <v>264</v>
      </c>
      <c r="CC1674" t="s">
        <v>138</v>
      </c>
      <c r="CD1674">
        <v>3608</v>
      </c>
      <c r="CE1674" t="s">
        <v>147</v>
      </c>
      <c r="CF1674" s="3">
        <v>45882</v>
      </c>
      <c r="CI1674">
        <v>1</v>
      </c>
      <c r="CJ1674">
        <v>1</v>
      </c>
      <c r="CK1674">
        <v>21</v>
      </c>
      <c r="CL1674" t="s">
        <v>90</v>
      </c>
    </row>
    <row r="1675" spans="1:90" x14ac:dyDescent="0.3">
      <c r="A1675" t="s">
        <v>72</v>
      </c>
      <c r="B1675" t="s">
        <v>73</v>
      </c>
      <c r="C1675" t="s">
        <v>74</v>
      </c>
      <c r="E1675" t="str">
        <f>"080067193595"</f>
        <v>080067193595</v>
      </c>
      <c r="F1675" s="3">
        <v>45881</v>
      </c>
      <c r="G1675">
        <v>202605</v>
      </c>
      <c r="H1675" t="s">
        <v>75</v>
      </c>
      <c r="I1675" t="s">
        <v>76</v>
      </c>
      <c r="J1675" t="s">
        <v>77</v>
      </c>
      <c r="K1675" t="s">
        <v>78</v>
      </c>
      <c r="L1675" t="s">
        <v>1157</v>
      </c>
      <c r="M1675" t="s">
        <v>1158</v>
      </c>
      <c r="N1675" t="s">
        <v>1535</v>
      </c>
      <c r="O1675" t="s">
        <v>82</v>
      </c>
      <c r="P1675" t="str">
        <f>"4170054329                    "</f>
        <v xml:space="preserve">4170054329                    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0</v>
      </c>
      <c r="AQ1675">
        <v>44.73</v>
      </c>
      <c r="AR1675">
        <v>0</v>
      </c>
      <c r="AS1675">
        <v>0</v>
      </c>
      <c r="AT1675">
        <v>0</v>
      </c>
      <c r="AU1675">
        <v>0</v>
      </c>
      <c r="AV1675">
        <v>0</v>
      </c>
      <c r="AW1675">
        <v>0</v>
      </c>
      <c r="AX1675">
        <v>0</v>
      </c>
      <c r="AY1675">
        <v>0</v>
      </c>
      <c r="AZ1675">
        <v>0</v>
      </c>
      <c r="BA1675">
        <v>0</v>
      </c>
      <c r="BB1675">
        <v>0</v>
      </c>
      <c r="BC1675">
        <v>0</v>
      </c>
      <c r="BD1675">
        <v>0</v>
      </c>
      <c r="BE1675">
        <v>0</v>
      </c>
      <c r="BF1675">
        <v>0</v>
      </c>
      <c r="BG1675">
        <v>0</v>
      </c>
      <c r="BH1675">
        <v>1</v>
      </c>
      <c r="BI1675">
        <v>1</v>
      </c>
      <c r="BJ1675">
        <v>0.2</v>
      </c>
      <c r="BK1675">
        <v>1</v>
      </c>
      <c r="BL1675">
        <v>138.88999999999999</v>
      </c>
      <c r="BM1675">
        <v>20.83</v>
      </c>
      <c r="BN1675">
        <v>159.72</v>
      </c>
      <c r="BO1675">
        <v>159.72</v>
      </c>
      <c r="BQ1675" t="s">
        <v>1536</v>
      </c>
      <c r="BR1675" t="s">
        <v>84</v>
      </c>
      <c r="BS1675" s="3">
        <v>45882</v>
      </c>
      <c r="BT1675" s="4">
        <v>0.43402777777777779</v>
      </c>
      <c r="BU1675" t="s">
        <v>2350</v>
      </c>
      <c r="BV1675" t="s">
        <v>86</v>
      </c>
      <c r="BY1675">
        <v>1200</v>
      </c>
      <c r="CA1675" t="s">
        <v>2331</v>
      </c>
      <c r="CC1675" t="s">
        <v>1158</v>
      </c>
      <c r="CD1675">
        <v>2302</v>
      </c>
      <c r="CE1675" t="s">
        <v>109</v>
      </c>
      <c r="CF1675" s="3">
        <v>45882</v>
      </c>
      <c r="CI1675">
        <v>1</v>
      </c>
      <c r="CJ1675">
        <v>1</v>
      </c>
      <c r="CK1675">
        <v>23</v>
      </c>
      <c r="CL1675" t="s">
        <v>90</v>
      </c>
    </row>
    <row r="1676" spans="1:90" x14ac:dyDescent="0.3">
      <c r="A1676" t="s">
        <v>72</v>
      </c>
      <c r="B1676" t="s">
        <v>73</v>
      </c>
      <c r="C1676" t="s">
        <v>74</v>
      </c>
      <c r="E1676" t="str">
        <f>"080067193615"</f>
        <v>080067193615</v>
      </c>
      <c r="F1676" s="3">
        <v>45881</v>
      </c>
      <c r="G1676">
        <v>202605</v>
      </c>
      <c r="H1676" t="s">
        <v>75</v>
      </c>
      <c r="I1676" t="s">
        <v>76</v>
      </c>
      <c r="J1676" t="s">
        <v>77</v>
      </c>
      <c r="K1676" t="s">
        <v>78</v>
      </c>
      <c r="L1676" t="s">
        <v>325</v>
      </c>
      <c r="M1676" t="s">
        <v>326</v>
      </c>
      <c r="N1676" t="s">
        <v>1055</v>
      </c>
      <c r="O1676" t="s">
        <v>82</v>
      </c>
      <c r="P1676" t="str">
        <f>"4170053726                    "</f>
        <v xml:space="preserve">4170053726                    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>
        <v>18.03</v>
      </c>
      <c r="AR1676">
        <v>0</v>
      </c>
      <c r="AS1676">
        <v>0</v>
      </c>
      <c r="AT1676">
        <v>0</v>
      </c>
      <c r="AU1676">
        <v>0</v>
      </c>
      <c r="AV1676">
        <v>0</v>
      </c>
      <c r="AW1676">
        <v>0</v>
      </c>
      <c r="AX1676">
        <v>0</v>
      </c>
      <c r="AY1676">
        <v>0</v>
      </c>
      <c r="AZ1676">
        <v>0</v>
      </c>
      <c r="BA1676">
        <v>0</v>
      </c>
      <c r="BB1676">
        <v>0</v>
      </c>
      <c r="BC1676">
        <v>0</v>
      </c>
      <c r="BD1676">
        <v>0</v>
      </c>
      <c r="BE1676">
        <v>0</v>
      </c>
      <c r="BF1676">
        <v>0</v>
      </c>
      <c r="BG1676">
        <v>0</v>
      </c>
      <c r="BH1676">
        <v>1</v>
      </c>
      <c r="BI1676">
        <v>1</v>
      </c>
      <c r="BJ1676">
        <v>0.2</v>
      </c>
      <c r="BK1676">
        <v>1</v>
      </c>
      <c r="BL1676">
        <v>55.99</v>
      </c>
      <c r="BM1676">
        <v>8.4</v>
      </c>
      <c r="BN1676">
        <v>64.39</v>
      </c>
      <c r="BO1676">
        <v>64.39</v>
      </c>
      <c r="BQ1676" t="s">
        <v>1056</v>
      </c>
      <c r="BR1676" t="s">
        <v>84</v>
      </c>
      <c r="BS1676" s="3">
        <v>45882</v>
      </c>
      <c r="BT1676" s="4">
        <v>0.42569444444444443</v>
      </c>
      <c r="BU1676" t="s">
        <v>1231</v>
      </c>
      <c r="BV1676" t="s">
        <v>86</v>
      </c>
      <c r="BY1676">
        <v>1200</v>
      </c>
      <c r="CA1676" t="s">
        <v>461</v>
      </c>
      <c r="CC1676" t="s">
        <v>326</v>
      </c>
      <c r="CD1676">
        <v>2094</v>
      </c>
      <c r="CE1676" t="s">
        <v>109</v>
      </c>
      <c r="CF1676" s="3">
        <v>45882</v>
      </c>
      <c r="CI1676">
        <v>1</v>
      </c>
      <c r="CJ1676">
        <v>1</v>
      </c>
      <c r="CK1676">
        <v>22</v>
      </c>
      <c r="CL1676" t="s">
        <v>90</v>
      </c>
    </row>
    <row r="1677" spans="1:90" x14ac:dyDescent="0.3">
      <c r="A1677" t="s">
        <v>72</v>
      </c>
      <c r="B1677" t="s">
        <v>73</v>
      </c>
      <c r="C1677" t="s">
        <v>74</v>
      </c>
      <c r="E1677" t="str">
        <f>"R080066832849"</f>
        <v>R080066832849</v>
      </c>
      <c r="F1677" s="3">
        <v>45882</v>
      </c>
      <c r="G1677">
        <v>202605</v>
      </c>
      <c r="H1677" t="s">
        <v>75</v>
      </c>
      <c r="I1677" t="s">
        <v>76</v>
      </c>
      <c r="J1677" t="s">
        <v>2351</v>
      </c>
      <c r="K1677" t="s">
        <v>78</v>
      </c>
      <c r="L1677" t="s">
        <v>75</v>
      </c>
      <c r="M1677" t="s">
        <v>76</v>
      </c>
      <c r="N1677" t="s">
        <v>2351</v>
      </c>
      <c r="O1677" t="s">
        <v>95</v>
      </c>
      <c r="P1677" t="str">
        <f>"4170051392                    "</f>
        <v xml:space="preserve">4170051392                    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0</v>
      </c>
      <c r="AQ1677">
        <v>34.450000000000003</v>
      </c>
      <c r="AR1677">
        <v>0</v>
      </c>
      <c r="AS1677">
        <v>0</v>
      </c>
      <c r="AT1677">
        <v>0</v>
      </c>
      <c r="AU1677">
        <v>0</v>
      </c>
      <c r="AV1677">
        <v>0</v>
      </c>
      <c r="AW1677">
        <v>0</v>
      </c>
      <c r="AX1677">
        <v>0</v>
      </c>
      <c r="AY1677">
        <v>0</v>
      </c>
      <c r="AZ1677">
        <v>0</v>
      </c>
      <c r="BA1677">
        <v>0</v>
      </c>
      <c r="BB1677">
        <v>0</v>
      </c>
      <c r="BC1677">
        <v>0</v>
      </c>
      <c r="BD1677">
        <v>0</v>
      </c>
      <c r="BE1677">
        <v>0</v>
      </c>
      <c r="BF1677">
        <v>0</v>
      </c>
      <c r="BG1677">
        <v>0</v>
      </c>
      <c r="BH1677">
        <v>1</v>
      </c>
      <c r="BI1677">
        <v>1</v>
      </c>
      <c r="BJ1677">
        <v>0.2</v>
      </c>
      <c r="BK1677">
        <v>1</v>
      </c>
      <c r="BL1677">
        <v>112.84</v>
      </c>
      <c r="BM1677">
        <v>16.93</v>
      </c>
      <c r="BN1677">
        <v>129.77000000000001</v>
      </c>
      <c r="BO1677">
        <v>129.77000000000001</v>
      </c>
      <c r="BQ1677" t="s">
        <v>2352</v>
      </c>
      <c r="BR1677" t="s">
        <v>2353</v>
      </c>
      <c r="BS1677" s="3">
        <v>45884</v>
      </c>
      <c r="BT1677" s="4">
        <v>0.55763888888888891</v>
      </c>
      <c r="BU1677" t="s">
        <v>176</v>
      </c>
      <c r="BV1677" t="s">
        <v>90</v>
      </c>
      <c r="BY1677">
        <v>1200</v>
      </c>
      <c r="BZ1677" t="s">
        <v>100</v>
      </c>
      <c r="CA1677" t="s">
        <v>1216</v>
      </c>
      <c r="CC1677" t="s">
        <v>76</v>
      </c>
      <c r="CD1677">
        <v>1620</v>
      </c>
      <c r="CE1677" t="s">
        <v>109</v>
      </c>
      <c r="CF1677" s="3">
        <v>45887</v>
      </c>
      <c r="CI1677">
        <v>1</v>
      </c>
      <c r="CJ1677">
        <v>2</v>
      </c>
      <c r="CK1677">
        <v>42</v>
      </c>
      <c r="CL1677" t="s">
        <v>90</v>
      </c>
    </row>
    <row r="1678" spans="1:90" x14ac:dyDescent="0.3">
      <c r="A1678" t="s">
        <v>72</v>
      </c>
      <c r="B1678" t="s">
        <v>73</v>
      </c>
      <c r="C1678" t="s">
        <v>74</v>
      </c>
      <c r="E1678" t="str">
        <f>"R080067149167"</f>
        <v>R080067149167</v>
      </c>
      <c r="F1678" s="3">
        <v>45882</v>
      </c>
      <c r="G1678">
        <v>202605</v>
      </c>
      <c r="H1678" t="s">
        <v>325</v>
      </c>
      <c r="I1678" t="s">
        <v>326</v>
      </c>
      <c r="J1678" t="s">
        <v>1209</v>
      </c>
      <c r="K1678" t="s">
        <v>78</v>
      </c>
      <c r="L1678" t="s">
        <v>325</v>
      </c>
      <c r="M1678" t="s">
        <v>326</v>
      </c>
      <c r="N1678" t="s">
        <v>1209</v>
      </c>
      <c r="O1678" t="s">
        <v>95</v>
      </c>
      <c r="P1678" t="str">
        <f>"4170053963                    "</f>
        <v xml:space="preserve">4170053963                    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0</v>
      </c>
      <c r="AP1678">
        <v>0</v>
      </c>
      <c r="AQ1678">
        <v>34.450000000000003</v>
      </c>
      <c r="AR1678">
        <v>0</v>
      </c>
      <c r="AS1678">
        <v>0</v>
      </c>
      <c r="AT1678">
        <v>0</v>
      </c>
      <c r="AU1678">
        <v>0</v>
      </c>
      <c r="AV1678">
        <v>0</v>
      </c>
      <c r="AW1678">
        <v>0</v>
      </c>
      <c r="AX1678">
        <v>0</v>
      </c>
      <c r="AY1678">
        <v>0</v>
      </c>
      <c r="AZ1678">
        <v>0</v>
      </c>
      <c r="BA1678">
        <v>0</v>
      </c>
      <c r="BB1678">
        <v>0</v>
      </c>
      <c r="BC1678">
        <v>0</v>
      </c>
      <c r="BD1678">
        <v>0</v>
      </c>
      <c r="BE1678">
        <v>0</v>
      </c>
      <c r="BF1678">
        <v>0</v>
      </c>
      <c r="BG1678">
        <v>0</v>
      </c>
      <c r="BH1678">
        <v>1</v>
      </c>
      <c r="BI1678">
        <v>1</v>
      </c>
      <c r="BJ1678">
        <v>0.2</v>
      </c>
      <c r="BK1678">
        <v>1</v>
      </c>
      <c r="BL1678">
        <v>112.84</v>
      </c>
      <c r="BM1678">
        <v>16.93</v>
      </c>
      <c r="BN1678">
        <v>129.77000000000001</v>
      </c>
      <c r="BO1678">
        <v>129.77000000000001</v>
      </c>
      <c r="BQ1678" t="s">
        <v>2354</v>
      </c>
      <c r="BR1678" t="s">
        <v>1210</v>
      </c>
      <c r="BS1678" t="s">
        <v>96</v>
      </c>
      <c r="BY1678">
        <v>1200</v>
      </c>
      <c r="CC1678" t="s">
        <v>326</v>
      </c>
      <c r="CD1678">
        <v>2190</v>
      </c>
      <c r="CE1678" t="s">
        <v>109</v>
      </c>
      <c r="CI1678">
        <v>1</v>
      </c>
      <c r="CJ1678" t="s">
        <v>96</v>
      </c>
      <c r="CK1678">
        <v>42</v>
      </c>
      <c r="CL1678" t="s">
        <v>90</v>
      </c>
    </row>
    <row r="1679" spans="1:90" x14ac:dyDescent="0.3">
      <c r="A1679" t="s">
        <v>72</v>
      </c>
      <c r="B1679" t="s">
        <v>73</v>
      </c>
      <c r="C1679" t="s">
        <v>74</v>
      </c>
      <c r="E1679" t="str">
        <f>"R080067030284"</f>
        <v>R080067030284</v>
      </c>
      <c r="F1679" s="3">
        <v>45882</v>
      </c>
      <c r="G1679">
        <v>202605</v>
      </c>
      <c r="H1679" t="s">
        <v>79</v>
      </c>
      <c r="I1679" t="s">
        <v>80</v>
      </c>
      <c r="J1679" t="s">
        <v>635</v>
      </c>
      <c r="K1679" t="s">
        <v>78</v>
      </c>
      <c r="L1679" t="s">
        <v>75</v>
      </c>
      <c r="M1679" t="s">
        <v>76</v>
      </c>
      <c r="N1679" t="s">
        <v>77</v>
      </c>
      <c r="O1679" t="s">
        <v>95</v>
      </c>
      <c r="P1679" t="str">
        <f>"4170052926                    "</f>
        <v xml:space="preserve">4170052926                    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0</v>
      </c>
      <c r="AQ1679">
        <v>34.450000000000003</v>
      </c>
      <c r="AR1679">
        <v>0</v>
      </c>
      <c r="AS1679">
        <v>0</v>
      </c>
      <c r="AT1679">
        <v>0</v>
      </c>
      <c r="AU1679">
        <v>0</v>
      </c>
      <c r="AV1679">
        <v>0</v>
      </c>
      <c r="AW1679">
        <v>0</v>
      </c>
      <c r="AX1679">
        <v>0</v>
      </c>
      <c r="AY1679">
        <v>0</v>
      </c>
      <c r="AZ1679">
        <v>0</v>
      </c>
      <c r="BA1679">
        <v>0</v>
      </c>
      <c r="BB1679">
        <v>0</v>
      </c>
      <c r="BC1679">
        <v>0</v>
      </c>
      <c r="BD1679">
        <v>0</v>
      </c>
      <c r="BE1679">
        <v>0</v>
      </c>
      <c r="BF1679">
        <v>0</v>
      </c>
      <c r="BG1679">
        <v>0</v>
      </c>
      <c r="BH1679">
        <v>1</v>
      </c>
      <c r="BI1679">
        <v>1</v>
      </c>
      <c r="BJ1679">
        <v>0.2</v>
      </c>
      <c r="BK1679">
        <v>1</v>
      </c>
      <c r="BL1679">
        <v>112.84</v>
      </c>
      <c r="BM1679">
        <v>16.93</v>
      </c>
      <c r="BN1679">
        <v>129.77000000000001</v>
      </c>
      <c r="BO1679">
        <v>129.77000000000001</v>
      </c>
      <c r="BQ1679" t="s">
        <v>84</v>
      </c>
      <c r="BR1679" t="s">
        <v>636</v>
      </c>
      <c r="BS1679" s="3">
        <v>45883</v>
      </c>
      <c r="BT1679" s="4">
        <v>0.72152777777777777</v>
      </c>
      <c r="BU1679" t="s">
        <v>2355</v>
      </c>
      <c r="BV1679" t="s">
        <v>86</v>
      </c>
      <c r="BY1679">
        <v>1200</v>
      </c>
      <c r="CA1679" t="s">
        <v>2356</v>
      </c>
      <c r="CC1679" t="s">
        <v>76</v>
      </c>
      <c r="CD1679">
        <v>1601</v>
      </c>
      <c r="CE1679" t="s">
        <v>109</v>
      </c>
      <c r="CF1679" s="3">
        <v>45883</v>
      </c>
      <c r="CI1679">
        <v>1</v>
      </c>
      <c r="CJ1679">
        <v>1</v>
      </c>
      <c r="CK1679">
        <v>42</v>
      </c>
      <c r="CL1679" t="s">
        <v>90</v>
      </c>
    </row>
    <row r="1680" spans="1:90" x14ac:dyDescent="0.3">
      <c r="A1680" t="s">
        <v>72</v>
      </c>
      <c r="B1680" t="s">
        <v>73</v>
      </c>
      <c r="C1680" t="s">
        <v>74</v>
      </c>
      <c r="E1680" t="str">
        <f>"080067213571"</f>
        <v>080067213571</v>
      </c>
      <c r="F1680" s="3">
        <v>45882</v>
      </c>
      <c r="G1680">
        <v>202605</v>
      </c>
      <c r="H1680" t="s">
        <v>75</v>
      </c>
      <c r="I1680" t="s">
        <v>76</v>
      </c>
      <c r="J1680" t="s">
        <v>77</v>
      </c>
      <c r="K1680" t="s">
        <v>78</v>
      </c>
      <c r="L1680" t="s">
        <v>118</v>
      </c>
      <c r="M1680" t="s">
        <v>118</v>
      </c>
      <c r="N1680" t="s">
        <v>833</v>
      </c>
      <c r="O1680" t="s">
        <v>95</v>
      </c>
      <c r="P1680" t="str">
        <f>"4170054435                    "</f>
        <v xml:space="preserve">4170054435                    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0</v>
      </c>
      <c r="AP1680">
        <v>0</v>
      </c>
      <c r="AQ1680">
        <v>133.71</v>
      </c>
      <c r="AR1680">
        <v>0</v>
      </c>
      <c r="AS1680">
        <v>0</v>
      </c>
      <c r="AT1680">
        <v>0</v>
      </c>
      <c r="AU1680">
        <v>0</v>
      </c>
      <c r="AV1680">
        <v>0</v>
      </c>
      <c r="AW1680">
        <v>0</v>
      </c>
      <c r="AX1680">
        <v>0</v>
      </c>
      <c r="AY1680">
        <v>0</v>
      </c>
      <c r="AZ1680">
        <v>0</v>
      </c>
      <c r="BA1680">
        <v>0</v>
      </c>
      <c r="BB1680">
        <v>0</v>
      </c>
      <c r="BC1680">
        <v>0</v>
      </c>
      <c r="BD1680">
        <v>0</v>
      </c>
      <c r="BE1680">
        <v>0</v>
      </c>
      <c r="BF1680">
        <v>0</v>
      </c>
      <c r="BG1680">
        <v>0</v>
      </c>
      <c r="BH1680">
        <v>2</v>
      </c>
      <c r="BI1680">
        <v>37</v>
      </c>
      <c r="BJ1680">
        <v>35.799999999999997</v>
      </c>
      <c r="BK1680">
        <v>37</v>
      </c>
      <c r="BL1680">
        <v>421.07</v>
      </c>
      <c r="BM1680">
        <v>63.16</v>
      </c>
      <c r="BN1680">
        <v>484.23</v>
      </c>
      <c r="BO1680">
        <v>484.23</v>
      </c>
      <c r="BQ1680" t="s">
        <v>834</v>
      </c>
      <c r="BR1680" t="s">
        <v>84</v>
      </c>
      <c r="BS1680" s="3">
        <v>45884</v>
      </c>
      <c r="BT1680" s="4">
        <v>0.53749999999999998</v>
      </c>
      <c r="BU1680" t="s">
        <v>835</v>
      </c>
      <c r="BV1680" t="s">
        <v>86</v>
      </c>
      <c r="BY1680">
        <v>178875</v>
      </c>
      <c r="CA1680" t="s">
        <v>122</v>
      </c>
      <c r="CC1680" t="s">
        <v>118</v>
      </c>
      <c r="CD1680">
        <v>7646</v>
      </c>
      <c r="CE1680" t="s">
        <v>1204</v>
      </c>
      <c r="CF1680" s="3">
        <v>45887</v>
      </c>
      <c r="CI1680">
        <v>3</v>
      </c>
      <c r="CJ1680">
        <v>2</v>
      </c>
      <c r="CK1680">
        <v>43</v>
      </c>
      <c r="CL1680" t="s">
        <v>90</v>
      </c>
    </row>
    <row r="1681" spans="1:90" x14ac:dyDescent="0.3">
      <c r="A1681" t="s">
        <v>72</v>
      </c>
      <c r="B1681" t="s">
        <v>73</v>
      </c>
      <c r="C1681" t="s">
        <v>74</v>
      </c>
      <c r="E1681" t="str">
        <f>"080067213832"</f>
        <v>080067213832</v>
      </c>
      <c r="F1681" s="3">
        <v>45882</v>
      </c>
      <c r="G1681">
        <v>202605</v>
      </c>
      <c r="H1681" t="s">
        <v>75</v>
      </c>
      <c r="I1681" t="s">
        <v>76</v>
      </c>
      <c r="J1681" t="s">
        <v>77</v>
      </c>
      <c r="K1681" t="s">
        <v>78</v>
      </c>
      <c r="L1681" t="s">
        <v>278</v>
      </c>
      <c r="M1681" t="s">
        <v>279</v>
      </c>
      <c r="N1681" t="s">
        <v>397</v>
      </c>
      <c r="O1681" t="s">
        <v>82</v>
      </c>
      <c r="P1681" t="str">
        <f>"4170054690                    "</f>
        <v xml:space="preserve">4170054690                    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Q1681">
        <v>23.09</v>
      </c>
      <c r="AR1681">
        <v>0</v>
      </c>
      <c r="AS1681">
        <v>0</v>
      </c>
      <c r="AT1681">
        <v>0</v>
      </c>
      <c r="AU1681">
        <v>0</v>
      </c>
      <c r="AV1681">
        <v>0</v>
      </c>
      <c r="AW1681">
        <v>0</v>
      </c>
      <c r="AX1681">
        <v>0</v>
      </c>
      <c r="AY1681">
        <v>0</v>
      </c>
      <c r="AZ1681">
        <v>0</v>
      </c>
      <c r="BA1681">
        <v>0</v>
      </c>
      <c r="BB1681">
        <v>0</v>
      </c>
      <c r="BC1681">
        <v>0</v>
      </c>
      <c r="BD1681">
        <v>0</v>
      </c>
      <c r="BE1681">
        <v>0</v>
      </c>
      <c r="BF1681">
        <v>0</v>
      </c>
      <c r="BG1681">
        <v>0</v>
      </c>
      <c r="BH1681">
        <v>1</v>
      </c>
      <c r="BI1681">
        <v>1</v>
      </c>
      <c r="BJ1681">
        <v>0.2</v>
      </c>
      <c r="BK1681">
        <v>1</v>
      </c>
      <c r="BL1681">
        <v>71.69</v>
      </c>
      <c r="BM1681">
        <v>10.75</v>
      </c>
      <c r="BN1681">
        <v>82.44</v>
      </c>
      <c r="BO1681">
        <v>82.44</v>
      </c>
      <c r="BQ1681" t="s">
        <v>2357</v>
      </c>
      <c r="BR1681" t="s">
        <v>84</v>
      </c>
      <c r="BS1681" s="3">
        <v>45883</v>
      </c>
      <c r="BT1681" s="4">
        <v>0.46250000000000002</v>
      </c>
      <c r="BU1681" t="s">
        <v>2358</v>
      </c>
      <c r="BV1681" t="s">
        <v>90</v>
      </c>
      <c r="BW1681" t="s">
        <v>380</v>
      </c>
      <c r="BX1681" t="s">
        <v>644</v>
      </c>
      <c r="BY1681">
        <v>1200</v>
      </c>
      <c r="CA1681" t="s">
        <v>532</v>
      </c>
      <c r="CC1681" t="s">
        <v>279</v>
      </c>
      <c r="CD1681" s="5" t="s">
        <v>533</v>
      </c>
      <c r="CE1681" t="s">
        <v>109</v>
      </c>
      <c r="CF1681" s="3">
        <v>45883</v>
      </c>
      <c r="CI1681">
        <v>1</v>
      </c>
      <c r="CJ1681">
        <v>1</v>
      </c>
      <c r="CK1681">
        <v>21</v>
      </c>
      <c r="CL1681" t="s">
        <v>90</v>
      </c>
    </row>
    <row r="1682" spans="1:90" x14ac:dyDescent="0.3">
      <c r="A1682" t="s">
        <v>72</v>
      </c>
      <c r="B1682" t="s">
        <v>73</v>
      </c>
      <c r="C1682" t="s">
        <v>74</v>
      </c>
      <c r="E1682" t="str">
        <f>"080067213850"</f>
        <v>080067213850</v>
      </c>
      <c r="F1682" s="3">
        <v>45882</v>
      </c>
      <c r="G1682">
        <v>202605</v>
      </c>
      <c r="H1682" t="s">
        <v>75</v>
      </c>
      <c r="I1682" t="s">
        <v>76</v>
      </c>
      <c r="J1682" t="s">
        <v>77</v>
      </c>
      <c r="K1682" t="s">
        <v>78</v>
      </c>
      <c r="L1682" t="s">
        <v>223</v>
      </c>
      <c r="M1682" t="s">
        <v>224</v>
      </c>
      <c r="N1682" t="s">
        <v>225</v>
      </c>
      <c r="O1682" t="s">
        <v>82</v>
      </c>
      <c r="P1682" t="str">
        <f>"4170054454                    "</f>
        <v xml:space="preserve">4170054454                    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0</v>
      </c>
      <c r="AQ1682">
        <v>23.09</v>
      </c>
      <c r="AR1682">
        <v>0</v>
      </c>
      <c r="AS1682">
        <v>0</v>
      </c>
      <c r="AT1682">
        <v>0</v>
      </c>
      <c r="AU1682">
        <v>0</v>
      </c>
      <c r="AV1682">
        <v>0</v>
      </c>
      <c r="AW1682">
        <v>0</v>
      </c>
      <c r="AX1682">
        <v>0</v>
      </c>
      <c r="AY1682">
        <v>0</v>
      </c>
      <c r="AZ1682">
        <v>0</v>
      </c>
      <c r="BA1682">
        <v>0</v>
      </c>
      <c r="BB1682">
        <v>0</v>
      </c>
      <c r="BC1682">
        <v>0</v>
      </c>
      <c r="BD1682">
        <v>0</v>
      </c>
      <c r="BE1682">
        <v>0</v>
      </c>
      <c r="BF1682">
        <v>0</v>
      </c>
      <c r="BG1682">
        <v>0</v>
      </c>
      <c r="BH1682">
        <v>1</v>
      </c>
      <c r="BI1682">
        <v>1</v>
      </c>
      <c r="BJ1682">
        <v>1.9</v>
      </c>
      <c r="BK1682">
        <v>2</v>
      </c>
      <c r="BL1682">
        <v>71.69</v>
      </c>
      <c r="BM1682">
        <v>10.75</v>
      </c>
      <c r="BN1682">
        <v>82.44</v>
      </c>
      <c r="BO1682">
        <v>82.44</v>
      </c>
      <c r="BQ1682" t="s">
        <v>226</v>
      </c>
      <c r="BR1682" t="s">
        <v>84</v>
      </c>
      <c r="BS1682" s="3">
        <v>45883</v>
      </c>
      <c r="BT1682" s="4">
        <v>0.46388888888888891</v>
      </c>
      <c r="BU1682" t="s">
        <v>2359</v>
      </c>
      <c r="BV1682" t="s">
        <v>90</v>
      </c>
      <c r="BY1682">
        <v>9600</v>
      </c>
      <c r="CA1682" t="s">
        <v>228</v>
      </c>
      <c r="CC1682" t="s">
        <v>224</v>
      </c>
      <c r="CD1682">
        <v>5201</v>
      </c>
      <c r="CE1682" t="s">
        <v>147</v>
      </c>
      <c r="CF1682" s="3">
        <v>45884</v>
      </c>
      <c r="CI1682">
        <v>1</v>
      </c>
      <c r="CJ1682">
        <v>1</v>
      </c>
      <c r="CK1682">
        <v>21</v>
      </c>
      <c r="CL1682" t="s">
        <v>90</v>
      </c>
    </row>
    <row r="1683" spans="1:90" x14ac:dyDescent="0.3">
      <c r="A1683" t="s">
        <v>72</v>
      </c>
      <c r="B1683" t="s">
        <v>73</v>
      </c>
      <c r="C1683" t="s">
        <v>74</v>
      </c>
      <c r="E1683" t="str">
        <f>"080067213890"</f>
        <v>080067213890</v>
      </c>
      <c r="F1683" s="3">
        <v>45882</v>
      </c>
      <c r="G1683">
        <v>202605</v>
      </c>
      <c r="H1683" t="s">
        <v>75</v>
      </c>
      <c r="I1683" t="s">
        <v>76</v>
      </c>
      <c r="J1683" t="s">
        <v>77</v>
      </c>
      <c r="K1683" t="s">
        <v>78</v>
      </c>
      <c r="L1683" t="s">
        <v>162</v>
      </c>
      <c r="M1683" t="s">
        <v>163</v>
      </c>
      <c r="N1683" t="s">
        <v>246</v>
      </c>
      <c r="O1683" t="s">
        <v>82</v>
      </c>
      <c r="P1683" t="str">
        <f>"4170054403                    "</f>
        <v xml:space="preserve">4170054403                    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Q1683">
        <v>103.82</v>
      </c>
      <c r="AR1683">
        <v>0</v>
      </c>
      <c r="AS1683">
        <v>0</v>
      </c>
      <c r="AT1683">
        <v>0</v>
      </c>
      <c r="AU1683">
        <v>0</v>
      </c>
      <c r="AV1683">
        <v>0</v>
      </c>
      <c r="AW1683">
        <v>0</v>
      </c>
      <c r="AX1683">
        <v>0</v>
      </c>
      <c r="AY1683">
        <v>0</v>
      </c>
      <c r="AZ1683">
        <v>0</v>
      </c>
      <c r="BA1683">
        <v>0</v>
      </c>
      <c r="BB1683">
        <v>0</v>
      </c>
      <c r="BC1683">
        <v>0</v>
      </c>
      <c r="BD1683">
        <v>0</v>
      </c>
      <c r="BE1683">
        <v>0</v>
      </c>
      <c r="BF1683">
        <v>0</v>
      </c>
      <c r="BG1683">
        <v>0</v>
      </c>
      <c r="BH1683">
        <v>1</v>
      </c>
      <c r="BI1683">
        <v>5</v>
      </c>
      <c r="BJ1683">
        <v>9</v>
      </c>
      <c r="BK1683">
        <v>9</v>
      </c>
      <c r="BL1683">
        <v>322.38</v>
      </c>
      <c r="BM1683">
        <v>48.36</v>
      </c>
      <c r="BN1683">
        <v>370.74</v>
      </c>
      <c r="BO1683">
        <v>370.74</v>
      </c>
      <c r="BQ1683" t="s">
        <v>247</v>
      </c>
      <c r="BR1683" t="s">
        <v>84</v>
      </c>
      <c r="BS1683" s="3">
        <v>45883</v>
      </c>
      <c r="BT1683" s="4">
        <v>0.41666666666666669</v>
      </c>
      <c r="BU1683" t="s">
        <v>485</v>
      </c>
      <c r="BV1683" t="s">
        <v>86</v>
      </c>
      <c r="BY1683">
        <v>45056</v>
      </c>
      <c r="CC1683" t="s">
        <v>163</v>
      </c>
      <c r="CD1683">
        <v>3201</v>
      </c>
      <c r="CE1683" t="s">
        <v>117</v>
      </c>
      <c r="CF1683" s="3">
        <v>45884</v>
      </c>
      <c r="CI1683">
        <v>1</v>
      </c>
      <c r="CJ1683">
        <v>1</v>
      </c>
      <c r="CK1683">
        <v>21</v>
      </c>
      <c r="CL1683" t="s">
        <v>90</v>
      </c>
    </row>
    <row r="1684" spans="1:90" x14ac:dyDescent="0.3">
      <c r="A1684" t="s">
        <v>72</v>
      </c>
      <c r="B1684" t="s">
        <v>73</v>
      </c>
      <c r="C1684" t="s">
        <v>74</v>
      </c>
      <c r="E1684" t="str">
        <f>"080067214151"</f>
        <v>080067214151</v>
      </c>
      <c r="F1684" s="3">
        <v>45882</v>
      </c>
      <c r="G1684">
        <v>202605</v>
      </c>
      <c r="H1684" t="s">
        <v>75</v>
      </c>
      <c r="I1684" t="s">
        <v>76</v>
      </c>
      <c r="J1684" t="s">
        <v>77</v>
      </c>
      <c r="K1684" t="s">
        <v>78</v>
      </c>
      <c r="L1684" t="s">
        <v>291</v>
      </c>
      <c r="M1684" t="s">
        <v>292</v>
      </c>
      <c r="N1684" t="s">
        <v>1791</v>
      </c>
      <c r="O1684" t="s">
        <v>113</v>
      </c>
      <c r="P1684" t="str">
        <f>"4170054407                    "</f>
        <v xml:space="preserve">4170054407                    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0</v>
      </c>
      <c r="AP1684">
        <v>0</v>
      </c>
      <c r="AQ1684">
        <v>18.04</v>
      </c>
      <c r="AR1684">
        <v>0</v>
      </c>
      <c r="AS1684">
        <v>0</v>
      </c>
      <c r="AT1684">
        <v>0</v>
      </c>
      <c r="AU1684">
        <v>0</v>
      </c>
      <c r="AV1684">
        <v>0</v>
      </c>
      <c r="AW1684">
        <v>0</v>
      </c>
      <c r="AX1684">
        <v>0</v>
      </c>
      <c r="AY1684">
        <v>0</v>
      </c>
      <c r="AZ1684">
        <v>0</v>
      </c>
      <c r="BA1684">
        <v>0</v>
      </c>
      <c r="BB1684">
        <v>0</v>
      </c>
      <c r="BC1684">
        <v>0</v>
      </c>
      <c r="BD1684">
        <v>0</v>
      </c>
      <c r="BE1684">
        <v>0</v>
      </c>
      <c r="BF1684">
        <v>0</v>
      </c>
      <c r="BG1684">
        <v>0</v>
      </c>
      <c r="BH1684">
        <v>1</v>
      </c>
      <c r="BI1684">
        <v>6</v>
      </c>
      <c r="BJ1684">
        <v>1.7</v>
      </c>
      <c r="BK1684">
        <v>6</v>
      </c>
      <c r="BL1684">
        <v>56.01</v>
      </c>
      <c r="BM1684">
        <v>8.4</v>
      </c>
      <c r="BN1684">
        <v>64.41</v>
      </c>
      <c r="BO1684">
        <v>64.41</v>
      </c>
      <c r="BQ1684" t="s">
        <v>1792</v>
      </c>
      <c r="BR1684" t="s">
        <v>84</v>
      </c>
      <c r="BS1684" s="3">
        <v>45883</v>
      </c>
      <c r="BT1684" s="4">
        <v>0.40625</v>
      </c>
      <c r="BU1684" t="s">
        <v>1793</v>
      </c>
      <c r="BV1684" t="s">
        <v>86</v>
      </c>
      <c r="BY1684">
        <v>8512</v>
      </c>
      <c r="CA1684" t="s">
        <v>296</v>
      </c>
      <c r="CC1684" t="s">
        <v>292</v>
      </c>
      <c r="CD1684">
        <v>1451</v>
      </c>
      <c r="CE1684" t="s">
        <v>147</v>
      </c>
      <c r="CF1684" s="3">
        <v>45883</v>
      </c>
      <c r="CI1684">
        <v>1</v>
      </c>
      <c r="CJ1684">
        <v>1</v>
      </c>
      <c r="CK1684">
        <v>32</v>
      </c>
      <c r="CL1684" t="s">
        <v>90</v>
      </c>
    </row>
    <row r="1685" spans="1:90" x14ac:dyDescent="0.3">
      <c r="A1685" t="s">
        <v>72</v>
      </c>
      <c r="B1685" t="s">
        <v>73</v>
      </c>
      <c r="C1685" t="s">
        <v>74</v>
      </c>
      <c r="E1685" t="str">
        <f>"080067214153"</f>
        <v>080067214153</v>
      </c>
      <c r="F1685" s="3">
        <v>45882</v>
      </c>
      <c r="G1685">
        <v>202605</v>
      </c>
      <c r="H1685" t="s">
        <v>75</v>
      </c>
      <c r="I1685" t="s">
        <v>76</v>
      </c>
      <c r="J1685" t="s">
        <v>77</v>
      </c>
      <c r="K1685" t="s">
        <v>78</v>
      </c>
      <c r="L1685" t="s">
        <v>123</v>
      </c>
      <c r="M1685" t="s">
        <v>124</v>
      </c>
      <c r="N1685" t="s">
        <v>406</v>
      </c>
      <c r="O1685" t="s">
        <v>82</v>
      </c>
      <c r="P1685" t="str">
        <f>"4170054472                    "</f>
        <v xml:space="preserve">4170054472                    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0</v>
      </c>
      <c r="AO1685">
        <v>0</v>
      </c>
      <c r="AP1685">
        <v>0</v>
      </c>
      <c r="AQ1685">
        <v>23.09</v>
      </c>
      <c r="AR1685">
        <v>0</v>
      </c>
      <c r="AS1685">
        <v>0</v>
      </c>
      <c r="AT1685">
        <v>0</v>
      </c>
      <c r="AU1685">
        <v>0</v>
      </c>
      <c r="AV1685">
        <v>0</v>
      </c>
      <c r="AW1685">
        <v>0</v>
      </c>
      <c r="AX1685">
        <v>0</v>
      </c>
      <c r="AY1685">
        <v>0</v>
      </c>
      <c r="AZ1685">
        <v>0</v>
      </c>
      <c r="BA1685">
        <v>0</v>
      </c>
      <c r="BB1685">
        <v>0</v>
      </c>
      <c r="BC1685">
        <v>0</v>
      </c>
      <c r="BD1685">
        <v>0</v>
      </c>
      <c r="BE1685">
        <v>0</v>
      </c>
      <c r="BF1685">
        <v>0</v>
      </c>
      <c r="BG1685">
        <v>0</v>
      </c>
      <c r="BH1685">
        <v>1</v>
      </c>
      <c r="BI1685">
        <v>1</v>
      </c>
      <c r="BJ1685">
        <v>0.2</v>
      </c>
      <c r="BK1685">
        <v>1</v>
      </c>
      <c r="BL1685">
        <v>71.69</v>
      </c>
      <c r="BM1685">
        <v>10.75</v>
      </c>
      <c r="BN1685">
        <v>82.44</v>
      </c>
      <c r="BO1685">
        <v>82.44</v>
      </c>
      <c r="BQ1685" t="s">
        <v>407</v>
      </c>
      <c r="BR1685" t="s">
        <v>84</v>
      </c>
      <c r="BS1685" s="3">
        <v>45883</v>
      </c>
      <c r="BT1685" s="4">
        <v>0.40486111111111112</v>
      </c>
      <c r="BU1685" t="s">
        <v>2360</v>
      </c>
      <c r="BV1685" t="s">
        <v>86</v>
      </c>
      <c r="BY1685">
        <v>1200</v>
      </c>
      <c r="CA1685" t="s">
        <v>2361</v>
      </c>
      <c r="CC1685" t="s">
        <v>124</v>
      </c>
      <c r="CD1685">
        <v>7441</v>
      </c>
      <c r="CE1685" t="s">
        <v>109</v>
      </c>
      <c r="CF1685" s="3">
        <v>45884</v>
      </c>
      <c r="CI1685">
        <v>1</v>
      </c>
      <c r="CJ1685">
        <v>1</v>
      </c>
      <c r="CK1685">
        <v>21</v>
      </c>
      <c r="CL1685" t="s">
        <v>90</v>
      </c>
    </row>
    <row r="1686" spans="1:90" x14ac:dyDescent="0.3">
      <c r="A1686" t="s">
        <v>72</v>
      </c>
      <c r="B1686" t="s">
        <v>73</v>
      </c>
      <c r="C1686" t="s">
        <v>74</v>
      </c>
      <c r="E1686" t="str">
        <f>"080067214172"</f>
        <v>080067214172</v>
      </c>
      <c r="F1686" s="3">
        <v>45882</v>
      </c>
      <c r="G1686">
        <v>202605</v>
      </c>
      <c r="H1686" t="s">
        <v>75</v>
      </c>
      <c r="I1686" t="s">
        <v>76</v>
      </c>
      <c r="J1686" t="s">
        <v>77</v>
      </c>
      <c r="K1686" t="s">
        <v>78</v>
      </c>
      <c r="L1686" t="s">
        <v>123</v>
      </c>
      <c r="M1686" t="s">
        <v>124</v>
      </c>
      <c r="N1686" t="s">
        <v>1416</v>
      </c>
      <c r="O1686" t="s">
        <v>82</v>
      </c>
      <c r="P1686" t="str">
        <f>"4170054465                    "</f>
        <v xml:space="preserve">4170054465                    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>
        <v>23.09</v>
      </c>
      <c r="AR1686">
        <v>0</v>
      </c>
      <c r="AS1686">
        <v>0</v>
      </c>
      <c r="AT1686">
        <v>0</v>
      </c>
      <c r="AU1686">
        <v>0</v>
      </c>
      <c r="AV1686">
        <v>0</v>
      </c>
      <c r="AW1686">
        <v>0</v>
      </c>
      <c r="AX1686">
        <v>0</v>
      </c>
      <c r="AY1686">
        <v>0</v>
      </c>
      <c r="AZ1686">
        <v>0</v>
      </c>
      <c r="BA1686">
        <v>0</v>
      </c>
      <c r="BB1686">
        <v>0</v>
      </c>
      <c r="BC1686">
        <v>0</v>
      </c>
      <c r="BD1686">
        <v>0</v>
      </c>
      <c r="BE1686">
        <v>0</v>
      </c>
      <c r="BF1686">
        <v>0</v>
      </c>
      <c r="BG1686">
        <v>0</v>
      </c>
      <c r="BH1686">
        <v>1</v>
      </c>
      <c r="BI1686">
        <v>1</v>
      </c>
      <c r="BJ1686">
        <v>1.3</v>
      </c>
      <c r="BK1686">
        <v>1.5</v>
      </c>
      <c r="BL1686">
        <v>71.69</v>
      </c>
      <c r="BM1686">
        <v>10.75</v>
      </c>
      <c r="BN1686">
        <v>82.44</v>
      </c>
      <c r="BO1686">
        <v>82.44</v>
      </c>
      <c r="BQ1686" t="s">
        <v>1417</v>
      </c>
      <c r="BR1686" t="s">
        <v>84</v>
      </c>
      <c r="BS1686" s="3">
        <v>45883</v>
      </c>
      <c r="BT1686" s="4">
        <v>0.42569444444444443</v>
      </c>
      <c r="BU1686" t="s">
        <v>886</v>
      </c>
      <c r="BV1686" t="s">
        <v>86</v>
      </c>
      <c r="BY1686">
        <v>6384</v>
      </c>
      <c r="CA1686" t="s">
        <v>1238</v>
      </c>
      <c r="CC1686" t="s">
        <v>124</v>
      </c>
      <c r="CD1686">
        <v>7480</v>
      </c>
      <c r="CE1686" t="s">
        <v>147</v>
      </c>
      <c r="CF1686" s="3">
        <v>45884</v>
      </c>
      <c r="CI1686">
        <v>1</v>
      </c>
      <c r="CJ1686">
        <v>1</v>
      </c>
      <c r="CK1686">
        <v>21</v>
      </c>
      <c r="CL1686" t="s">
        <v>90</v>
      </c>
    </row>
    <row r="1687" spans="1:90" x14ac:dyDescent="0.3">
      <c r="A1687" t="s">
        <v>72</v>
      </c>
      <c r="B1687" t="s">
        <v>73</v>
      </c>
      <c r="C1687" t="s">
        <v>74</v>
      </c>
      <c r="E1687" t="str">
        <f>"080067214168"</f>
        <v>080067214168</v>
      </c>
      <c r="F1687" s="3">
        <v>45882</v>
      </c>
      <c r="G1687">
        <v>202605</v>
      </c>
      <c r="H1687" t="s">
        <v>75</v>
      </c>
      <c r="I1687" t="s">
        <v>76</v>
      </c>
      <c r="J1687" t="s">
        <v>77</v>
      </c>
      <c r="K1687" t="s">
        <v>78</v>
      </c>
      <c r="L1687" t="s">
        <v>123</v>
      </c>
      <c r="M1687" t="s">
        <v>124</v>
      </c>
      <c r="N1687" t="s">
        <v>577</v>
      </c>
      <c r="O1687" t="s">
        <v>82</v>
      </c>
      <c r="P1687" t="str">
        <f>"4170054451                    "</f>
        <v xml:space="preserve">4170054451                    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0</v>
      </c>
      <c r="AQ1687">
        <v>23.09</v>
      </c>
      <c r="AR1687">
        <v>0</v>
      </c>
      <c r="AS1687">
        <v>0</v>
      </c>
      <c r="AT1687">
        <v>0</v>
      </c>
      <c r="AU1687">
        <v>0</v>
      </c>
      <c r="AV1687">
        <v>0</v>
      </c>
      <c r="AW1687">
        <v>0</v>
      </c>
      <c r="AX1687">
        <v>0</v>
      </c>
      <c r="AY1687">
        <v>0</v>
      </c>
      <c r="AZ1687">
        <v>0</v>
      </c>
      <c r="BA1687">
        <v>0</v>
      </c>
      <c r="BB1687">
        <v>0</v>
      </c>
      <c r="BC1687">
        <v>0</v>
      </c>
      <c r="BD1687">
        <v>0</v>
      </c>
      <c r="BE1687">
        <v>0</v>
      </c>
      <c r="BF1687">
        <v>0</v>
      </c>
      <c r="BG1687">
        <v>0</v>
      </c>
      <c r="BH1687">
        <v>1</v>
      </c>
      <c r="BI1687">
        <v>1</v>
      </c>
      <c r="BJ1687">
        <v>0.2</v>
      </c>
      <c r="BK1687">
        <v>1</v>
      </c>
      <c r="BL1687">
        <v>71.69</v>
      </c>
      <c r="BM1687">
        <v>10.75</v>
      </c>
      <c r="BN1687">
        <v>82.44</v>
      </c>
      <c r="BO1687">
        <v>82.44</v>
      </c>
      <c r="BQ1687" t="s">
        <v>578</v>
      </c>
      <c r="BR1687" t="s">
        <v>84</v>
      </c>
      <c r="BS1687" s="3">
        <v>45883</v>
      </c>
      <c r="BT1687" s="4">
        <v>0.38611111111111113</v>
      </c>
      <c r="BU1687" t="s">
        <v>2362</v>
      </c>
      <c r="BV1687" t="s">
        <v>86</v>
      </c>
      <c r="BY1687">
        <v>1200</v>
      </c>
      <c r="CA1687" t="s">
        <v>192</v>
      </c>
      <c r="CC1687" t="s">
        <v>124</v>
      </c>
      <c r="CD1687">
        <v>8001</v>
      </c>
      <c r="CE1687" t="s">
        <v>109</v>
      </c>
      <c r="CF1687" s="3">
        <v>45884</v>
      </c>
      <c r="CI1687">
        <v>1</v>
      </c>
      <c r="CJ1687">
        <v>1</v>
      </c>
      <c r="CK1687">
        <v>21</v>
      </c>
      <c r="CL1687" t="s">
        <v>90</v>
      </c>
    </row>
    <row r="1688" spans="1:90" x14ac:dyDescent="0.3">
      <c r="A1688" t="s">
        <v>72</v>
      </c>
      <c r="B1688" t="s">
        <v>73</v>
      </c>
      <c r="C1688" t="s">
        <v>74</v>
      </c>
      <c r="E1688" t="str">
        <f>"080067214205"</f>
        <v>080067214205</v>
      </c>
      <c r="F1688" s="3">
        <v>45882</v>
      </c>
      <c r="G1688">
        <v>202605</v>
      </c>
      <c r="H1688" t="s">
        <v>75</v>
      </c>
      <c r="I1688" t="s">
        <v>76</v>
      </c>
      <c r="J1688" t="s">
        <v>77</v>
      </c>
      <c r="K1688" t="s">
        <v>78</v>
      </c>
      <c r="L1688" t="s">
        <v>400</v>
      </c>
      <c r="M1688" t="s">
        <v>401</v>
      </c>
      <c r="N1688" t="s">
        <v>788</v>
      </c>
      <c r="O1688" t="s">
        <v>82</v>
      </c>
      <c r="P1688" t="str">
        <f>"4170054444                    "</f>
        <v xml:space="preserve">4170054444                    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0</v>
      </c>
      <c r="AQ1688">
        <v>23.09</v>
      </c>
      <c r="AR1688">
        <v>0</v>
      </c>
      <c r="AS1688">
        <v>0</v>
      </c>
      <c r="AT1688">
        <v>0</v>
      </c>
      <c r="AU1688">
        <v>0</v>
      </c>
      <c r="AV1688">
        <v>0</v>
      </c>
      <c r="AW1688">
        <v>0</v>
      </c>
      <c r="AX1688">
        <v>0</v>
      </c>
      <c r="AY1688">
        <v>0</v>
      </c>
      <c r="AZ1688">
        <v>0</v>
      </c>
      <c r="BA1688">
        <v>0</v>
      </c>
      <c r="BB1688">
        <v>0</v>
      </c>
      <c r="BC1688">
        <v>0</v>
      </c>
      <c r="BD1688">
        <v>0</v>
      </c>
      <c r="BE1688">
        <v>0</v>
      </c>
      <c r="BF1688">
        <v>0</v>
      </c>
      <c r="BG1688">
        <v>0</v>
      </c>
      <c r="BH1688">
        <v>1</v>
      </c>
      <c r="BI1688">
        <v>1</v>
      </c>
      <c r="BJ1688">
        <v>0.2</v>
      </c>
      <c r="BK1688">
        <v>1</v>
      </c>
      <c r="BL1688">
        <v>71.69</v>
      </c>
      <c r="BM1688">
        <v>10.75</v>
      </c>
      <c r="BN1688">
        <v>82.44</v>
      </c>
      <c r="BO1688">
        <v>82.44</v>
      </c>
      <c r="BQ1688" t="s">
        <v>789</v>
      </c>
      <c r="BR1688" t="s">
        <v>84</v>
      </c>
      <c r="BS1688" s="3">
        <v>45883</v>
      </c>
      <c r="BT1688" s="4">
        <v>0.33402777777777776</v>
      </c>
      <c r="BU1688" t="s">
        <v>1926</v>
      </c>
      <c r="BV1688" t="s">
        <v>86</v>
      </c>
      <c r="BY1688">
        <v>1200</v>
      </c>
      <c r="CA1688" t="s">
        <v>405</v>
      </c>
      <c r="CC1688" t="s">
        <v>401</v>
      </c>
      <c r="CD1688">
        <v>6230</v>
      </c>
      <c r="CE1688" t="s">
        <v>109</v>
      </c>
      <c r="CF1688" s="3">
        <v>45883</v>
      </c>
      <c r="CI1688">
        <v>1</v>
      </c>
      <c r="CJ1688">
        <v>1</v>
      </c>
      <c r="CK1688">
        <v>21</v>
      </c>
      <c r="CL1688" t="s">
        <v>90</v>
      </c>
    </row>
    <row r="1689" spans="1:90" x14ac:dyDescent="0.3">
      <c r="A1689" t="s">
        <v>72</v>
      </c>
      <c r="B1689" t="s">
        <v>73</v>
      </c>
      <c r="C1689" t="s">
        <v>74</v>
      </c>
      <c r="E1689" t="str">
        <f>"080067214208"</f>
        <v>080067214208</v>
      </c>
      <c r="F1689" s="3">
        <v>45882</v>
      </c>
      <c r="G1689">
        <v>202605</v>
      </c>
      <c r="H1689" t="s">
        <v>75</v>
      </c>
      <c r="I1689" t="s">
        <v>76</v>
      </c>
      <c r="J1689" t="s">
        <v>77</v>
      </c>
      <c r="K1689" t="s">
        <v>78</v>
      </c>
      <c r="L1689" t="s">
        <v>452</v>
      </c>
      <c r="M1689" t="s">
        <v>453</v>
      </c>
      <c r="N1689" t="s">
        <v>454</v>
      </c>
      <c r="O1689" t="s">
        <v>82</v>
      </c>
      <c r="P1689" t="str">
        <f>"4170054482                    "</f>
        <v xml:space="preserve">4170054482                    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0</v>
      </c>
      <c r="AP1689">
        <v>0</v>
      </c>
      <c r="AQ1689">
        <v>115.42</v>
      </c>
      <c r="AR1689">
        <v>0</v>
      </c>
      <c r="AS1689">
        <v>0</v>
      </c>
      <c r="AT1689">
        <v>0</v>
      </c>
      <c r="AU1689">
        <v>0</v>
      </c>
      <c r="AV1689">
        <v>0</v>
      </c>
      <c r="AW1689">
        <v>0</v>
      </c>
      <c r="AX1689">
        <v>0</v>
      </c>
      <c r="AY1689">
        <v>0</v>
      </c>
      <c r="AZ1689">
        <v>0</v>
      </c>
      <c r="BA1689">
        <v>0</v>
      </c>
      <c r="BB1689">
        <v>0</v>
      </c>
      <c r="BC1689">
        <v>0</v>
      </c>
      <c r="BD1689">
        <v>0</v>
      </c>
      <c r="BE1689">
        <v>0</v>
      </c>
      <c r="BF1689">
        <v>0</v>
      </c>
      <c r="BG1689">
        <v>0</v>
      </c>
      <c r="BH1689">
        <v>1</v>
      </c>
      <c r="BI1689">
        <v>2</v>
      </c>
      <c r="BJ1689">
        <v>5.2</v>
      </c>
      <c r="BK1689">
        <v>5.5</v>
      </c>
      <c r="BL1689">
        <v>358.4</v>
      </c>
      <c r="BM1689">
        <v>53.76</v>
      </c>
      <c r="BN1689">
        <v>412.16</v>
      </c>
      <c r="BO1689">
        <v>412.16</v>
      </c>
      <c r="BQ1689" t="s">
        <v>455</v>
      </c>
      <c r="BR1689" t="s">
        <v>84</v>
      </c>
      <c r="BS1689" s="3">
        <v>45883</v>
      </c>
      <c r="BT1689" s="4">
        <v>0.38194444444444442</v>
      </c>
      <c r="BU1689" t="s">
        <v>483</v>
      </c>
      <c r="BV1689" t="s">
        <v>86</v>
      </c>
      <c r="BY1689">
        <v>26013</v>
      </c>
      <c r="CA1689" t="s">
        <v>1093</v>
      </c>
      <c r="CC1689" t="s">
        <v>453</v>
      </c>
      <c r="CD1689">
        <v>1947</v>
      </c>
      <c r="CE1689" t="s">
        <v>147</v>
      </c>
      <c r="CF1689" s="3">
        <v>45884</v>
      </c>
      <c r="CI1689">
        <v>1</v>
      </c>
      <c r="CJ1689">
        <v>1</v>
      </c>
      <c r="CK1689">
        <v>23</v>
      </c>
      <c r="CL1689" t="s">
        <v>90</v>
      </c>
    </row>
    <row r="1690" spans="1:90" x14ac:dyDescent="0.3">
      <c r="A1690" t="s">
        <v>72</v>
      </c>
      <c r="B1690" t="s">
        <v>73</v>
      </c>
      <c r="C1690" t="s">
        <v>74</v>
      </c>
      <c r="E1690" t="str">
        <f>"080067214243"</f>
        <v>080067214243</v>
      </c>
      <c r="F1690" s="3">
        <v>45882</v>
      </c>
      <c r="G1690">
        <v>202605</v>
      </c>
      <c r="H1690" t="s">
        <v>75</v>
      </c>
      <c r="I1690" t="s">
        <v>76</v>
      </c>
      <c r="J1690" t="s">
        <v>77</v>
      </c>
      <c r="K1690" t="s">
        <v>78</v>
      </c>
      <c r="L1690" t="s">
        <v>319</v>
      </c>
      <c r="M1690" t="s">
        <v>320</v>
      </c>
      <c r="N1690" t="s">
        <v>321</v>
      </c>
      <c r="O1690" t="s">
        <v>82</v>
      </c>
      <c r="P1690" t="str">
        <f>"4170053874                    "</f>
        <v xml:space="preserve">4170053874                    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Q1690">
        <v>44.73</v>
      </c>
      <c r="AR1690">
        <v>0</v>
      </c>
      <c r="AS1690">
        <v>0</v>
      </c>
      <c r="AT1690">
        <v>0</v>
      </c>
      <c r="AU1690">
        <v>0</v>
      </c>
      <c r="AV1690">
        <v>0</v>
      </c>
      <c r="AW1690">
        <v>0</v>
      </c>
      <c r="AX1690">
        <v>0</v>
      </c>
      <c r="AY1690">
        <v>0</v>
      </c>
      <c r="AZ1690">
        <v>0</v>
      </c>
      <c r="BA1690">
        <v>0</v>
      </c>
      <c r="BB1690">
        <v>0</v>
      </c>
      <c r="BC1690">
        <v>0</v>
      </c>
      <c r="BD1690">
        <v>0</v>
      </c>
      <c r="BE1690">
        <v>0</v>
      </c>
      <c r="BF1690">
        <v>0</v>
      </c>
      <c r="BG1690">
        <v>0</v>
      </c>
      <c r="BH1690">
        <v>1</v>
      </c>
      <c r="BI1690">
        <v>1</v>
      </c>
      <c r="BJ1690">
        <v>0.2</v>
      </c>
      <c r="BK1690">
        <v>1</v>
      </c>
      <c r="BL1690">
        <v>138.88999999999999</v>
      </c>
      <c r="BM1690">
        <v>20.83</v>
      </c>
      <c r="BN1690">
        <v>159.72</v>
      </c>
      <c r="BO1690">
        <v>159.72</v>
      </c>
      <c r="BQ1690" t="s">
        <v>322</v>
      </c>
      <c r="BR1690" t="s">
        <v>84</v>
      </c>
      <c r="BS1690" s="3">
        <v>45883</v>
      </c>
      <c r="BT1690" s="4">
        <v>0.48541666666666666</v>
      </c>
      <c r="BU1690" t="s">
        <v>1295</v>
      </c>
      <c r="BV1690" t="s">
        <v>86</v>
      </c>
      <c r="BY1690">
        <v>1200</v>
      </c>
      <c r="CA1690" t="s">
        <v>324</v>
      </c>
      <c r="CC1690" t="s">
        <v>320</v>
      </c>
      <c r="CD1690">
        <v>2531</v>
      </c>
      <c r="CE1690" t="s">
        <v>109</v>
      </c>
      <c r="CF1690" s="3">
        <v>45884</v>
      </c>
      <c r="CI1690">
        <v>1</v>
      </c>
      <c r="CJ1690">
        <v>1</v>
      </c>
      <c r="CK1690">
        <v>23</v>
      </c>
      <c r="CL1690" t="s">
        <v>90</v>
      </c>
    </row>
    <row r="1691" spans="1:90" x14ac:dyDescent="0.3">
      <c r="A1691" t="s">
        <v>72</v>
      </c>
      <c r="B1691" t="s">
        <v>73</v>
      </c>
      <c r="C1691" t="s">
        <v>74</v>
      </c>
      <c r="E1691" t="str">
        <f>"080067214261"</f>
        <v>080067214261</v>
      </c>
      <c r="F1691" s="3">
        <v>45882</v>
      </c>
      <c r="G1691">
        <v>202605</v>
      </c>
      <c r="H1691" t="s">
        <v>75</v>
      </c>
      <c r="I1691" t="s">
        <v>76</v>
      </c>
      <c r="J1691" t="s">
        <v>77</v>
      </c>
      <c r="K1691" t="s">
        <v>78</v>
      </c>
      <c r="L1691" t="s">
        <v>278</v>
      </c>
      <c r="M1691" t="s">
        <v>279</v>
      </c>
      <c r="N1691" t="s">
        <v>1036</v>
      </c>
      <c r="O1691" t="s">
        <v>82</v>
      </c>
      <c r="P1691" t="str">
        <f>"4170054649                    "</f>
        <v xml:space="preserve">4170054649                    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Q1691">
        <v>23.09</v>
      </c>
      <c r="AR1691">
        <v>0</v>
      </c>
      <c r="AS1691">
        <v>0</v>
      </c>
      <c r="AT1691">
        <v>0</v>
      </c>
      <c r="AU1691">
        <v>0</v>
      </c>
      <c r="AV1691">
        <v>0</v>
      </c>
      <c r="AW1691">
        <v>0</v>
      </c>
      <c r="AX1691">
        <v>0</v>
      </c>
      <c r="AY1691">
        <v>0</v>
      </c>
      <c r="AZ1691">
        <v>0</v>
      </c>
      <c r="BA1691">
        <v>0</v>
      </c>
      <c r="BB1691">
        <v>0</v>
      </c>
      <c r="BC1691">
        <v>0</v>
      </c>
      <c r="BD1691">
        <v>0</v>
      </c>
      <c r="BE1691">
        <v>0</v>
      </c>
      <c r="BF1691">
        <v>0</v>
      </c>
      <c r="BG1691">
        <v>0</v>
      </c>
      <c r="BH1691">
        <v>1</v>
      </c>
      <c r="BI1691">
        <v>1</v>
      </c>
      <c r="BJ1691">
        <v>0.2</v>
      </c>
      <c r="BK1691">
        <v>1</v>
      </c>
      <c r="BL1691">
        <v>71.69</v>
      </c>
      <c r="BM1691">
        <v>10.75</v>
      </c>
      <c r="BN1691">
        <v>82.44</v>
      </c>
      <c r="BO1691">
        <v>82.44</v>
      </c>
      <c r="BQ1691" t="s">
        <v>1037</v>
      </c>
      <c r="BR1691" t="s">
        <v>84</v>
      </c>
      <c r="BS1691" s="3">
        <v>45883</v>
      </c>
      <c r="BT1691" s="4">
        <v>0.43888888888888888</v>
      </c>
      <c r="BU1691" t="s">
        <v>2363</v>
      </c>
      <c r="BV1691" t="s">
        <v>90</v>
      </c>
      <c r="BW1691" t="s">
        <v>380</v>
      </c>
      <c r="BX1691" t="s">
        <v>644</v>
      </c>
      <c r="BY1691">
        <v>1200</v>
      </c>
      <c r="CA1691" t="s">
        <v>532</v>
      </c>
      <c r="CC1691" t="s">
        <v>279</v>
      </c>
      <c r="CD1691" s="5" t="s">
        <v>533</v>
      </c>
      <c r="CE1691" t="s">
        <v>109</v>
      </c>
      <c r="CF1691" s="3">
        <v>45883</v>
      </c>
      <c r="CI1691">
        <v>1</v>
      </c>
      <c r="CJ1691">
        <v>1</v>
      </c>
      <c r="CK1691">
        <v>21</v>
      </c>
      <c r="CL1691" t="s">
        <v>90</v>
      </c>
    </row>
    <row r="1692" spans="1:90" x14ac:dyDescent="0.3">
      <c r="A1692" t="s">
        <v>72</v>
      </c>
      <c r="B1692" t="s">
        <v>73</v>
      </c>
      <c r="C1692" t="s">
        <v>74</v>
      </c>
      <c r="E1692" t="str">
        <f>"080067214278"</f>
        <v>080067214278</v>
      </c>
      <c r="F1692" s="3">
        <v>45882</v>
      </c>
      <c r="G1692">
        <v>202605</v>
      </c>
      <c r="H1692" t="s">
        <v>75</v>
      </c>
      <c r="I1692" t="s">
        <v>76</v>
      </c>
      <c r="J1692" t="s">
        <v>77</v>
      </c>
      <c r="K1692" t="s">
        <v>78</v>
      </c>
      <c r="L1692" t="s">
        <v>123</v>
      </c>
      <c r="M1692" t="s">
        <v>124</v>
      </c>
      <c r="N1692" t="s">
        <v>406</v>
      </c>
      <c r="O1692" t="s">
        <v>82</v>
      </c>
      <c r="P1692" t="str">
        <f>"4170054399                    "</f>
        <v xml:space="preserve">4170054399                    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0</v>
      </c>
      <c r="AQ1692">
        <v>23.09</v>
      </c>
      <c r="AR1692">
        <v>0</v>
      </c>
      <c r="AS1692">
        <v>0</v>
      </c>
      <c r="AT1692">
        <v>0</v>
      </c>
      <c r="AU1692">
        <v>0</v>
      </c>
      <c r="AV1692">
        <v>0</v>
      </c>
      <c r="AW1692">
        <v>0</v>
      </c>
      <c r="AX1692">
        <v>0</v>
      </c>
      <c r="AY1692">
        <v>0</v>
      </c>
      <c r="AZ1692">
        <v>0</v>
      </c>
      <c r="BA1692">
        <v>0</v>
      </c>
      <c r="BB1692">
        <v>0</v>
      </c>
      <c r="BC1692">
        <v>0</v>
      </c>
      <c r="BD1692">
        <v>0</v>
      </c>
      <c r="BE1692">
        <v>0</v>
      </c>
      <c r="BF1692">
        <v>0</v>
      </c>
      <c r="BG1692">
        <v>0</v>
      </c>
      <c r="BH1692">
        <v>1</v>
      </c>
      <c r="BI1692">
        <v>1</v>
      </c>
      <c r="BJ1692">
        <v>0.2</v>
      </c>
      <c r="BK1692">
        <v>1</v>
      </c>
      <c r="BL1692">
        <v>71.69</v>
      </c>
      <c r="BM1692">
        <v>10.75</v>
      </c>
      <c r="BN1692">
        <v>82.44</v>
      </c>
      <c r="BO1692">
        <v>82.44</v>
      </c>
      <c r="BQ1692" t="s">
        <v>407</v>
      </c>
      <c r="BR1692" t="s">
        <v>84</v>
      </c>
      <c r="BS1692" s="3">
        <v>45883</v>
      </c>
      <c r="BT1692" s="4">
        <v>0.40486111111111112</v>
      </c>
      <c r="BU1692" t="s">
        <v>2360</v>
      </c>
      <c r="BV1692" t="s">
        <v>86</v>
      </c>
      <c r="BY1692">
        <v>1200</v>
      </c>
      <c r="CA1692" t="s">
        <v>2361</v>
      </c>
      <c r="CC1692" t="s">
        <v>124</v>
      </c>
      <c r="CD1692">
        <v>7441</v>
      </c>
      <c r="CE1692" t="s">
        <v>109</v>
      </c>
      <c r="CF1692" s="3">
        <v>45884</v>
      </c>
      <c r="CI1692">
        <v>1</v>
      </c>
      <c r="CJ1692">
        <v>1</v>
      </c>
      <c r="CK1692">
        <v>21</v>
      </c>
      <c r="CL1692" t="s">
        <v>90</v>
      </c>
    </row>
    <row r="1693" spans="1:90" x14ac:dyDescent="0.3">
      <c r="A1693" t="s">
        <v>72</v>
      </c>
      <c r="B1693" t="s">
        <v>73</v>
      </c>
      <c r="C1693" t="s">
        <v>74</v>
      </c>
      <c r="E1693" t="str">
        <f>"080067214355"</f>
        <v>080067214355</v>
      </c>
      <c r="F1693" s="3">
        <v>45882</v>
      </c>
      <c r="G1693">
        <v>202605</v>
      </c>
      <c r="H1693" t="s">
        <v>75</v>
      </c>
      <c r="I1693" t="s">
        <v>76</v>
      </c>
      <c r="J1693" t="s">
        <v>77</v>
      </c>
      <c r="K1693" t="s">
        <v>78</v>
      </c>
      <c r="L1693" t="s">
        <v>234</v>
      </c>
      <c r="M1693" t="s">
        <v>235</v>
      </c>
      <c r="N1693" t="s">
        <v>236</v>
      </c>
      <c r="O1693" t="s">
        <v>82</v>
      </c>
      <c r="P1693" t="str">
        <f>"4170054448                    "</f>
        <v xml:space="preserve">4170054448                    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0</v>
      </c>
      <c r="AP1693">
        <v>0</v>
      </c>
      <c r="AQ1693">
        <v>23.09</v>
      </c>
      <c r="AR1693">
        <v>0</v>
      </c>
      <c r="AS1693">
        <v>0</v>
      </c>
      <c r="AT1693">
        <v>0</v>
      </c>
      <c r="AU1693">
        <v>0</v>
      </c>
      <c r="AV1693">
        <v>0</v>
      </c>
      <c r="AW1693">
        <v>0</v>
      </c>
      <c r="AX1693">
        <v>0</v>
      </c>
      <c r="AY1693">
        <v>0</v>
      </c>
      <c r="AZ1693">
        <v>0</v>
      </c>
      <c r="BA1693">
        <v>0</v>
      </c>
      <c r="BB1693">
        <v>0</v>
      </c>
      <c r="BC1693">
        <v>0</v>
      </c>
      <c r="BD1693">
        <v>0</v>
      </c>
      <c r="BE1693">
        <v>0</v>
      </c>
      <c r="BF1693">
        <v>0</v>
      </c>
      <c r="BG1693">
        <v>0</v>
      </c>
      <c r="BH1693">
        <v>1</v>
      </c>
      <c r="BI1693">
        <v>1</v>
      </c>
      <c r="BJ1693">
        <v>0.2</v>
      </c>
      <c r="BK1693">
        <v>1</v>
      </c>
      <c r="BL1693">
        <v>71.69</v>
      </c>
      <c r="BM1693">
        <v>10.75</v>
      </c>
      <c r="BN1693">
        <v>82.44</v>
      </c>
      <c r="BO1693">
        <v>82.44</v>
      </c>
      <c r="BQ1693" t="s">
        <v>237</v>
      </c>
      <c r="BR1693" t="s">
        <v>84</v>
      </c>
      <c r="BS1693" s="3">
        <v>45883</v>
      </c>
      <c r="BT1693" s="4">
        <v>0.42291666666666666</v>
      </c>
      <c r="BU1693" t="s">
        <v>2364</v>
      </c>
      <c r="BV1693" t="s">
        <v>86</v>
      </c>
      <c r="BY1693">
        <v>1200</v>
      </c>
      <c r="CA1693" t="s">
        <v>824</v>
      </c>
      <c r="CC1693" t="s">
        <v>235</v>
      </c>
      <c r="CD1693" s="5" t="s">
        <v>240</v>
      </c>
      <c r="CE1693" t="s">
        <v>109</v>
      </c>
      <c r="CF1693" s="3">
        <v>45883</v>
      </c>
      <c r="CI1693">
        <v>1</v>
      </c>
      <c r="CJ1693">
        <v>1</v>
      </c>
      <c r="CK1693">
        <v>21</v>
      </c>
      <c r="CL1693" t="s">
        <v>90</v>
      </c>
    </row>
    <row r="1694" spans="1:90" x14ac:dyDescent="0.3">
      <c r="A1694" t="s">
        <v>72</v>
      </c>
      <c r="B1694" t="s">
        <v>73</v>
      </c>
      <c r="C1694" t="s">
        <v>74</v>
      </c>
      <c r="E1694" t="str">
        <f>"080067214359"</f>
        <v>080067214359</v>
      </c>
      <c r="F1694" s="3">
        <v>45882</v>
      </c>
      <c r="G1694">
        <v>202605</v>
      </c>
      <c r="H1694" t="s">
        <v>75</v>
      </c>
      <c r="I1694" t="s">
        <v>76</v>
      </c>
      <c r="J1694" t="s">
        <v>77</v>
      </c>
      <c r="K1694" t="s">
        <v>78</v>
      </c>
      <c r="L1694" t="s">
        <v>118</v>
      </c>
      <c r="M1694" t="s">
        <v>118</v>
      </c>
      <c r="N1694" t="s">
        <v>1965</v>
      </c>
      <c r="O1694" t="s">
        <v>82</v>
      </c>
      <c r="P1694" t="str">
        <f>"4170054443                    "</f>
        <v xml:space="preserve">4170054443                    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Q1694">
        <v>44.73</v>
      </c>
      <c r="AR1694">
        <v>0</v>
      </c>
      <c r="AS1694">
        <v>0</v>
      </c>
      <c r="AT1694">
        <v>0</v>
      </c>
      <c r="AU1694">
        <v>0</v>
      </c>
      <c r="AV1694">
        <v>0</v>
      </c>
      <c r="AW1694">
        <v>0</v>
      </c>
      <c r="AX1694">
        <v>0</v>
      </c>
      <c r="AY1694">
        <v>0</v>
      </c>
      <c r="AZ1694">
        <v>0</v>
      </c>
      <c r="BA1694">
        <v>0</v>
      </c>
      <c r="BB1694">
        <v>0</v>
      </c>
      <c r="BC1694">
        <v>0</v>
      </c>
      <c r="BD1694">
        <v>0</v>
      </c>
      <c r="BE1694">
        <v>0</v>
      </c>
      <c r="BF1694">
        <v>0</v>
      </c>
      <c r="BG1694">
        <v>0</v>
      </c>
      <c r="BH1694">
        <v>1</v>
      </c>
      <c r="BI1694">
        <v>1</v>
      </c>
      <c r="BJ1694">
        <v>0.9</v>
      </c>
      <c r="BK1694">
        <v>1</v>
      </c>
      <c r="BL1694">
        <v>138.88999999999999</v>
      </c>
      <c r="BM1694">
        <v>20.83</v>
      </c>
      <c r="BN1694">
        <v>159.72</v>
      </c>
      <c r="BO1694">
        <v>159.72</v>
      </c>
      <c r="BQ1694" t="s">
        <v>1966</v>
      </c>
      <c r="BR1694" t="s">
        <v>84</v>
      </c>
      <c r="BS1694" s="3">
        <v>45883</v>
      </c>
      <c r="BT1694" s="4">
        <v>0.53888888888888886</v>
      </c>
      <c r="BU1694" t="s">
        <v>615</v>
      </c>
      <c r="BV1694" t="s">
        <v>86</v>
      </c>
      <c r="BY1694">
        <v>4275</v>
      </c>
      <c r="CA1694" t="s">
        <v>122</v>
      </c>
      <c r="CC1694" t="s">
        <v>118</v>
      </c>
      <c r="CD1694">
        <v>7646</v>
      </c>
      <c r="CE1694" t="s">
        <v>147</v>
      </c>
      <c r="CF1694" s="3">
        <v>45884</v>
      </c>
      <c r="CI1694">
        <v>1</v>
      </c>
      <c r="CJ1694">
        <v>1</v>
      </c>
      <c r="CK1694">
        <v>23</v>
      </c>
      <c r="CL1694" t="s">
        <v>90</v>
      </c>
    </row>
    <row r="1695" spans="1:90" x14ac:dyDescent="0.3">
      <c r="A1695" t="s">
        <v>72</v>
      </c>
      <c r="B1695" t="s">
        <v>73</v>
      </c>
      <c r="C1695" t="s">
        <v>74</v>
      </c>
      <c r="E1695" t="str">
        <f>"080067214388"</f>
        <v>080067214388</v>
      </c>
      <c r="F1695" s="3">
        <v>45882</v>
      </c>
      <c r="G1695">
        <v>202605</v>
      </c>
      <c r="H1695" t="s">
        <v>75</v>
      </c>
      <c r="I1695" t="s">
        <v>76</v>
      </c>
      <c r="J1695" t="s">
        <v>77</v>
      </c>
      <c r="K1695" t="s">
        <v>78</v>
      </c>
      <c r="L1695" t="s">
        <v>162</v>
      </c>
      <c r="M1695" t="s">
        <v>163</v>
      </c>
      <c r="N1695" t="s">
        <v>811</v>
      </c>
      <c r="O1695" t="s">
        <v>82</v>
      </c>
      <c r="P1695" t="str">
        <f>"4170054474                    "</f>
        <v xml:space="preserve">4170054474                    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0</v>
      </c>
      <c r="AQ1695">
        <v>23.09</v>
      </c>
      <c r="AR1695">
        <v>0</v>
      </c>
      <c r="AS1695">
        <v>0</v>
      </c>
      <c r="AT1695">
        <v>0</v>
      </c>
      <c r="AU1695">
        <v>0</v>
      </c>
      <c r="AV1695">
        <v>0</v>
      </c>
      <c r="AW1695">
        <v>0</v>
      </c>
      <c r="AX1695">
        <v>0</v>
      </c>
      <c r="AY1695">
        <v>0</v>
      </c>
      <c r="AZ1695">
        <v>0</v>
      </c>
      <c r="BA1695">
        <v>0</v>
      </c>
      <c r="BB1695">
        <v>0</v>
      </c>
      <c r="BC1695">
        <v>0</v>
      </c>
      <c r="BD1695">
        <v>0</v>
      </c>
      <c r="BE1695">
        <v>0</v>
      </c>
      <c r="BF1695">
        <v>0</v>
      </c>
      <c r="BG1695">
        <v>0</v>
      </c>
      <c r="BH1695">
        <v>1</v>
      </c>
      <c r="BI1695">
        <v>1</v>
      </c>
      <c r="BJ1695">
        <v>0.2</v>
      </c>
      <c r="BK1695">
        <v>1</v>
      </c>
      <c r="BL1695">
        <v>71.69</v>
      </c>
      <c r="BM1695">
        <v>10.75</v>
      </c>
      <c r="BN1695">
        <v>82.44</v>
      </c>
      <c r="BO1695">
        <v>82.44</v>
      </c>
      <c r="BQ1695" t="s">
        <v>812</v>
      </c>
      <c r="BR1695" t="s">
        <v>84</v>
      </c>
      <c r="BS1695" s="3">
        <v>45883</v>
      </c>
      <c r="BT1695" s="4">
        <v>0.37569444444444444</v>
      </c>
      <c r="BU1695" t="s">
        <v>813</v>
      </c>
      <c r="BV1695" t="s">
        <v>86</v>
      </c>
      <c r="BY1695">
        <v>1200</v>
      </c>
      <c r="CA1695" t="s">
        <v>814</v>
      </c>
      <c r="CC1695" t="s">
        <v>163</v>
      </c>
      <c r="CD1695">
        <v>3201</v>
      </c>
      <c r="CE1695" t="s">
        <v>178</v>
      </c>
      <c r="CF1695" s="3">
        <v>45884</v>
      </c>
      <c r="CI1695">
        <v>1</v>
      </c>
      <c r="CJ1695">
        <v>1</v>
      </c>
      <c r="CK1695">
        <v>21</v>
      </c>
      <c r="CL1695" t="s">
        <v>90</v>
      </c>
    </row>
    <row r="1696" spans="1:90" x14ac:dyDescent="0.3">
      <c r="A1696" t="s">
        <v>72</v>
      </c>
      <c r="B1696" t="s">
        <v>73</v>
      </c>
      <c r="C1696" t="s">
        <v>74</v>
      </c>
      <c r="E1696" t="str">
        <f>"080067214402"</f>
        <v>080067214402</v>
      </c>
      <c r="F1696" s="3">
        <v>45882</v>
      </c>
      <c r="G1696">
        <v>202605</v>
      </c>
      <c r="H1696" t="s">
        <v>75</v>
      </c>
      <c r="I1696" t="s">
        <v>76</v>
      </c>
      <c r="J1696" t="s">
        <v>77</v>
      </c>
      <c r="K1696" t="s">
        <v>78</v>
      </c>
      <c r="L1696" t="s">
        <v>75</v>
      </c>
      <c r="M1696" t="s">
        <v>76</v>
      </c>
      <c r="N1696" t="s">
        <v>1886</v>
      </c>
      <c r="O1696" t="s">
        <v>82</v>
      </c>
      <c r="P1696" t="str">
        <f>"4170054428                    "</f>
        <v xml:space="preserve">4170054428                    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Q1696">
        <v>18.03</v>
      </c>
      <c r="AR1696">
        <v>0</v>
      </c>
      <c r="AS1696">
        <v>0</v>
      </c>
      <c r="AT1696">
        <v>0</v>
      </c>
      <c r="AU1696">
        <v>0</v>
      </c>
      <c r="AV1696">
        <v>0</v>
      </c>
      <c r="AW1696">
        <v>0</v>
      </c>
      <c r="AX1696">
        <v>0</v>
      </c>
      <c r="AY1696">
        <v>0</v>
      </c>
      <c r="AZ1696">
        <v>0</v>
      </c>
      <c r="BA1696">
        <v>0</v>
      </c>
      <c r="BB1696">
        <v>0</v>
      </c>
      <c r="BC1696">
        <v>0</v>
      </c>
      <c r="BD1696">
        <v>0</v>
      </c>
      <c r="BE1696">
        <v>0</v>
      </c>
      <c r="BF1696">
        <v>0</v>
      </c>
      <c r="BG1696">
        <v>0</v>
      </c>
      <c r="BH1696">
        <v>1</v>
      </c>
      <c r="BI1696">
        <v>3</v>
      </c>
      <c r="BJ1696">
        <v>1.7</v>
      </c>
      <c r="BK1696">
        <v>3</v>
      </c>
      <c r="BL1696">
        <v>55.99</v>
      </c>
      <c r="BM1696">
        <v>8.4</v>
      </c>
      <c r="BN1696">
        <v>64.39</v>
      </c>
      <c r="BO1696">
        <v>64.39</v>
      </c>
      <c r="BQ1696" t="s">
        <v>1887</v>
      </c>
      <c r="BR1696" t="s">
        <v>84</v>
      </c>
      <c r="BS1696" s="3">
        <v>45883</v>
      </c>
      <c r="BT1696" s="4">
        <v>0.4236111111111111</v>
      </c>
      <c r="BU1696" t="s">
        <v>1888</v>
      </c>
      <c r="BV1696" t="s">
        <v>86</v>
      </c>
      <c r="BY1696">
        <v>8512</v>
      </c>
      <c r="CA1696" t="s">
        <v>155</v>
      </c>
      <c r="CC1696" t="s">
        <v>76</v>
      </c>
      <c r="CD1696">
        <v>1624</v>
      </c>
      <c r="CE1696" t="s">
        <v>178</v>
      </c>
      <c r="CF1696" s="3">
        <v>45883</v>
      </c>
      <c r="CI1696">
        <v>1</v>
      </c>
      <c r="CJ1696">
        <v>1</v>
      </c>
      <c r="CK1696">
        <v>22</v>
      </c>
      <c r="CL1696" t="s">
        <v>90</v>
      </c>
    </row>
    <row r="1697" spans="1:90" x14ac:dyDescent="0.3">
      <c r="A1697" t="s">
        <v>72</v>
      </c>
      <c r="B1697" t="s">
        <v>73</v>
      </c>
      <c r="C1697" t="s">
        <v>74</v>
      </c>
      <c r="E1697" t="str">
        <f>"080067214433"</f>
        <v>080067214433</v>
      </c>
      <c r="F1697" s="3">
        <v>45882</v>
      </c>
      <c r="G1697">
        <v>202605</v>
      </c>
      <c r="H1697" t="s">
        <v>75</v>
      </c>
      <c r="I1697" t="s">
        <v>76</v>
      </c>
      <c r="J1697" t="s">
        <v>77</v>
      </c>
      <c r="K1697" t="s">
        <v>78</v>
      </c>
      <c r="L1697" t="s">
        <v>75</v>
      </c>
      <c r="M1697" t="s">
        <v>76</v>
      </c>
      <c r="N1697" t="s">
        <v>1020</v>
      </c>
      <c r="O1697" t="s">
        <v>82</v>
      </c>
      <c r="P1697" t="str">
        <f>"4170054456                    "</f>
        <v xml:space="preserve">4170054456                    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Q1697">
        <v>18.03</v>
      </c>
      <c r="AR1697">
        <v>0</v>
      </c>
      <c r="AS1697">
        <v>0</v>
      </c>
      <c r="AT1697">
        <v>0</v>
      </c>
      <c r="AU1697">
        <v>0</v>
      </c>
      <c r="AV1697">
        <v>0</v>
      </c>
      <c r="AW1697">
        <v>0</v>
      </c>
      <c r="AX1697">
        <v>0</v>
      </c>
      <c r="AY1697">
        <v>0</v>
      </c>
      <c r="AZ1697">
        <v>0</v>
      </c>
      <c r="BA1697">
        <v>0</v>
      </c>
      <c r="BB1697">
        <v>0</v>
      </c>
      <c r="BC1697">
        <v>0</v>
      </c>
      <c r="BD1697">
        <v>0</v>
      </c>
      <c r="BE1697">
        <v>0</v>
      </c>
      <c r="BF1697">
        <v>0</v>
      </c>
      <c r="BG1697">
        <v>0</v>
      </c>
      <c r="BH1697">
        <v>1</v>
      </c>
      <c r="BI1697">
        <v>1</v>
      </c>
      <c r="BJ1697">
        <v>0.2</v>
      </c>
      <c r="BK1697">
        <v>1</v>
      </c>
      <c r="BL1697">
        <v>55.99</v>
      </c>
      <c r="BM1697">
        <v>8.4</v>
      </c>
      <c r="BN1697">
        <v>64.39</v>
      </c>
      <c r="BO1697">
        <v>64.39</v>
      </c>
      <c r="BQ1697" t="s">
        <v>1021</v>
      </c>
      <c r="BR1697" t="s">
        <v>84</v>
      </c>
      <c r="BS1697" s="3">
        <v>45883</v>
      </c>
      <c r="BT1697" s="4">
        <v>0.37569444444444444</v>
      </c>
      <c r="BU1697" t="s">
        <v>2365</v>
      </c>
      <c r="BV1697" t="s">
        <v>86</v>
      </c>
      <c r="BY1697">
        <v>1200</v>
      </c>
      <c r="CA1697" t="s">
        <v>146</v>
      </c>
      <c r="CC1697" t="s">
        <v>76</v>
      </c>
      <c r="CD1697">
        <v>1645</v>
      </c>
      <c r="CE1697" t="s">
        <v>178</v>
      </c>
      <c r="CF1697" s="3">
        <v>45883</v>
      </c>
      <c r="CI1697">
        <v>1</v>
      </c>
      <c r="CJ1697">
        <v>1</v>
      </c>
      <c r="CK1697">
        <v>22</v>
      </c>
      <c r="CL1697" t="s">
        <v>90</v>
      </c>
    </row>
    <row r="1698" spans="1:90" x14ac:dyDescent="0.3">
      <c r="A1698" t="s">
        <v>72</v>
      </c>
      <c r="B1698" t="s">
        <v>73</v>
      </c>
      <c r="C1698" t="s">
        <v>74</v>
      </c>
      <c r="E1698" t="str">
        <f>"080067214448"</f>
        <v>080067214448</v>
      </c>
      <c r="F1698" s="3">
        <v>45882</v>
      </c>
      <c r="G1698">
        <v>202605</v>
      </c>
      <c r="H1698" t="s">
        <v>75</v>
      </c>
      <c r="I1698" t="s">
        <v>76</v>
      </c>
      <c r="J1698" t="s">
        <v>77</v>
      </c>
      <c r="K1698" t="s">
        <v>78</v>
      </c>
      <c r="L1698" t="s">
        <v>217</v>
      </c>
      <c r="M1698" t="s">
        <v>218</v>
      </c>
      <c r="N1698" t="s">
        <v>219</v>
      </c>
      <c r="O1698" t="s">
        <v>82</v>
      </c>
      <c r="P1698" t="str">
        <f>"4170054415                    "</f>
        <v xml:space="preserve">4170054415                    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>
        <v>23.09</v>
      </c>
      <c r="AR1698">
        <v>0</v>
      </c>
      <c r="AS1698">
        <v>0</v>
      </c>
      <c r="AT1698">
        <v>0</v>
      </c>
      <c r="AU1698">
        <v>0</v>
      </c>
      <c r="AV1698">
        <v>0</v>
      </c>
      <c r="AW1698">
        <v>0</v>
      </c>
      <c r="AX1698">
        <v>0</v>
      </c>
      <c r="AY1698">
        <v>0</v>
      </c>
      <c r="AZ1698">
        <v>0</v>
      </c>
      <c r="BA1698">
        <v>0</v>
      </c>
      <c r="BB1698">
        <v>0</v>
      </c>
      <c r="BC1698">
        <v>0</v>
      </c>
      <c r="BD1698">
        <v>0</v>
      </c>
      <c r="BE1698">
        <v>0</v>
      </c>
      <c r="BF1698">
        <v>0</v>
      </c>
      <c r="BG1698">
        <v>0</v>
      </c>
      <c r="BH1698">
        <v>1</v>
      </c>
      <c r="BI1698">
        <v>2</v>
      </c>
      <c r="BJ1698">
        <v>1.7</v>
      </c>
      <c r="BK1698">
        <v>2</v>
      </c>
      <c r="BL1698">
        <v>71.69</v>
      </c>
      <c r="BM1698">
        <v>10.75</v>
      </c>
      <c r="BN1698">
        <v>82.44</v>
      </c>
      <c r="BO1698">
        <v>82.44</v>
      </c>
      <c r="BQ1698" t="s">
        <v>220</v>
      </c>
      <c r="BR1698" t="s">
        <v>84</v>
      </c>
      <c r="BS1698" s="3">
        <v>45883</v>
      </c>
      <c r="BT1698" s="4">
        <v>0.33263888888888887</v>
      </c>
      <c r="BU1698" t="s">
        <v>2366</v>
      </c>
      <c r="BV1698" t="s">
        <v>86</v>
      </c>
      <c r="BY1698">
        <v>8512</v>
      </c>
      <c r="CA1698" t="s">
        <v>566</v>
      </c>
      <c r="CC1698" t="s">
        <v>218</v>
      </c>
      <c r="CD1698">
        <v>4051</v>
      </c>
      <c r="CE1698" t="s">
        <v>178</v>
      </c>
      <c r="CF1698" s="3">
        <v>45883</v>
      </c>
      <c r="CI1698">
        <v>1</v>
      </c>
      <c r="CJ1698">
        <v>1</v>
      </c>
      <c r="CK1698">
        <v>21</v>
      </c>
      <c r="CL1698" t="s">
        <v>90</v>
      </c>
    </row>
    <row r="1699" spans="1:90" x14ac:dyDescent="0.3">
      <c r="A1699" t="s">
        <v>72</v>
      </c>
      <c r="B1699" t="s">
        <v>73</v>
      </c>
      <c r="C1699" t="s">
        <v>74</v>
      </c>
      <c r="E1699" t="str">
        <f>"080067214499"</f>
        <v>080067214499</v>
      </c>
      <c r="F1699" s="3">
        <v>45882</v>
      </c>
      <c r="G1699">
        <v>202605</v>
      </c>
      <c r="H1699" t="s">
        <v>75</v>
      </c>
      <c r="I1699" t="s">
        <v>76</v>
      </c>
      <c r="J1699" t="s">
        <v>77</v>
      </c>
      <c r="K1699" t="s">
        <v>78</v>
      </c>
      <c r="L1699" t="s">
        <v>446</v>
      </c>
      <c r="M1699" t="s">
        <v>447</v>
      </c>
      <c r="N1699" t="s">
        <v>448</v>
      </c>
      <c r="O1699" t="s">
        <v>82</v>
      </c>
      <c r="P1699" t="str">
        <f>"4170054450                    "</f>
        <v xml:space="preserve">4170054450                    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0</v>
      </c>
      <c r="AQ1699">
        <v>32.47</v>
      </c>
      <c r="AR1699">
        <v>0</v>
      </c>
      <c r="AS1699">
        <v>0</v>
      </c>
      <c r="AT1699">
        <v>0</v>
      </c>
      <c r="AU1699">
        <v>0</v>
      </c>
      <c r="AV1699">
        <v>0</v>
      </c>
      <c r="AW1699">
        <v>0</v>
      </c>
      <c r="AX1699">
        <v>0</v>
      </c>
      <c r="AY1699">
        <v>0</v>
      </c>
      <c r="AZ1699">
        <v>0</v>
      </c>
      <c r="BA1699">
        <v>0</v>
      </c>
      <c r="BB1699">
        <v>0</v>
      </c>
      <c r="BC1699">
        <v>0</v>
      </c>
      <c r="BD1699">
        <v>0</v>
      </c>
      <c r="BE1699">
        <v>0</v>
      </c>
      <c r="BF1699">
        <v>0</v>
      </c>
      <c r="BG1699">
        <v>0</v>
      </c>
      <c r="BH1699">
        <v>1</v>
      </c>
      <c r="BI1699">
        <v>1</v>
      </c>
      <c r="BJ1699">
        <v>0.2</v>
      </c>
      <c r="BK1699">
        <v>1</v>
      </c>
      <c r="BL1699">
        <v>100.82</v>
      </c>
      <c r="BM1699">
        <v>15.12</v>
      </c>
      <c r="BN1699">
        <v>115.94</v>
      </c>
      <c r="BO1699">
        <v>115.94</v>
      </c>
      <c r="BQ1699" t="s">
        <v>449</v>
      </c>
      <c r="BR1699" t="s">
        <v>84</v>
      </c>
      <c r="BS1699" s="3">
        <v>45883</v>
      </c>
      <c r="BT1699" s="4">
        <v>0.36944444444444446</v>
      </c>
      <c r="BU1699" t="s">
        <v>1915</v>
      </c>
      <c r="BV1699" t="s">
        <v>86</v>
      </c>
      <c r="BY1699">
        <v>1200</v>
      </c>
      <c r="CA1699" t="s">
        <v>451</v>
      </c>
      <c r="CC1699" t="s">
        <v>447</v>
      </c>
      <c r="CD1699">
        <v>2210</v>
      </c>
      <c r="CE1699" t="s">
        <v>178</v>
      </c>
      <c r="CF1699" s="3">
        <v>45883</v>
      </c>
      <c r="CI1699">
        <v>1</v>
      </c>
      <c r="CJ1699">
        <v>1</v>
      </c>
      <c r="CK1699">
        <v>24</v>
      </c>
      <c r="CL1699" t="s">
        <v>90</v>
      </c>
    </row>
    <row r="1700" spans="1:90" x14ac:dyDescent="0.3">
      <c r="A1700" t="s">
        <v>72</v>
      </c>
      <c r="B1700" t="s">
        <v>73</v>
      </c>
      <c r="C1700" t="s">
        <v>74</v>
      </c>
      <c r="E1700" t="str">
        <f>"080067214687"</f>
        <v>080067214687</v>
      </c>
      <c r="F1700" s="3">
        <v>45882</v>
      </c>
      <c r="G1700">
        <v>202605</v>
      </c>
      <c r="H1700" t="s">
        <v>75</v>
      </c>
      <c r="I1700" t="s">
        <v>76</v>
      </c>
      <c r="J1700" t="s">
        <v>77</v>
      </c>
      <c r="K1700" t="s">
        <v>78</v>
      </c>
      <c r="L1700" t="s">
        <v>1254</v>
      </c>
      <c r="M1700" t="s">
        <v>1255</v>
      </c>
      <c r="N1700" t="s">
        <v>1780</v>
      </c>
      <c r="O1700" t="s">
        <v>82</v>
      </c>
      <c r="P1700" t="str">
        <f>"4170054487                    "</f>
        <v xml:space="preserve">4170054487                    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0</v>
      </c>
      <c r="AQ1700">
        <v>44.73</v>
      </c>
      <c r="AR1700">
        <v>0</v>
      </c>
      <c r="AS1700">
        <v>0</v>
      </c>
      <c r="AT1700">
        <v>0</v>
      </c>
      <c r="AU1700">
        <v>0</v>
      </c>
      <c r="AV1700">
        <v>0</v>
      </c>
      <c r="AW1700">
        <v>0</v>
      </c>
      <c r="AX1700">
        <v>0</v>
      </c>
      <c r="AY1700">
        <v>0</v>
      </c>
      <c r="AZ1700">
        <v>0</v>
      </c>
      <c r="BA1700">
        <v>0</v>
      </c>
      <c r="BB1700">
        <v>0</v>
      </c>
      <c r="BC1700">
        <v>0</v>
      </c>
      <c r="BD1700">
        <v>0</v>
      </c>
      <c r="BE1700">
        <v>0</v>
      </c>
      <c r="BF1700">
        <v>0</v>
      </c>
      <c r="BG1700">
        <v>0</v>
      </c>
      <c r="BH1700">
        <v>1</v>
      </c>
      <c r="BI1700">
        <v>1</v>
      </c>
      <c r="BJ1700">
        <v>0.2</v>
      </c>
      <c r="BK1700">
        <v>1</v>
      </c>
      <c r="BL1700">
        <v>138.88999999999999</v>
      </c>
      <c r="BM1700">
        <v>20.83</v>
      </c>
      <c r="BN1700">
        <v>159.72</v>
      </c>
      <c r="BO1700">
        <v>159.72</v>
      </c>
      <c r="BQ1700" t="s">
        <v>1781</v>
      </c>
      <c r="BR1700" t="s">
        <v>84</v>
      </c>
      <c r="BS1700" s="3">
        <v>45883</v>
      </c>
      <c r="BT1700" s="4">
        <v>0.41666666666666669</v>
      </c>
      <c r="BU1700" t="s">
        <v>2367</v>
      </c>
      <c r="BV1700" t="s">
        <v>86</v>
      </c>
      <c r="BY1700">
        <v>1200</v>
      </c>
      <c r="CC1700" t="s">
        <v>1255</v>
      </c>
      <c r="CD1700">
        <v>3280</v>
      </c>
      <c r="CE1700" t="s">
        <v>109</v>
      </c>
      <c r="CF1700" s="3">
        <v>45884</v>
      </c>
      <c r="CI1700">
        <v>1</v>
      </c>
      <c r="CJ1700">
        <v>1</v>
      </c>
      <c r="CK1700">
        <v>23</v>
      </c>
      <c r="CL1700" t="s">
        <v>90</v>
      </c>
    </row>
    <row r="1701" spans="1:90" x14ac:dyDescent="0.3">
      <c r="A1701" t="s">
        <v>72</v>
      </c>
      <c r="B1701" t="s">
        <v>73</v>
      </c>
      <c r="C1701" t="s">
        <v>74</v>
      </c>
      <c r="E1701" t="str">
        <f>"080067214695"</f>
        <v>080067214695</v>
      </c>
      <c r="F1701" s="3">
        <v>45882</v>
      </c>
      <c r="G1701">
        <v>202605</v>
      </c>
      <c r="H1701" t="s">
        <v>75</v>
      </c>
      <c r="I1701" t="s">
        <v>76</v>
      </c>
      <c r="J1701" t="s">
        <v>77</v>
      </c>
      <c r="K1701" t="s">
        <v>78</v>
      </c>
      <c r="L1701" t="s">
        <v>123</v>
      </c>
      <c r="M1701" t="s">
        <v>124</v>
      </c>
      <c r="N1701" t="s">
        <v>1108</v>
      </c>
      <c r="O1701" t="s">
        <v>82</v>
      </c>
      <c r="P1701" t="str">
        <f>"4170054481                    "</f>
        <v xml:space="preserve">4170054481                    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0</v>
      </c>
      <c r="AQ1701">
        <v>40.380000000000003</v>
      </c>
      <c r="AR1701">
        <v>0</v>
      </c>
      <c r="AS1701">
        <v>0</v>
      </c>
      <c r="AT1701">
        <v>0</v>
      </c>
      <c r="AU1701">
        <v>0</v>
      </c>
      <c r="AV1701">
        <v>0</v>
      </c>
      <c r="AW1701">
        <v>0</v>
      </c>
      <c r="AX1701">
        <v>0</v>
      </c>
      <c r="AY1701">
        <v>0</v>
      </c>
      <c r="AZ1701">
        <v>0</v>
      </c>
      <c r="BA1701">
        <v>0</v>
      </c>
      <c r="BB1701">
        <v>0</v>
      </c>
      <c r="BC1701">
        <v>0</v>
      </c>
      <c r="BD1701">
        <v>0</v>
      </c>
      <c r="BE1701">
        <v>0</v>
      </c>
      <c r="BF1701">
        <v>0</v>
      </c>
      <c r="BG1701">
        <v>0</v>
      </c>
      <c r="BH1701">
        <v>1</v>
      </c>
      <c r="BI1701">
        <v>2</v>
      </c>
      <c r="BJ1701">
        <v>3.3</v>
      </c>
      <c r="BK1701">
        <v>3.5</v>
      </c>
      <c r="BL1701">
        <v>125.4</v>
      </c>
      <c r="BM1701">
        <v>18.809999999999999</v>
      </c>
      <c r="BN1701">
        <v>144.21</v>
      </c>
      <c r="BO1701">
        <v>144.21</v>
      </c>
      <c r="BQ1701" t="s">
        <v>1109</v>
      </c>
      <c r="BR1701" t="s">
        <v>84</v>
      </c>
      <c r="BS1701" s="3">
        <v>45883</v>
      </c>
      <c r="BT1701" s="4">
        <v>0.43055555555555558</v>
      </c>
      <c r="BU1701" t="s">
        <v>1915</v>
      </c>
      <c r="BV1701" t="s">
        <v>86</v>
      </c>
      <c r="BY1701">
        <v>16416</v>
      </c>
      <c r="CA1701" t="s">
        <v>1111</v>
      </c>
      <c r="CC1701" t="s">
        <v>124</v>
      </c>
      <c r="CD1701">
        <v>7800</v>
      </c>
      <c r="CE1701" t="s">
        <v>147</v>
      </c>
      <c r="CF1701" s="3">
        <v>45884</v>
      </c>
      <c r="CI1701">
        <v>1</v>
      </c>
      <c r="CJ1701">
        <v>1</v>
      </c>
      <c r="CK1701">
        <v>21</v>
      </c>
      <c r="CL1701" t="s">
        <v>90</v>
      </c>
    </row>
    <row r="1702" spans="1:90" x14ac:dyDescent="0.3">
      <c r="A1702" t="s">
        <v>72</v>
      </c>
      <c r="B1702" t="s">
        <v>73</v>
      </c>
      <c r="C1702" t="s">
        <v>74</v>
      </c>
      <c r="E1702" t="str">
        <f>"080067214726"</f>
        <v>080067214726</v>
      </c>
      <c r="F1702" s="3">
        <v>45882</v>
      </c>
      <c r="G1702">
        <v>202605</v>
      </c>
      <c r="H1702" t="s">
        <v>75</v>
      </c>
      <c r="I1702" t="s">
        <v>76</v>
      </c>
      <c r="J1702" t="s">
        <v>77</v>
      </c>
      <c r="K1702" t="s">
        <v>78</v>
      </c>
      <c r="L1702" t="s">
        <v>400</v>
      </c>
      <c r="M1702" t="s">
        <v>401</v>
      </c>
      <c r="N1702" t="s">
        <v>2368</v>
      </c>
      <c r="O1702" t="s">
        <v>82</v>
      </c>
      <c r="P1702" t="str">
        <f>"4170054517                    "</f>
        <v xml:space="preserve">4170054517                    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0</v>
      </c>
      <c r="AQ1702">
        <v>23.09</v>
      </c>
      <c r="AR1702">
        <v>0</v>
      </c>
      <c r="AS1702">
        <v>0</v>
      </c>
      <c r="AT1702">
        <v>0</v>
      </c>
      <c r="AU1702">
        <v>0</v>
      </c>
      <c r="AV1702">
        <v>0</v>
      </c>
      <c r="AW1702">
        <v>0</v>
      </c>
      <c r="AX1702">
        <v>0</v>
      </c>
      <c r="AY1702">
        <v>0</v>
      </c>
      <c r="AZ1702">
        <v>0</v>
      </c>
      <c r="BA1702">
        <v>0</v>
      </c>
      <c r="BB1702">
        <v>0</v>
      </c>
      <c r="BC1702">
        <v>0</v>
      </c>
      <c r="BD1702">
        <v>0</v>
      </c>
      <c r="BE1702">
        <v>0</v>
      </c>
      <c r="BF1702">
        <v>0</v>
      </c>
      <c r="BG1702">
        <v>0</v>
      </c>
      <c r="BH1702">
        <v>1</v>
      </c>
      <c r="BI1702">
        <v>1</v>
      </c>
      <c r="BJ1702">
        <v>0.2</v>
      </c>
      <c r="BK1702">
        <v>1</v>
      </c>
      <c r="BL1702">
        <v>71.69</v>
      </c>
      <c r="BM1702">
        <v>10.75</v>
      </c>
      <c r="BN1702">
        <v>82.44</v>
      </c>
      <c r="BO1702">
        <v>82.44</v>
      </c>
      <c r="BQ1702" t="s">
        <v>2369</v>
      </c>
      <c r="BR1702" t="s">
        <v>84</v>
      </c>
      <c r="BS1702" s="3">
        <v>45883</v>
      </c>
      <c r="BT1702" s="4">
        <v>0.34027777777777779</v>
      </c>
      <c r="BU1702" t="s">
        <v>696</v>
      </c>
      <c r="BV1702" t="s">
        <v>86</v>
      </c>
      <c r="BY1702">
        <v>1200</v>
      </c>
      <c r="CA1702" t="s">
        <v>405</v>
      </c>
      <c r="CC1702" t="s">
        <v>401</v>
      </c>
      <c r="CD1702">
        <v>6021</v>
      </c>
      <c r="CE1702" t="s">
        <v>109</v>
      </c>
      <c r="CF1702" s="3">
        <v>45883</v>
      </c>
      <c r="CI1702">
        <v>1</v>
      </c>
      <c r="CJ1702">
        <v>1</v>
      </c>
      <c r="CK1702">
        <v>21</v>
      </c>
      <c r="CL1702" t="s">
        <v>90</v>
      </c>
    </row>
    <row r="1703" spans="1:90" x14ac:dyDescent="0.3">
      <c r="A1703" t="s">
        <v>72</v>
      </c>
      <c r="B1703" t="s">
        <v>73</v>
      </c>
      <c r="C1703" t="s">
        <v>74</v>
      </c>
      <c r="E1703" t="str">
        <f>"080067214725"</f>
        <v>080067214725</v>
      </c>
      <c r="F1703" s="3">
        <v>45882</v>
      </c>
      <c r="G1703">
        <v>202605</v>
      </c>
      <c r="H1703" t="s">
        <v>75</v>
      </c>
      <c r="I1703" t="s">
        <v>76</v>
      </c>
      <c r="J1703" t="s">
        <v>77</v>
      </c>
      <c r="K1703" t="s">
        <v>78</v>
      </c>
      <c r="L1703" t="s">
        <v>123</v>
      </c>
      <c r="M1703" t="s">
        <v>124</v>
      </c>
      <c r="N1703" t="s">
        <v>1115</v>
      </c>
      <c r="O1703" t="s">
        <v>82</v>
      </c>
      <c r="P1703" t="str">
        <f>"4170054468                    "</f>
        <v xml:space="preserve">4170054468                    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0</v>
      </c>
      <c r="AQ1703">
        <v>34.619999999999997</v>
      </c>
      <c r="AR1703">
        <v>0</v>
      </c>
      <c r="AS1703">
        <v>0</v>
      </c>
      <c r="AT1703">
        <v>0</v>
      </c>
      <c r="AU1703">
        <v>0</v>
      </c>
      <c r="AV1703">
        <v>0</v>
      </c>
      <c r="AW1703">
        <v>0</v>
      </c>
      <c r="AX1703">
        <v>0</v>
      </c>
      <c r="AY1703">
        <v>0</v>
      </c>
      <c r="AZ1703">
        <v>0</v>
      </c>
      <c r="BA1703">
        <v>0</v>
      </c>
      <c r="BB1703">
        <v>0</v>
      </c>
      <c r="BC1703">
        <v>0</v>
      </c>
      <c r="BD1703">
        <v>0</v>
      </c>
      <c r="BE1703">
        <v>0</v>
      </c>
      <c r="BF1703">
        <v>0</v>
      </c>
      <c r="BG1703">
        <v>0</v>
      </c>
      <c r="BH1703">
        <v>1</v>
      </c>
      <c r="BI1703">
        <v>3</v>
      </c>
      <c r="BJ1703">
        <v>1.9</v>
      </c>
      <c r="BK1703">
        <v>3</v>
      </c>
      <c r="BL1703">
        <v>107.5</v>
      </c>
      <c r="BM1703">
        <v>16.13</v>
      </c>
      <c r="BN1703">
        <v>123.63</v>
      </c>
      <c r="BO1703">
        <v>123.63</v>
      </c>
      <c r="BQ1703" t="s">
        <v>1116</v>
      </c>
      <c r="BR1703" t="s">
        <v>84</v>
      </c>
      <c r="BS1703" s="3">
        <v>45883</v>
      </c>
      <c r="BT1703" s="4">
        <v>0.38333333333333336</v>
      </c>
      <c r="BU1703" t="s">
        <v>2370</v>
      </c>
      <c r="BV1703" t="s">
        <v>86</v>
      </c>
      <c r="BY1703">
        <v>9600</v>
      </c>
      <c r="CA1703" t="s">
        <v>192</v>
      </c>
      <c r="CC1703" t="s">
        <v>124</v>
      </c>
      <c r="CD1703">
        <v>7441</v>
      </c>
      <c r="CE1703" t="s">
        <v>147</v>
      </c>
      <c r="CF1703" s="3">
        <v>45884</v>
      </c>
      <c r="CI1703">
        <v>1</v>
      </c>
      <c r="CJ1703">
        <v>1</v>
      </c>
      <c r="CK1703">
        <v>21</v>
      </c>
      <c r="CL1703" t="s">
        <v>90</v>
      </c>
    </row>
    <row r="1704" spans="1:90" x14ac:dyDescent="0.3">
      <c r="A1704" t="s">
        <v>72</v>
      </c>
      <c r="B1704" t="s">
        <v>73</v>
      </c>
      <c r="C1704" t="s">
        <v>74</v>
      </c>
      <c r="E1704" t="str">
        <f>"080067214770"</f>
        <v>080067214770</v>
      </c>
      <c r="F1704" s="3">
        <v>45882</v>
      </c>
      <c r="G1704">
        <v>202605</v>
      </c>
      <c r="H1704" t="s">
        <v>75</v>
      </c>
      <c r="I1704" t="s">
        <v>76</v>
      </c>
      <c r="J1704" t="s">
        <v>77</v>
      </c>
      <c r="K1704" t="s">
        <v>78</v>
      </c>
      <c r="L1704" t="s">
        <v>1275</v>
      </c>
      <c r="M1704" t="s">
        <v>1276</v>
      </c>
      <c r="N1704" t="s">
        <v>1277</v>
      </c>
      <c r="O1704" t="s">
        <v>82</v>
      </c>
      <c r="P1704" t="str">
        <f>"4170054396                    "</f>
        <v xml:space="preserve">4170054396                    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0</v>
      </c>
      <c r="AQ1704">
        <v>44.73</v>
      </c>
      <c r="AR1704">
        <v>0</v>
      </c>
      <c r="AS1704">
        <v>0</v>
      </c>
      <c r="AT1704">
        <v>0</v>
      </c>
      <c r="AU1704">
        <v>0</v>
      </c>
      <c r="AV1704">
        <v>0</v>
      </c>
      <c r="AW1704">
        <v>0</v>
      </c>
      <c r="AX1704">
        <v>0</v>
      </c>
      <c r="AY1704">
        <v>0</v>
      </c>
      <c r="AZ1704">
        <v>0</v>
      </c>
      <c r="BA1704">
        <v>0</v>
      </c>
      <c r="BB1704">
        <v>0</v>
      </c>
      <c r="BC1704">
        <v>0</v>
      </c>
      <c r="BD1704">
        <v>0</v>
      </c>
      <c r="BE1704">
        <v>0</v>
      </c>
      <c r="BF1704">
        <v>0</v>
      </c>
      <c r="BG1704">
        <v>0</v>
      </c>
      <c r="BH1704">
        <v>1</v>
      </c>
      <c r="BI1704">
        <v>1</v>
      </c>
      <c r="BJ1704">
        <v>0.2</v>
      </c>
      <c r="BK1704">
        <v>1</v>
      </c>
      <c r="BL1704">
        <v>138.88999999999999</v>
      </c>
      <c r="BM1704">
        <v>20.83</v>
      </c>
      <c r="BN1704">
        <v>159.72</v>
      </c>
      <c r="BO1704">
        <v>159.72</v>
      </c>
      <c r="BQ1704" t="s">
        <v>1278</v>
      </c>
      <c r="BR1704" t="s">
        <v>84</v>
      </c>
      <c r="BS1704" s="3">
        <v>45883</v>
      </c>
      <c r="BT1704" s="4">
        <v>0.35625000000000001</v>
      </c>
      <c r="BU1704" t="s">
        <v>2371</v>
      </c>
      <c r="BV1704" t="s">
        <v>86</v>
      </c>
      <c r="BY1704">
        <v>1200</v>
      </c>
      <c r="CA1704" t="s">
        <v>2293</v>
      </c>
      <c r="CC1704" t="s">
        <v>1276</v>
      </c>
      <c r="CD1704">
        <v>1900</v>
      </c>
      <c r="CE1704" t="s">
        <v>109</v>
      </c>
      <c r="CF1704" s="3">
        <v>45884</v>
      </c>
      <c r="CI1704">
        <v>1</v>
      </c>
      <c r="CJ1704">
        <v>1</v>
      </c>
      <c r="CK1704">
        <v>23</v>
      </c>
      <c r="CL1704" t="s">
        <v>90</v>
      </c>
    </row>
    <row r="1705" spans="1:90" x14ac:dyDescent="0.3">
      <c r="A1705" t="s">
        <v>72</v>
      </c>
      <c r="B1705" t="s">
        <v>73</v>
      </c>
      <c r="C1705" t="s">
        <v>74</v>
      </c>
      <c r="E1705" t="str">
        <f>"080067214781"</f>
        <v>080067214781</v>
      </c>
      <c r="F1705" s="3">
        <v>45882</v>
      </c>
      <c r="G1705">
        <v>202605</v>
      </c>
      <c r="H1705" t="s">
        <v>75</v>
      </c>
      <c r="I1705" t="s">
        <v>76</v>
      </c>
      <c r="J1705" t="s">
        <v>77</v>
      </c>
      <c r="K1705" t="s">
        <v>78</v>
      </c>
      <c r="L1705" t="s">
        <v>137</v>
      </c>
      <c r="M1705" t="s">
        <v>138</v>
      </c>
      <c r="N1705" t="s">
        <v>815</v>
      </c>
      <c r="O1705" t="s">
        <v>82</v>
      </c>
      <c r="P1705" t="str">
        <f>"4170054477                    "</f>
        <v xml:space="preserve">4170054477                    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0</v>
      </c>
      <c r="AQ1705">
        <v>40.380000000000003</v>
      </c>
      <c r="AR1705">
        <v>0</v>
      </c>
      <c r="AS1705">
        <v>0</v>
      </c>
      <c r="AT1705">
        <v>0</v>
      </c>
      <c r="AU1705">
        <v>0</v>
      </c>
      <c r="AV1705">
        <v>0</v>
      </c>
      <c r="AW1705">
        <v>0</v>
      </c>
      <c r="AX1705">
        <v>0</v>
      </c>
      <c r="AY1705">
        <v>0</v>
      </c>
      <c r="AZ1705">
        <v>0</v>
      </c>
      <c r="BA1705">
        <v>0</v>
      </c>
      <c r="BB1705">
        <v>0</v>
      </c>
      <c r="BC1705">
        <v>0</v>
      </c>
      <c r="BD1705">
        <v>0</v>
      </c>
      <c r="BE1705">
        <v>0</v>
      </c>
      <c r="BF1705">
        <v>0</v>
      </c>
      <c r="BG1705">
        <v>0</v>
      </c>
      <c r="BH1705">
        <v>1</v>
      </c>
      <c r="BI1705">
        <v>3</v>
      </c>
      <c r="BJ1705">
        <v>3.1</v>
      </c>
      <c r="BK1705">
        <v>3.5</v>
      </c>
      <c r="BL1705">
        <v>125.4</v>
      </c>
      <c r="BM1705">
        <v>18.809999999999999</v>
      </c>
      <c r="BN1705">
        <v>144.21</v>
      </c>
      <c r="BO1705">
        <v>144.21</v>
      </c>
      <c r="BQ1705" t="s">
        <v>816</v>
      </c>
      <c r="BR1705" t="s">
        <v>84</v>
      </c>
      <c r="BS1705" s="3">
        <v>45883</v>
      </c>
      <c r="BT1705" s="4">
        <v>0.37986111111111109</v>
      </c>
      <c r="BU1705" t="s">
        <v>817</v>
      </c>
      <c r="BV1705" t="s">
        <v>86</v>
      </c>
      <c r="BY1705">
        <v>15360</v>
      </c>
      <c r="CA1705" t="s">
        <v>264</v>
      </c>
      <c r="CC1705" t="s">
        <v>138</v>
      </c>
      <c r="CD1705">
        <v>3610</v>
      </c>
      <c r="CE1705" t="s">
        <v>147</v>
      </c>
      <c r="CF1705" s="3">
        <v>45883</v>
      </c>
      <c r="CI1705">
        <v>1</v>
      </c>
      <c r="CJ1705">
        <v>1</v>
      </c>
      <c r="CK1705">
        <v>21</v>
      </c>
      <c r="CL1705" t="s">
        <v>90</v>
      </c>
    </row>
    <row r="1706" spans="1:90" x14ac:dyDescent="0.3">
      <c r="A1706" t="s">
        <v>72</v>
      </c>
      <c r="B1706" t="s">
        <v>73</v>
      </c>
      <c r="C1706" t="s">
        <v>74</v>
      </c>
      <c r="E1706" t="str">
        <f>"080067214796"</f>
        <v>080067214796</v>
      </c>
      <c r="F1706" s="3">
        <v>45882</v>
      </c>
      <c r="G1706">
        <v>202605</v>
      </c>
      <c r="H1706" t="s">
        <v>75</v>
      </c>
      <c r="I1706" t="s">
        <v>76</v>
      </c>
      <c r="J1706" t="s">
        <v>77</v>
      </c>
      <c r="K1706" t="s">
        <v>78</v>
      </c>
      <c r="L1706" t="s">
        <v>234</v>
      </c>
      <c r="M1706" t="s">
        <v>235</v>
      </c>
      <c r="N1706" t="s">
        <v>236</v>
      </c>
      <c r="O1706" t="s">
        <v>82</v>
      </c>
      <c r="P1706" t="str">
        <f>"4170054683                    "</f>
        <v xml:space="preserve">4170054683                    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0</v>
      </c>
      <c r="AQ1706">
        <v>23.09</v>
      </c>
      <c r="AR1706">
        <v>0</v>
      </c>
      <c r="AS1706">
        <v>0</v>
      </c>
      <c r="AT1706">
        <v>0</v>
      </c>
      <c r="AU1706">
        <v>0</v>
      </c>
      <c r="AV1706">
        <v>0</v>
      </c>
      <c r="AW1706">
        <v>0</v>
      </c>
      <c r="AX1706">
        <v>0</v>
      </c>
      <c r="AY1706">
        <v>0</v>
      </c>
      <c r="AZ1706">
        <v>0</v>
      </c>
      <c r="BA1706">
        <v>0</v>
      </c>
      <c r="BB1706">
        <v>0</v>
      </c>
      <c r="BC1706">
        <v>0</v>
      </c>
      <c r="BD1706">
        <v>0</v>
      </c>
      <c r="BE1706">
        <v>0</v>
      </c>
      <c r="BF1706">
        <v>0</v>
      </c>
      <c r="BG1706">
        <v>0</v>
      </c>
      <c r="BH1706">
        <v>1</v>
      </c>
      <c r="BI1706">
        <v>1</v>
      </c>
      <c r="BJ1706">
        <v>0.2</v>
      </c>
      <c r="BK1706">
        <v>1</v>
      </c>
      <c r="BL1706">
        <v>71.69</v>
      </c>
      <c r="BM1706">
        <v>10.75</v>
      </c>
      <c r="BN1706">
        <v>82.44</v>
      </c>
      <c r="BO1706">
        <v>82.44</v>
      </c>
      <c r="BQ1706" t="s">
        <v>237</v>
      </c>
      <c r="BR1706" t="s">
        <v>84</v>
      </c>
      <c r="BS1706" s="3">
        <v>45883</v>
      </c>
      <c r="BT1706" s="4">
        <v>0.3527777777777778</v>
      </c>
      <c r="BU1706" t="s">
        <v>650</v>
      </c>
      <c r="BV1706" t="s">
        <v>86</v>
      </c>
      <c r="BY1706">
        <v>1200</v>
      </c>
      <c r="CA1706" t="s">
        <v>239</v>
      </c>
      <c r="CC1706" t="s">
        <v>235</v>
      </c>
      <c r="CD1706" s="5" t="s">
        <v>240</v>
      </c>
      <c r="CE1706" t="s">
        <v>109</v>
      </c>
      <c r="CF1706" s="3">
        <v>45883</v>
      </c>
      <c r="CI1706">
        <v>1</v>
      </c>
      <c r="CJ1706">
        <v>1</v>
      </c>
      <c r="CK1706">
        <v>21</v>
      </c>
      <c r="CL1706" t="s">
        <v>90</v>
      </c>
    </row>
    <row r="1707" spans="1:90" x14ac:dyDescent="0.3">
      <c r="A1707" t="s">
        <v>72</v>
      </c>
      <c r="B1707" t="s">
        <v>73</v>
      </c>
      <c r="C1707" t="s">
        <v>74</v>
      </c>
      <c r="E1707" t="str">
        <f>"080067214813"</f>
        <v>080067214813</v>
      </c>
      <c r="F1707" s="3">
        <v>45882</v>
      </c>
      <c r="G1707">
        <v>202605</v>
      </c>
      <c r="H1707" t="s">
        <v>75</v>
      </c>
      <c r="I1707" t="s">
        <v>76</v>
      </c>
      <c r="J1707" t="s">
        <v>77</v>
      </c>
      <c r="K1707" t="s">
        <v>78</v>
      </c>
      <c r="L1707" t="s">
        <v>123</v>
      </c>
      <c r="M1707" t="s">
        <v>124</v>
      </c>
      <c r="N1707" t="s">
        <v>406</v>
      </c>
      <c r="O1707" t="s">
        <v>82</v>
      </c>
      <c r="P1707" t="str">
        <f>"4170054469                    "</f>
        <v xml:space="preserve">4170054469                    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0</v>
      </c>
      <c r="AQ1707">
        <v>34.619999999999997</v>
      </c>
      <c r="AR1707">
        <v>0</v>
      </c>
      <c r="AS1707">
        <v>0</v>
      </c>
      <c r="AT1707">
        <v>0</v>
      </c>
      <c r="AU1707">
        <v>0</v>
      </c>
      <c r="AV1707">
        <v>0</v>
      </c>
      <c r="AW1707">
        <v>0</v>
      </c>
      <c r="AX1707">
        <v>0</v>
      </c>
      <c r="AY1707">
        <v>0</v>
      </c>
      <c r="AZ1707">
        <v>0</v>
      </c>
      <c r="BA1707">
        <v>0</v>
      </c>
      <c r="BB1707">
        <v>0</v>
      </c>
      <c r="BC1707">
        <v>0</v>
      </c>
      <c r="BD1707">
        <v>0</v>
      </c>
      <c r="BE1707">
        <v>0</v>
      </c>
      <c r="BF1707">
        <v>0</v>
      </c>
      <c r="BG1707">
        <v>0</v>
      </c>
      <c r="BH1707">
        <v>1</v>
      </c>
      <c r="BI1707">
        <v>3</v>
      </c>
      <c r="BJ1707">
        <v>1.7</v>
      </c>
      <c r="BK1707">
        <v>3</v>
      </c>
      <c r="BL1707">
        <v>107.5</v>
      </c>
      <c r="BM1707">
        <v>16.13</v>
      </c>
      <c r="BN1707">
        <v>123.63</v>
      </c>
      <c r="BO1707">
        <v>123.63</v>
      </c>
      <c r="BQ1707" t="s">
        <v>407</v>
      </c>
      <c r="BR1707" t="s">
        <v>84</v>
      </c>
      <c r="BS1707" s="3">
        <v>45883</v>
      </c>
      <c r="BT1707" s="4">
        <v>0.40486111111111112</v>
      </c>
      <c r="BU1707" t="s">
        <v>2360</v>
      </c>
      <c r="BV1707" t="s">
        <v>86</v>
      </c>
      <c r="BY1707">
        <v>8265</v>
      </c>
      <c r="CA1707" t="s">
        <v>2361</v>
      </c>
      <c r="CC1707" t="s">
        <v>124</v>
      </c>
      <c r="CD1707">
        <v>7441</v>
      </c>
      <c r="CE1707" t="s">
        <v>147</v>
      </c>
      <c r="CF1707" s="3">
        <v>45884</v>
      </c>
      <c r="CI1707">
        <v>1</v>
      </c>
      <c r="CJ1707">
        <v>1</v>
      </c>
      <c r="CK1707">
        <v>21</v>
      </c>
      <c r="CL1707" t="s">
        <v>90</v>
      </c>
    </row>
    <row r="1708" spans="1:90" x14ac:dyDescent="0.3">
      <c r="A1708" t="s">
        <v>72</v>
      </c>
      <c r="B1708" t="s">
        <v>73</v>
      </c>
      <c r="C1708" t="s">
        <v>74</v>
      </c>
      <c r="E1708" t="str">
        <f>"080067214812"</f>
        <v>080067214812</v>
      </c>
      <c r="F1708" s="3">
        <v>45882</v>
      </c>
      <c r="G1708">
        <v>202605</v>
      </c>
      <c r="H1708" t="s">
        <v>75</v>
      </c>
      <c r="I1708" t="s">
        <v>76</v>
      </c>
      <c r="J1708" t="s">
        <v>77</v>
      </c>
      <c r="K1708" t="s">
        <v>78</v>
      </c>
      <c r="L1708" t="s">
        <v>223</v>
      </c>
      <c r="M1708" t="s">
        <v>224</v>
      </c>
      <c r="N1708" t="s">
        <v>225</v>
      </c>
      <c r="O1708" t="s">
        <v>82</v>
      </c>
      <c r="P1708" t="str">
        <f>"4170054530                    "</f>
        <v xml:space="preserve">4170054530                    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0</v>
      </c>
      <c r="AQ1708">
        <v>23.09</v>
      </c>
      <c r="AR1708">
        <v>0</v>
      </c>
      <c r="AS1708">
        <v>0</v>
      </c>
      <c r="AT1708">
        <v>0</v>
      </c>
      <c r="AU1708">
        <v>0</v>
      </c>
      <c r="AV1708">
        <v>0</v>
      </c>
      <c r="AW1708">
        <v>0</v>
      </c>
      <c r="AX1708">
        <v>0</v>
      </c>
      <c r="AY1708">
        <v>0</v>
      </c>
      <c r="AZ1708">
        <v>0</v>
      </c>
      <c r="BA1708">
        <v>0</v>
      </c>
      <c r="BB1708">
        <v>0</v>
      </c>
      <c r="BC1708">
        <v>0</v>
      </c>
      <c r="BD1708">
        <v>0</v>
      </c>
      <c r="BE1708">
        <v>0</v>
      </c>
      <c r="BF1708">
        <v>0</v>
      </c>
      <c r="BG1708">
        <v>0</v>
      </c>
      <c r="BH1708">
        <v>1</v>
      </c>
      <c r="BI1708">
        <v>1</v>
      </c>
      <c r="BJ1708">
        <v>0.2</v>
      </c>
      <c r="BK1708">
        <v>1</v>
      </c>
      <c r="BL1708">
        <v>71.69</v>
      </c>
      <c r="BM1708">
        <v>10.75</v>
      </c>
      <c r="BN1708">
        <v>82.44</v>
      </c>
      <c r="BO1708">
        <v>82.44</v>
      </c>
      <c r="BQ1708" t="s">
        <v>226</v>
      </c>
      <c r="BR1708" t="s">
        <v>84</v>
      </c>
      <c r="BS1708" s="3">
        <v>45883</v>
      </c>
      <c r="BT1708" s="4">
        <v>0.46388888888888891</v>
      </c>
      <c r="BU1708" t="s">
        <v>2359</v>
      </c>
      <c r="BV1708" t="s">
        <v>90</v>
      </c>
      <c r="BY1708">
        <v>1200</v>
      </c>
      <c r="CA1708" t="s">
        <v>228</v>
      </c>
      <c r="CC1708" t="s">
        <v>224</v>
      </c>
      <c r="CD1708">
        <v>5200</v>
      </c>
      <c r="CE1708" t="s">
        <v>109</v>
      </c>
      <c r="CF1708" s="3">
        <v>45884</v>
      </c>
      <c r="CI1708">
        <v>1</v>
      </c>
      <c r="CJ1708">
        <v>1</v>
      </c>
      <c r="CK1708">
        <v>21</v>
      </c>
      <c r="CL1708" t="s">
        <v>90</v>
      </c>
    </row>
    <row r="1709" spans="1:90" x14ac:dyDescent="0.3">
      <c r="A1709" t="s">
        <v>72</v>
      </c>
      <c r="B1709" t="s">
        <v>73</v>
      </c>
      <c r="C1709" t="s">
        <v>74</v>
      </c>
      <c r="E1709" t="str">
        <f>"080067214852"</f>
        <v>080067214852</v>
      </c>
      <c r="F1709" s="3">
        <v>45882</v>
      </c>
      <c r="G1709">
        <v>202605</v>
      </c>
      <c r="H1709" t="s">
        <v>75</v>
      </c>
      <c r="I1709" t="s">
        <v>76</v>
      </c>
      <c r="J1709" t="s">
        <v>77</v>
      </c>
      <c r="K1709" t="s">
        <v>78</v>
      </c>
      <c r="L1709" t="s">
        <v>400</v>
      </c>
      <c r="M1709" t="s">
        <v>401</v>
      </c>
      <c r="N1709" t="s">
        <v>2368</v>
      </c>
      <c r="O1709" t="s">
        <v>82</v>
      </c>
      <c r="P1709" t="str">
        <f>"4170054490                    "</f>
        <v xml:space="preserve">4170054490                    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>
        <v>23.09</v>
      </c>
      <c r="AR1709">
        <v>0</v>
      </c>
      <c r="AS1709">
        <v>0</v>
      </c>
      <c r="AT1709">
        <v>0</v>
      </c>
      <c r="AU1709">
        <v>0</v>
      </c>
      <c r="AV1709">
        <v>0</v>
      </c>
      <c r="AW1709">
        <v>0</v>
      </c>
      <c r="AX1709">
        <v>0</v>
      </c>
      <c r="AY1709">
        <v>0</v>
      </c>
      <c r="AZ1709">
        <v>0</v>
      </c>
      <c r="BA1709">
        <v>0</v>
      </c>
      <c r="BB1709">
        <v>0</v>
      </c>
      <c r="BC1709">
        <v>0</v>
      </c>
      <c r="BD1709">
        <v>0</v>
      </c>
      <c r="BE1709">
        <v>0</v>
      </c>
      <c r="BF1709">
        <v>0</v>
      </c>
      <c r="BG1709">
        <v>0</v>
      </c>
      <c r="BH1709">
        <v>1</v>
      </c>
      <c r="BI1709">
        <v>1</v>
      </c>
      <c r="BJ1709">
        <v>0.9</v>
      </c>
      <c r="BK1709">
        <v>1</v>
      </c>
      <c r="BL1709">
        <v>71.69</v>
      </c>
      <c r="BM1709">
        <v>10.75</v>
      </c>
      <c r="BN1709">
        <v>82.44</v>
      </c>
      <c r="BO1709">
        <v>82.44</v>
      </c>
      <c r="BQ1709" t="s">
        <v>2369</v>
      </c>
      <c r="BR1709" t="s">
        <v>84</v>
      </c>
      <c r="BS1709" s="3">
        <v>45883</v>
      </c>
      <c r="BT1709" s="4">
        <v>0.34097222222222223</v>
      </c>
      <c r="BU1709" t="s">
        <v>696</v>
      </c>
      <c r="BV1709" t="s">
        <v>86</v>
      </c>
      <c r="BY1709">
        <v>4275</v>
      </c>
      <c r="CA1709" t="s">
        <v>405</v>
      </c>
      <c r="CC1709" t="s">
        <v>401</v>
      </c>
      <c r="CD1709">
        <v>6229</v>
      </c>
      <c r="CE1709" t="s">
        <v>147</v>
      </c>
      <c r="CF1709" s="3">
        <v>45883</v>
      </c>
      <c r="CI1709">
        <v>1</v>
      </c>
      <c r="CJ1709">
        <v>1</v>
      </c>
      <c r="CK1709">
        <v>21</v>
      </c>
      <c r="CL1709" t="s">
        <v>90</v>
      </c>
    </row>
    <row r="1710" spans="1:90" x14ac:dyDescent="0.3">
      <c r="A1710" t="s">
        <v>72</v>
      </c>
      <c r="B1710" t="s">
        <v>73</v>
      </c>
      <c r="C1710" t="s">
        <v>74</v>
      </c>
      <c r="E1710" t="str">
        <f>"080067214841"</f>
        <v>080067214841</v>
      </c>
      <c r="F1710" s="3">
        <v>45882</v>
      </c>
      <c r="G1710">
        <v>202605</v>
      </c>
      <c r="H1710" t="s">
        <v>75</v>
      </c>
      <c r="I1710" t="s">
        <v>76</v>
      </c>
      <c r="J1710" t="s">
        <v>77</v>
      </c>
      <c r="K1710" t="s">
        <v>78</v>
      </c>
      <c r="L1710" t="s">
        <v>137</v>
      </c>
      <c r="M1710" t="s">
        <v>138</v>
      </c>
      <c r="N1710" t="s">
        <v>1760</v>
      </c>
      <c r="O1710" t="s">
        <v>82</v>
      </c>
      <c r="P1710" t="str">
        <f>"4170054460                    "</f>
        <v xml:space="preserve">4170054460                    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0</v>
      </c>
      <c r="AQ1710">
        <v>23.09</v>
      </c>
      <c r="AR1710">
        <v>0</v>
      </c>
      <c r="AS1710">
        <v>0</v>
      </c>
      <c r="AT1710">
        <v>0</v>
      </c>
      <c r="AU1710">
        <v>0</v>
      </c>
      <c r="AV1710">
        <v>0</v>
      </c>
      <c r="AW1710">
        <v>0</v>
      </c>
      <c r="AX1710">
        <v>0</v>
      </c>
      <c r="AY1710">
        <v>0</v>
      </c>
      <c r="AZ1710">
        <v>0</v>
      </c>
      <c r="BA1710">
        <v>0</v>
      </c>
      <c r="BB1710">
        <v>0</v>
      </c>
      <c r="BC1710">
        <v>0</v>
      </c>
      <c r="BD1710">
        <v>0</v>
      </c>
      <c r="BE1710">
        <v>0</v>
      </c>
      <c r="BF1710">
        <v>0</v>
      </c>
      <c r="BG1710">
        <v>0</v>
      </c>
      <c r="BH1710">
        <v>1</v>
      </c>
      <c r="BI1710">
        <v>1</v>
      </c>
      <c r="BJ1710">
        <v>0.2</v>
      </c>
      <c r="BK1710">
        <v>1</v>
      </c>
      <c r="BL1710">
        <v>71.69</v>
      </c>
      <c r="BM1710">
        <v>10.75</v>
      </c>
      <c r="BN1710">
        <v>82.44</v>
      </c>
      <c r="BO1710">
        <v>82.44</v>
      </c>
      <c r="BQ1710" t="s">
        <v>1761</v>
      </c>
      <c r="BR1710" t="s">
        <v>84</v>
      </c>
      <c r="BS1710" s="3">
        <v>45883</v>
      </c>
      <c r="BT1710" s="4">
        <v>0.71875</v>
      </c>
      <c r="BU1710" t="s">
        <v>2372</v>
      </c>
      <c r="BV1710" t="s">
        <v>90</v>
      </c>
      <c r="BW1710" t="s">
        <v>134</v>
      </c>
      <c r="BX1710" t="s">
        <v>1573</v>
      </c>
      <c r="BY1710">
        <v>1200</v>
      </c>
      <c r="CA1710" t="s">
        <v>953</v>
      </c>
      <c r="CC1710" t="s">
        <v>138</v>
      </c>
      <c r="CD1710">
        <v>3610</v>
      </c>
      <c r="CE1710" t="s">
        <v>109</v>
      </c>
      <c r="CF1710" s="3">
        <v>45883</v>
      </c>
      <c r="CI1710">
        <v>1</v>
      </c>
      <c r="CJ1710">
        <v>1</v>
      </c>
      <c r="CK1710">
        <v>21</v>
      </c>
      <c r="CL1710" t="s">
        <v>90</v>
      </c>
    </row>
    <row r="1711" spans="1:90" x14ac:dyDescent="0.3">
      <c r="A1711" t="s">
        <v>72</v>
      </c>
      <c r="B1711" t="s">
        <v>73</v>
      </c>
      <c r="C1711" t="s">
        <v>74</v>
      </c>
      <c r="E1711" t="str">
        <f>"080067214884"</f>
        <v>080067214884</v>
      </c>
      <c r="F1711" s="3">
        <v>45882</v>
      </c>
      <c r="G1711">
        <v>202605</v>
      </c>
      <c r="H1711" t="s">
        <v>75</v>
      </c>
      <c r="I1711" t="s">
        <v>76</v>
      </c>
      <c r="J1711" t="s">
        <v>77</v>
      </c>
      <c r="K1711" t="s">
        <v>78</v>
      </c>
      <c r="L1711" t="s">
        <v>234</v>
      </c>
      <c r="M1711" t="s">
        <v>235</v>
      </c>
      <c r="N1711" t="s">
        <v>236</v>
      </c>
      <c r="O1711" t="s">
        <v>82</v>
      </c>
      <c r="P1711" t="str">
        <f>"4170054449                    "</f>
        <v xml:space="preserve">4170054449                    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0</v>
      </c>
      <c r="AQ1711">
        <v>23.09</v>
      </c>
      <c r="AR1711">
        <v>0</v>
      </c>
      <c r="AS1711">
        <v>0</v>
      </c>
      <c r="AT1711">
        <v>0</v>
      </c>
      <c r="AU1711">
        <v>0</v>
      </c>
      <c r="AV1711">
        <v>0</v>
      </c>
      <c r="AW1711">
        <v>0</v>
      </c>
      <c r="AX1711">
        <v>0</v>
      </c>
      <c r="AY1711">
        <v>0</v>
      </c>
      <c r="AZ1711">
        <v>0</v>
      </c>
      <c r="BA1711">
        <v>0</v>
      </c>
      <c r="BB1711">
        <v>0</v>
      </c>
      <c r="BC1711">
        <v>0</v>
      </c>
      <c r="BD1711">
        <v>0</v>
      </c>
      <c r="BE1711">
        <v>0</v>
      </c>
      <c r="BF1711">
        <v>0</v>
      </c>
      <c r="BG1711">
        <v>0</v>
      </c>
      <c r="BH1711">
        <v>1</v>
      </c>
      <c r="BI1711">
        <v>2</v>
      </c>
      <c r="BJ1711">
        <v>1.7</v>
      </c>
      <c r="BK1711">
        <v>2</v>
      </c>
      <c r="BL1711">
        <v>71.69</v>
      </c>
      <c r="BM1711">
        <v>10.75</v>
      </c>
      <c r="BN1711">
        <v>82.44</v>
      </c>
      <c r="BO1711">
        <v>82.44</v>
      </c>
      <c r="BQ1711" t="s">
        <v>237</v>
      </c>
      <c r="BR1711" t="s">
        <v>84</v>
      </c>
      <c r="BS1711" s="3">
        <v>45883</v>
      </c>
      <c r="BT1711" s="4">
        <v>0.35416666666666669</v>
      </c>
      <c r="BU1711" t="s">
        <v>650</v>
      </c>
      <c r="BV1711" t="s">
        <v>86</v>
      </c>
      <c r="BY1711">
        <v>8512</v>
      </c>
      <c r="CA1711" t="s">
        <v>239</v>
      </c>
      <c r="CC1711" t="s">
        <v>235</v>
      </c>
      <c r="CD1711" s="5" t="s">
        <v>240</v>
      </c>
      <c r="CE1711" t="s">
        <v>147</v>
      </c>
      <c r="CF1711" s="3">
        <v>45883</v>
      </c>
      <c r="CI1711">
        <v>1</v>
      </c>
      <c r="CJ1711">
        <v>1</v>
      </c>
      <c r="CK1711">
        <v>21</v>
      </c>
      <c r="CL1711" t="s">
        <v>90</v>
      </c>
    </row>
    <row r="1712" spans="1:90" x14ac:dyDescent="0.3">
      <c r="A1712" t="s">
        <v>72</v>
      </c>
      <c r="B1712" t="s">
        <v>73</v>
      </c>
      <c r="C1712" t="s">
        <v>74</v>
      </c>
      <c r="E1712" t="str">
        <f>"080067215153"</f>
        <v>080067215153</v>
      </c>
      <c r="F1712" s="3">
        <v>45882</v>
      </c>
      <c r="G1712">
        <v>202605</v>
      </c>
      <c r="H1712" t="s">
        <v>75</v>
      </c>
      <c r="I1712" t="s">
        <v>76</v>
      </c>
      <c r="J1712" t="s">
        <v>77</v>
      </c>
      <c r="K1712" t="s">
        <v>78</v>
      </c>
      <c r="L1712" t="s">
        <v>2214</v>
      </c>
      <c r="M1712" t="s">
        <v>2215</v>
      </c>
      <c r="N1712" t="s">
        <v>2216</v>
      </c>
      <c r="O1712" t="s">
        <v>82</v>
      </c>
      <c r="P1712" t="str">
        <f>"4170054480                    "</f>
        <v xml:space="preserve">4170054480                    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Q1712">
        <v>317.39</v>
      </c>
      <c r="AR1712">
        <v>0</v>
      </c>
      <c r="AS1712">
        <v>0</v>
      </c>
      <c r="AT1712">
        <v>0</v>
      </c>
      <c r="AU1712">
        <v>0</v>
      </c>
      <c r="AV1712">
        <v>0</v>
      </c>
      <c r="AW1712">
        <v>0</v>
      </c>
      <c r="AX1712">
        <v>0</v>
      </c>
      <c r="AY1712">
        <v>0</v>
      </c>
      <c r="AZ1712">
        <v>0</v>
      </c>
      <c r="BA1712">
        <v>0</v>
      </c>
      <c r="BB1712">
        <v>0</v>
      </c>
      <c r="BC1712">
        <v>0</v>
      </c>
      <c r="BD1712">
        <v>0</v>
      </c>
      <c r="BE1712">
        <v>0</v>
      </c>
      <c r="BF1712">
        <v>0</v>
      </c>
      <c r="BG1712">
        <v>0</v>
      </c>
      <c r="BH1712">
        <v>1</v>
      </c>
      <c r="BI1712">
        <v>10</v>
      </c>
      <c r="BJ1712">
        <v>15.2</v>
      </c>
      <c r="BK1712">
        <v>15.5</v>
      </c>
      <c r="BL1712">
        <v>985.57</v>
      </c>
      <c r="BM1712">
        <v>147.84</v>
      </c>
      <c r="BN1712">
        <v>1133.4100000000001</v>
      </c>
      <c r="BO1712">
        <v>1133.4100000000001</v>
      </c>
      <c r="BQ1712" t="s">
        <v>2217</v>
      </c>
      <c r="BR1712" t="s">
        <v>84</v>
      </c>
      <c r="BS1712" t="s">
        <v>96</v>
      </c>
      <c r="BY1712">
        <v>75919</v>
      </c>
      <c r="CC1712" t="s">
        <v>2215</v>
      </c>
      <c r="CD1712">
        <v>8446</v>
      </c>
      <c r="CE1712" t="s">
        <v>147</v>
      </c>
      <c r="CI1712">
        <v>1</v>
      </c>
      <c r="CJ1712" t="s">
        <v>96</v>
      </c>
      <c r="CK1712">
        <v>23</v>
      </c>
      <c r="CL1712" t="s">
        <v>90</v>
      </c>
    </row>
    <row r="1713" spans="1:90" x14ac:dyDescent="0.3">
      <c r="A1713" t="s">
        <v>72</v>
      </c>
      <c r="B1713" t="s">
        <v>73</v>
      </c>
      <c r="C1713" t="s">
        <v>74</v>
      </c>
      <c r="E1713" t="str">
        <f>"080067215178"</f>
        <v>080067215178</v>
      </c>
      <c r="F1713" s="3">
        <v>45882</v>
      </c>
      <c r="G1713">
        <v>202605</v>
      </c>
      <c r="H1713" t="s">
        <v>75</v>
      </c>
      <c r="I1713" t="s">
        <v>76</v>
      </c>
      <c r="J1713" t="s">
        <v>77</v>
      </c>
      <c r="K1713" t="s">
        <v>78</v>
      </c>
      <c r="L1713" t="s">
        <v>137</v>
      </c>
      <c r="M1713" t="s">
        <v>138</v>
      </c>
      <c r="N1713" t="s">
        <v>261</v>
      </c>
      <c r="O1713" t="s">
        <v>82</v>
      </c>
      <c r="P1713" t="str">
        <f>"4170054466                    "</f>
        <v xml:space="preserve">4170054466                    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Q1713">
        <v>144.18</v>
      </c>
      <c r="AR1713">
        <v>0</v>
      </c>
      <c r="AS1713">
        <v>0</v>
      </c>
      <c r="AT1713">
        <v>0</v>
      </c>
      <c r="AU1713">
        <v>0</v>
      </c>
      <c r="AV1713">
        <v>0</v>
      </c>
      <c r="AW1713">
        <v>0</v>
      </c>
      <c r="AX1713">
        <v>0</v>
      </c>
      <c r="AY1713">
        <v>0</v>
      </c>
      <c r="AZ1713">
        <v>0</v>
      </c>
      <c r="BA1713">
        <v>0</v>
      </c>
      <c r="BB1713">
        <v>0</v>
      </c>
      <c r="BC1713">
        <v>0</v>
      </c>
      <c r="BD1713">
        <v>0</v>
      </c>
      <c r="BE1713">
        <v>0</v>
      </c>
      <c r="BF1713">
        <v>0</v>
      </c>
      <c r="BG1713">
        <v>0</v>
      </c>
      <c r="BH1713">
        <v>1</v>
      </c>
      <c r="BI1713">
        <v>9</v>
      </c>
      <c r="BJ1713">
        <v>12.5</v>
      </c>
      <c r="BK1713">
        <v>12.5</v>
      </c>
      <c r="BL1713">
        <v>447.72</v>
      </c>
      <c r="BM1713">
        <v>67.16</v>
      </c>
      <c r="BN1713">
        <v>514.88</v>
      </c>
      <c r="BO1713">
        <v>514.88</v>
      </c>
      <c r="BQ1713" t="s">
        <v>262</v>
      </c>
      <c r="BR1713" t="s">
        <v>84</v>
      </c>
      <c r="BS1713" s="3">
        <v>45883</v>
      </c>
      <c r="BT1713" s="4">
        <v>0.42638888888888887</v>
      </c>
      <c r="BU1713" t="s">
        <v>263</v>
      </c>
      <c r="BV1713" t="s">
        <v>86</v>
      </c>
      <c r="BY1713">
        <v>62400</v>
      </c>
      <c r="CA1713" t="s">
        <v>264</v>
      </c>
      <c r="CC1713" t="s">
        <v>138</v>
      </c>
      <c r="CD1713">
        <v>3608</v>
      </c>
      <c r="CE1713" t="s">
        <v>147</v>
      </c>
      <c r="CF1713" s="3">
        <v>45883</v>
      </c>
      <c r="CI1713">
        <v>1</v>
      </c>
      <c r="CJ1713">
        <v>1</v>
      </c>
      <c r="CK1713">
        <v>21</v>
      </c>
      <c r="CL1713" t="s">
        <v>90</v>
      </c>
    </row>
    <row r="1714" spans="1:90" x14ac:dyDescent="0.3">
      <c r="A1714" t="s">
        <v>72</v>
      </c>
      <c r="B1714" t="s">
        <v>73</v>
      </c>
      <c r="C1714" t="s">
        <v>74</v>
      </c>
      <c r="E1714" t="str">
        <f>"080067215201"</f>
        <v>080067215201</v>
      </c>
      <c r="F1714" s="3">
        <v>45882</v>
      </c>
      <c r="G1714">
        <v>202605</v>
      </c>
      <c r="H1714" t="s">
        <v>75</v>
      </c>
      <c r="I1714" t="s">
        <v>76</v>
      </c>
      <c r="J1714" t="s">
        <v>77</v>
      </c>
      <c r="K1714" t="s">
        <v>78</v>
      </c>
      <c r="L1714" t="s">
        <v>123</v>
      </c>
      <c r="M1714" t="s">
        <v>124</v>
      </c>
      <c r="N1714" t="s">
        <v>406</v>
      </c>
      <c r="O1714" t="s">
        <v>82</v>
      </c>
      <c r="P1714" t="str">
        <f>"4170054478                    "</f>
        <v xml:space="preserve">4170054478                    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0</v>
      </c>
      <c r="AQ1714">
        <v>121.12</v>
      </c>
      <c r="AR1714">
        <v>0</v>
      </c>
      <c r="AS1714">
        <v>0</v>
      </c>
      <c r="AT1714">
        <v>0</v>
      </c>
      <c r="AU1714">
        <v>0</v>
      </c>
      <c r="AV1714">
        <v>0</v>
      </c>
      <c r="AW1714">
        <v>0</v>
      </c>
      <c r="AX1714">
        <v>0</v>
      </c>
      <c r="AY1714">
        <v>0</v>
      </c>
      <c r="AZ1714">
        <v>0</v>
      </c>
      <c r="BA1714">
        <v>0</v>
      </c>
      <c r="BB1714">
        <v>0</v>
      </c>
      <c r="BC1714">
        <v>0</v>
      </c>
      <c r="BD1714">
        <v>0</v>
      </c>
      <c r="BE1714">
        <v>0</v>
      </c>
      <c r="BF1714">
        <v>0</v>
      </c>
      <c r="BG1714">
        <v>0</v>
      </c>
      <c r="BH1714">
        <v>1</v>
      </c>
      <c r="BI1714">
        <v>10</v>
      </c>
      <c r="BJ1714">
        <v>10.3</v>
      </c>
      <c r="BK1714">
        <v>10.5</v>
      </c>
      <c r="BL1714">
        <v>376.1</v>
      </c>
      <c r="BM1714">
        <v>56.42</v>
      </c>
      <c r="BN1714">
        <v>432.52</v>
      </c>
      <c r="BO1714">
        <v>432.52</v>
      </c>
      <c r="BQ1714" t="s">
        <v>407</v>
      </c>
      <c r="BR1714" t="s">
        <v>84</v>
      </c>
      <c r="BS1714" s="3">
        <v>45883</v>
      </c>
      <c r="BT1714" s="4">
        <v>0.40486111111111112</v>
      </c>
      <c r="BU1714" t="s">
        <v>2360</v>
      </c>
      <c r="BV1714" t="s">
        <v>86</v>
      </c>
      <c r="BY1714">
        <v>51480</v>
      </c>
      <c r="CA1714" t="s">
        <v>2361</v>
      </c>
      <c r="CC1714" t="s">
        <v>124</v>
      </c>
      <c r="CD1714">
        <v>7441</v>
      </c>
      <c r="CE1714" t="s">
        <v>147</v>
      </c>
      <c r="CF1714" s="3">
        <v>45884</v>
      </c>
      <c r="CI1714">
        <v>1</v>
      </c>
      <c r="CJ1714">
        <v>1</v>
      </c>
      <c r="CK1714">
        <v>21</v>
      </c>
      <c r="CL1714" t="s">
        <v>90</v>
      </c>
    </row>
    <row r="1715" spans="1:90" x14ac:dyDescent="0.3">
      <c r="A1715" t="s">
        <v>72</v>
      </c>
      <c r="B1715" t="s">
        <v>73</v>
      </c>
      <c r="C1715" t="s">
        <v>74</v>
      </c>
      <c r="E1715" t="str">
        <f>"080067215229"</f>
        <v>080067215229</v>
      </c>
      <c r="F1715" s="3">
        <v>45882</v>
      </c>
      <c r="G1715">
        <v>202605</v>
      </c>
      <c r="H1715" t="s">
        <v>75</v>
      </c>
      <c r="I1715" t="s">
        <v>76</v>
      </c>
      <c r="J1715" t="s">
        <v>77</v>
      </c>
      <c r="K1715" t="s">
        <v>78</v>
      </c>
      <c r="L1715" t="s">
        <v>1880</v>
      </c>
      <c r="M1715" t="s">
        <v>1881</v>
      </c>
      <c r="N1715" t="s">
        <v>1882</v>
      </c>
      <c r="O1715" t="s">
        <v>113</v>
      </c>
      <c r="P1715" t="str">
        <f>"4170054479                    "</f>
        <v xml:space="preserve">4170054479                    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0</v>
      </c>
      <c r="AQ1715">
        <v>81.180000000000007</v>
      </c>
      <c r="AR1715">
        <v>0</v>
      </c>
      <c r="AS1715">
        <v>0</v>
      </c>
      <c r="AT1715">
        <v>0</v>
      </c>
      <c r="AU1715">
        <v>0</v>
      </c>
      <c r="AV1715">
        <v>0</v>
      </c>
      <c r="AW1715">
        <v>0</v>
      </c>
      <c r="AX1715">
        <v>0</v>
      </c>
      <c r="AY1715">
        <v>0</v>
      </c>
      <c r="AZ1715">
        <v>0</v>
      </c>
      <c r="BA1715">
        <v>0</v>
      </c>
      <c r="BB1715">
        <v>0</v>
      </c>
      <c r="BC1715">
        <v>0</v>
      </c>
      <c r="BD1715">
        <v>0</v>
      </c>
      <c r="BE1715">
        <v>0</v>
      </c>
      <c r="BF1715">
        <v>0</v>
      </c>
      <c r="BG1715">
        <v>0</v>
      </c>
      <c r="BH1715">
        <v>1</v>
      </c>
      <c r="BI1715">
        <v>4</v>
      </c>
      <c r="BJ1715">
        <v>4.5</v>
      </c>
      <c r="BK1715">
        <v>4.5</v>
      </c>
      <c r="BL1715">
        <v>252.08</v>
      </c>
      <c r="BM1715">
        <v>37.81</v>
      </c>
      <c r="BN1715">
        <v>289.89</v>
      </c>
      <c r="BO1715">
        <v>289.89</v>
      </c>
      <c r="BQ1715" t="s">
        <v>1883</v>
      </c>
      <c r="BR1715" t="s">
        <v>84</v>
      </c>
      <c r="BS1715" s="3">
        <v>45883</v>
      </c>
      <c r="BT1715" s="4">
        <v>0.41666666666666669</v>
      </c>
      <c r="BU1715" t="s">
        <v>2373</v>
      </c>
      <c r="BV1715" t="s">
        <v>86</v>
      </c>
      <c r="BY1715">
        <v>22620</v>
      </c>
      <c r="CA1715" t="s">
        <v>1125</v>
      </c>
      <c r="CC1715" t="s">
        <v>1881</v>
      </c>
      <c r="CD1715">
        <v>1438</v>
      </c>
      <c r="CE1715" t="s">
        <v>147</v>
      </c>
      <c r="CF1715" s="3">
        <v>45883</v>
      </c>
      <c r="CI1715">
        <v>1</v>
      </c>
      <c r="CJ1715">
        <v>1</v>
      </c>
      <c r="CK1715">
        <v>34</v>
      </c>
      <c r="CL1715" t="s">
        <v>90</v>
      </c>
    </row>
    <row r="1716" spans="1:90" x14ac:dyDescent="0.3">
      <c r="A1716" t="s">
        <v>72</v>
      </c>
      <c r="B1716" t="s">
        <v>73</v>
      </c>
      <c r="C1716" t="s">
        <v>74</v>
      </c>
      <c r="E1716" t="str">
        <f>"080067215257"</f>
        <v>080067215257</v>
      </c>
      <c r="F1716" s="3">
        <v>45882</v>
      </c>
      <c r="G1716">
        <v>202605</v>
      </c>
      <c r="H1716" t="s">
        <v>75</v>
      </c>
      <c r="I1716" t="s">
        <v>76</v>
      </c>
      <c r="J1716" t="s">
        <v>77</v>
      </c>
      <c r="K1716" t="s">
        <v>78</v>
      </c>
      <c r="L1716" t="s">
        <v>520</v>
      </c>
      <c r="M1716" t="s">
        <v>521</v>
      </c>
      <c r="N1716" t="s">
        <v>522</v>
      </c>
      <c r="O1716" t="s">
        <v>82</v>
      </c>
      <c r="P1716" t="str">
        <f>"4170054629                    "</f>
        <v xml:space="preserve">4170054629                    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0</v>
      </c>
      <c r="AQ1716">
        <v>44.73</v>
      </c>
      <c r="AR1716">
        <v>0</v>
      </c>
      <c r="AS1716">
        <v>0</v>
      </c>
      <c r="AT1716">
        <v>0</v>
      </c>
      <c r="AU1716">
        <v>0</v>
      </c>
      <c r="AV1716">
        <v>0</v>
      </c>
      <c r="AW1716">
        <v>0</v>
      </c>
      <c r="AX1716">
        <v>0</v>
      </c>
      <c r="AY1716">
        <v>0</v>
      </c>
      <c r="AZ1716">
        <v>0</v>
      </c>
      <c r="BA1716">
        <v>0</v>
      </c>
      <c r="BB1716">
        <v>0</v>
      </c>
      <c r="BC1716">
        <v>0</v>
      </c>
      <c r="BD1716">
        <v>0</v>
      </c>
      <c r="BE1716">
        <v>0</v>
      </c>
      <c r="BF1716">
        <v>0</v>
      </c>
      <c r="BG1716">
        <v>0</v>
      </c>
      <c r="BH1716">
        <v>1</v>
      </c>
      <c r="BI1716">
        <v>1</v>
      </c>
      <c r="BJ1716">
        <v>1.1000000000000001</v>
      </c>
      <c r="BK1716">
        <v>1.5</v>
      </c>
      <c r="BL1716">
        <v>138.88999999999999</v>
      </c>
      <c r="BM1716">
        <v>20.83</v>
      </c>
      <c r="BN1716">
        <v>159.72</v>
      </c>
      <c r="BO1716">
        <v>159.72</v>
      </c>
      <c r="BQ1716" t="s">
        <v>523</v>
      </c>
      <c r="BR1716" t="s">
        <v>84</v>
      </c>
      <c r="BS1716" s="3">
        <v>45883</v>
      </c>
      <c r="BT1716" s="4">
        <v>0.4375</v>
      </c>
      <c r="BU1716" t="s">
        <v>2374</v>
      </c>
      <c r="BV1716" t="s">
        <v>86</v>
      </c>
      <c r="BY1716">
        <v>5320</v>
      </c>
      <c r="CA1716" t="s">
        <v>525</v>
      </c>
      <c r="CC1716" t="s">
        <v>521</v>
      </c>
      <c r="CD1716">
        <v>1871</v>
      </c>
      <c r="CE1716" t="s">
        <v>147</v>
      </c>
      <c r="CF1716" s="3">
        <v>45884</v>
      </c>
      <c r="CI1716">
        <v>1</v>
      </c>
      <c r="CJ1716">
        <v>1</v>
      </c>
      <c r="CK1716">
        <v>23</v>
      </c>
      <c r="CL1716" t="s">
        <v>90</v>
      </c>
    </row>
    <row r="1717" spans="1:90" x14ac:dyDescent="0.3">
      <c r="A1717" t="s">
        <v>72</v>
      </c>
      <c r="B1717" t="s">
        <v>73</v>
      </c>
      <c r="C1717" t="s">
        <v>74</v>
      </c>
      <c r="E1717" t="str">
        <f>"080067215287"</f>
        <v>080067215287</v>
      </c>
      <c r="F1717" s="3">
        <v>45882</v>
      </c>
      <c r="G1717">
        <v>202605</v>
      </c>
      <c r="H1717" t="s">
        <v>75</v>
      </c>
      <c r="I1717" t="s">
        <v>76</v>
      </c>
      <c r="J1717" t="s">
        <v>77</v>
      </c>
      <c r="K1717" t="s">
        <v>78</v>
      </c>
      <c r="L1717" t="s">
        <v>118</v>
      </c>
      <c r="M1717" t="s">
        <v>118</v>
      </c>
      <c r="N1717" t="s">
        <v>1965</v>
      </c>
      <c r="O1717" t="s">
        <v>82</v>
      </c>
      <c r="P1717" t="str">
        <f>"4170054392                    "</f>
        <v xml:space="preserve">4170054392                    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0</v>
      </c>
      <c r="AQ1717">
        <v>105.32</v>
      </c>
      <c r="AR1717">
        <v>0</v>
      </c>
      <c r="AS1717">
        <v>0</v>
      </c>
      <c r="AT1717">
        <v>0</v>
      </c>
      <c r="AU1717">
        <v>0</v>
      </c>
      <c r="AV1717">
        <v>0</v>
      </c>
      <c r="AW1717">
        <v>0</v>
      </c>
      <c r="AX1717">
        <v>0</v>
      </c>
      <c r="AY1717">
        <v>0</v>
      </c>
      <c r="AZ1717">
        <v>0</v>
      </c>
      <c r="BA1717">
        <v>0</v>
      </c>
      <c r="BB1717">
        <v>0</v>
      </c>
      <c r="BC1717">
        <v>0</v>
      </c>
      <c r="BD1717">
        <v>0</v>
      </c>
      <c r="BE1717">
        <v>0</v>
      </c>
      <c r="BF1717">
        <v>0</v>
      </c>
      <c r="BG1717">
        <v>0</v>
      </c>
      <c r="BH1717">
        <v>1</v>
      </c>
      <c r="BI1717">
        <v>5</v>
      </c>
      <c r="BJ1717">
        <v>3.4</v>
      </c>
      <c r="BK1717">
        <v>5</v>
      </c>
      <c r="BL1717">
        <v>327.04000000000002</v>
      </c>
      <c r="BM1717">
        <v>49.06</v>
      </c>
      <c r="BN1717">
        <v>376.1</v>
      </c>
      <c r="BO1717">
        <v>376.1</v>
      </c>
      <c r="BQ1717" t="s">
        <v>1966</v>
      </c>
      <c r="BR1717" t="s">
        <v>84</v>
      </c>
      <c r="BS1717" s="3">
        <v>45883</v>
      </c>
      <c r="BT1717" s="4">
        <v>0.53888888888888886</v>
      </c>
      <c r="BU1717" t="s">
        <v>615</v>
      </c>
      <c r="BV1717" t="s">
        <v>86</v>
      </c>
      <c r="BY1717">
        <v>16965</v>
      </c>
      <c r="CA1717" t="s">
        <v>122</v>
      </c>
      <c r="CC1717" t="s">
        <v>118</v>
      </c>
      <c r="CD1717">
        <v>7646</v>
      </c>
      <c r="CE1717" t="s">
        <v>147</v>
      </c>
      <c r="CF1717" s="3">
        <v>45884</v>
      </c>
      <c r="CI1717">
        <v>1</v>
      </c>
      <c r="CJ1717">
        <v>1</v>
      </c>
      <c r="CK1717">
        <v>23</v>
      </c>
      <c r="CL1717" t="s">
        <v>90</v>
      </c>
    </row>
    <row r="1718" spans="1:90" x14ac:dyDescent="0.3">
      <c r="A1718" t="s">
        <v>72</v>
      </c>
      <c r="B1718" t="s">
        <v>73</v>
      </c>
      <c r="C1718" t="s">
        <v>74</v>
      </c>
      <c r="E1718" t="str">
        <f>"080067215312"</f>
        <v>080067215312</v>
      </c>
      <c r="F1718" s="3">
        <v>45882</v>
      </c>
      <c r="G1718">
        <v>202605</v>
      </c>
      <c r="H1718" t="s">
        <v>75</v>
      </c>
      <c r="I1718" t="s">
        <v>76</v>
      </c>
      <c r="J1718" t="s">
        <v>77</v>
      </c>
      <c r="K1718" t="s">
        <v>78</v>
      </c>
      <c r="L1718" t="s">
        <v>303</v>
      </c>
      <c r="M1718" t="s">
        <v>304</v>
      </c>
      <c r="N1718" t="s">
        <v>840</v>
      </c>
      <c r="O1718" t="s">
        <v>82</v>
      </c>
      <c r="P1718" t="str">
        <f>"4170054475                    "</f>
        <v xml:space="preserve">4170054475                    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0</v>
      </c>
      <c r="AQ1718">
        <v>44.73</v>
      </c>
      <c r="AR1718">
        <v>0</v>
      </c>
      <c r="AS1718">
        <v>0</v>
      </c>
      <c r="AT1718">
        <v>0</v>
      </c>
      <c r="AU1718">
        <v>0</v>
      </c>
      <c r="AV1718">
        <v>0</v>
      </c>
      <c r="AW1718">
        <v>0</v>
      </c>
      <c r="AX1718">
        <v>0</v>
      </c>
      <c r="AY1718">
        <v>0</v>
      </c>
      <c r="AZ1718">
        <v>0</v>
      </c>
      <c r="BA1718">
        <v>0</v>
      </c>
      <c r="BB1718">
        <v>0</v>
      </c>
      <c r="BC1718">
        <v>0</v>
      </c>
      <c r="BD1718">
        <v>0</v>
      </c>
      <c r="BE1718">
        <v>0</v>
      </c>
      <c r="BF1718">
        <v>0</v>
      </c>
      <c r="BG1718">
        <v>0</v>
      </c>
      <c r="BH1718">
        <v>1</v>
      </c>
      <c r="BI1718">
        <v>1</v>
      </c>
      <c r="BJ1718">
        <v>1.3</v>
      </c>
      <c r="BK1718">
        <v>1.5</v>
      </c>
      <c r="BL1718">
        <v>138.88999999999999</v>
      </c>
      <c r="BM1718">
        <v>20.83</v>
      </c>
      <c r="BN1718">
        <v>159.72</v>
      </c>
      <c r="BO1718">
        <v>159.72</v>
      </c>
      <c r="BQ1718" t="s">
        <v>841</v>
      </c>
      <c r="BR1718" t="s">
        <v>84</v>
      </c>
      <c r="BS1718" s="3">
        <v>45883</v>
      </c>
      <c r="BT1718" s="4">
        <v>0.46597222222222223</v>
      </c>
      <c r="BU1718" t="s">
        <v>1491</v>
      </c>
      <c r="BV1718" t="s">
        <v>86</v>
      </c>
      <c r="BY1718">
        <v>6384</v>
      </c>
      <c r="CA1718" t="s">
        <v>308</v>
      </c>
      <c r="CC1718" t="s">
        <v>304</v>
      </c>
      <c r="CD1718">
        <v>7130</v>
      </c>
      <c r="CE1718" t="s">
        <v>147</v>
      </c>
      <c r="CF1718" s="3">
        <v>45884</v>
      </c>
      <c r="CI1718">
        <v>1</v>
      </c>
      <c r="CJ1718">
        <v>1</v>
      </c>
      <c r="CK1718">
        <v>23</v>
      </c>
      <c r="CL1718" t="s">
        <v>90</v>
      </c>
    </row>
    <row r="1719" spans="1:90" x14ac:dyDescent="0.3">
      <c r="A1719" t="s">
        <v>72</v>
      </c>
      <c r="B1719" t="s">
        <v>73</v>
      </c>
      <c r="C1719" t="s">
        <v>74</v>
      </c>
      <c r="E1719" t="str">
        <f>"080067215339"</f>
        <v>080067215339</v>
      </c>
      <c r="F1719" s="3">
        <v>45882</v>
      </c>
      <c r="G1719">
        <v>202605</v>
      </c>
      <c r="H1719" t="s">
        <v>75</v>
      </c>
      <c r="I1719" t="s">
        <v>76</v>
      </c>
      <c r="J1719" t="s">
        <v>77</v>
      </c>
      <c r="K1719" t="s">
        <v>78</v>
      </c>
      <c r="L1719" t="s">
        <v>278</v>
      </c>
      <c r="M1719" t="s">
        <v>279</v>
      </c>
      <c r="N1719" t="s">
        <v>280</v>
      </c>
      <c r="O1719" t="s">
        <v>82</v>
      </c>
      <c r="P1719" t="str">
        <f>"4170054401                    "</f>
        <v xml:space="preserve">4170054401                    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0</v>
      </c>
      <c r="AQ1719">
        <v>23.09</v>
      </c>
      <c r="AR1719">
        <v>0</v>
      </c>
      <c r="AS1719">
        <v>0</v>
      </c>
      <c r="AT1719">
        <v>0</v>
      </c>
      <c r="AU1719">
        <v>0</v>
      </c>
      <c r="AV1719">
        <v>0</v>
      </c>
      <c r="AW1719">
        <v>0</v>
      </c>
      <c r="AX1719">
        <v>0</v>
      </c>
      <c r="AY1719">
        <v>0</v>
      </c>
      <c r="AZ1719">
        <v>0</v>
      </c>
      <c r="BA1719">
        <v>0</v>
      </c>
      <c r="BB1719">
        <v>0</v>
      </c>
      <c r="BC1719">
        <v>0</v>
      </c>
      <c r="BD1719">
        <v>0</v>
      </c>
      <c r="BE1719">
        <v>0</v>
      </c>
      <c r="BF1719">
        <v>0</v>
      </c>
      <c r="BG1719">
        <v>0</v>
      </c>
      <c r="BH1719">
        <v>1</v>
      </c>
      <c r="BI1719">
        <v>1</v>
      </c>
      <c r="BJ1719">
        <v>0.9</v>
      </c>
      <c r="BK1719">
        <v>1</v>
      </c>
      <c r="BL1719">
        <v>71.69</v>
      </c>
      <c r="BM1719">
        <v>10.75</v>
      </c>
      <c r="BN1719">
        <v>82.44</v>
      </c>
      <c r="BO1719">
        <v>82.44</v>
      </c>
      <c r="BQ1719" t="s">
        <v>281</v>
      </c>
      <c r="BR1719" t="s">
        <v>84</v>
      </c>
      <c r="BS1719" s="3">
        <v>45883</v>
      </c>
      <c r="BT1719" s="4">
        <v>0.64027777777777772</v>
      </c>
      <c r="BU1719" t="s">
        <v>282</v>
      </c>
      <c r="BV1719" t="s">
        <v>86</v>
      </c>
      <c r="BY1719">
        <v>4275</v>
      </c>
      <c r="CA1719" t="s">
        <v>283</v>
      </c>
      <c r="CC1719" t="s">
        <v>279</v>
      </c>
      <c r="CD1719" s="5" t="s">
        <v>284</v>
      </c>
      <c r="CE1719" t="s">
        <v>147</v>
      </c>
      <c r="CF1719" s="3">
        <v>45883</v>
      </c>
      <c r="CI1719">
        <v>1</v>
      </c>
      <c r="CJ1719">
        <v>1</v>
      </c>
      <c r="CK1719">
        <v>21</v>
      </c>
      <c r="CL1719" t="s">
        <v>90</v>
      </c>
    </row>
    <row r="1720" spans="1:90" x14ac:dyDescent="0.3">
      <c r="A1720" t="s">
        <v>72</v>
      </c>
      <c r="B1720" t="s">
        <v>73</v>
      </c>
      <c r="C1720" t="s">
        <v>74</v>
      </c>
      <c r="E1720" t="str">
        <f>"080067215379"</f>
        <v>080067215379</v>
      </c>
      <c r="F1720" s="3">
        <v>45882</v>
      </c>
      <c r="G1720">
        <v>202605</v>
      </c>
      <c r="H1720" t="s">
        <v>75</v>
      </c>
      <c r="I1720" t="s">
        <v>76</v>
      </c>
      <c r="J1720" t="s">
        <v>77</v>
      </c>
      <c r="K1720" t="s">
        <v>78</v>
      </c>
      <c r="L1720" t="s">
        <v>123</v>
      </c>
      <c r="M1720" t="s">
        <v>124</v>
      </c>
      <c r="N1720" t="s">
        <v>1751</v>
      </c>
      <c r="O1720" t="s">
        <v>82</v>
      </c>
      <c r="P1720" t="str">
        <f>"4170054437                    "</f>
        <v xml:space="preserve">4170054437                    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>
        <v>23.09</v>
      </c>
      <c r="AR1720">
        <v>0</v>
      </c>
      <c r="AS1720">
        <v>0</v>
      </c>
      <c r="AT1720">
        <v>0</v>
      </c>
      <c r="AU1720">
        <v>0</v>
      </c>
      <c r="AV1720">
        <v>0</v>
      </c>
      <c r="AW1720">
        <v>0</v>
      </c>
      <c r="AX1720">
        <v>0</v>
      </c>
      <c r="AY1720">
        <v>0</v>
      </c>
      <c r="AZ1720">
        <v>0</v>
      </c>
      <c r="BA1720">
        <v>0</v>
      </c>
      <c r="BB1720">
        <v>0</v>
      </c>
      <c r="BC1720">
        <v>0</v>
      </c>
      <c r="BD1720">
        <v>0</v>
      </c>
      <c r="BE1720">
        <v>0</v>
      </c>
      <c r="BF1720">
        <v>0</v>
      </c>
      <c r="BG1720">
        <v>0</v>
      </c>
      <c r="BH1720">
        <v>1</v>
      </c>
      <c r="BI1720">
        <v>1</v>
      </c>
      <c r="BJ1720">
        <v>0.2</v>
      </c>
      <c r="BK1720">
        <v>1</v>
      </c>
      <c r="BL1720">
        <v>71.69</v>
      </c>
      <c r="BM1720">
        <v>10.75</v>
      </c>
      <c r="BN1720">
        <v>82.44</v>
      </c>
      <c r="BO1720">
        <v>82.44</v>
      </c>
      <c r="BQ1720" t="s">
        <v>1752</v>
      </c>
      <c r="BR1720" t="s">
        <v>84</v>
      </c>
      <c r="BS1720" s="3">
        <v>45883</v>
      </c>
      <c r="BT1720" s="4">
        <v>0.37847222222222221</v>
      </c>
      <c r="BU1720" t="s">
        <v>2375</v>
      </c>
      <c r="BV1720" t="s">
        <v>86</v>
      </c>
      <c r="BY1720">
        <v>1200</v>
      </c>
      <c r="CA1720" t="s">
        <v>1753</v>
      </c>
      <c r="CC1720" t="s">
        <v>124</v>
      </c>
      <c r="CD1720">
        <v>8000</v>
      </c>
      <c r="CE1720" t="s">
        <v>109</v>
      </c>
      <c r="CF1720" s="3">
        <v>45884</v>
      </c>
      <c r="CI1720">
        <v>1</v>
      </c>
      <c r="CJ1720">
        <v>1</v>
      </c>
      <c r="CK1720">
        <v>21</v>
      </c>
      <c r="CL1720" t="s">
        <v>90</v>
      </c>
    </row>
    <row r="1721" spans="1:90" x14ac:dyDescent="0.3">
      <c r="A1721" t="s">
        <v>72</v>
      </c>
      <c r="B1721" t="s">
        <v>73</v>
      </c>
      <c r="C1721" t="s">
        <v>74</v>
      </c>
      <c r="E1721" t="str">
        <f>"080067215412"</f>
        <v>080067215412</v>
      </c>
      <c r="F1721" s="3">
        <v>45882</v>
      </c>
      <c r="G1721">
        <v>202605</v>
      </c>
      <c r="H1721" t="s">
        <v>75</v>
      </c>
      <c r="I1721" t="s">
        <v>76</v>
      </c>
      <c r="J1721" t="s">
        <v>77</v>
      </c>
      <c r="K1721" t="s">
        <v>78</v>
      </c>
      <c r="L1721" t="s">
        <v>297</v>
      </c>
      <c r="M1721" t="s">
        <v>298</v>
      </c>
      <c r="N1721" t="s">
        <v>299</v>
      </c>
      <c r="O1721" t="s">
        <v>82</v>
      </c>
      <c r="P1721" t="str">
        <f>"4170054561                    "</f>
        <v xml:space="preserve">4170054561                    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0</v>
      </c>
      <c r="AQ1721">
        <v>23.09</v>
      </c>
      <c r="AR1721">
        <v>0</v>
      </c>
      <c r="AS1721">
        <v>0</v>
      </c>
      <c r="AT1721">
        <v>0</v>
      </c>
      <c r="AU1721">
        <v>0</v>
      </c>
      <c r="AV1721">
        <v>0</v>
      </c>
      <c r="AW1721">
        <v>0</v>
      </c>
      <c r="AX1721">
        <v>0</v>
      </c>
      <c r="AY1721">
        <v>0</v>
      </c>
      <c r="AZ1721">
        <v>0</v>
      </c>
      <c r="BA1721">
        <v>0</v>
      </c>
      <c r="BB1721">
        <v>0</v>
      </c>
      <c r="BC1721">
        <v>0</v>
      </c>
      <c r="BD1721">
        <v>0</v>
      </c>
      <c r="BE1721">
        <v>0</v>
      </c>
      <c r="BF1721">
        <v>0</v>
      </c>
      <c r="BG1721">
        <v>0</v>
      </c>
      <c r="BH1721">
        <v>1</v>
      </c>
      <c r="BI1721">
        <v>1</v>
      </c>
      <c r="BJ1721">
        <v>0.2</v>
      </c>
      <c r="BK1721">
        <v>1</v>
      </c>
      <c r="BL1721">
        <v>71.69</v>
      </c>
      <c r="BM1721">
        <v>10.75</v>
      </c>
      <c r="BN1721">
        <v>82.44</v>
      </c>
      <c r="BO1721">
        <v>82.44</v>
      </c>
      <c r="BQ1721" t="s">
        <v>300</v>
      </c>
      <c r="BR1721" t="s">
        <v>84</v>
      </c>
      <c r="BS1721" s="3">
        <v>45883</v>
      </c>
      <c r="BT1721" s="4">
        <v>0.48402777777777778</v>
      </c>
      <c r="BU1721" t="s">
        <v>301</v>
      </c>
      <c r="BV1721" t="s">
        <v>90</v>
      </c>
      <c r="BW1721" t="s">
        <v>134</v>
      </c>
      <c r="BX1721" t="s">
        <v>1573</v>
      </c>
      <c r="BY1721">
        <v>1200</v>
      </c>
      <c r="CA1721" t="s">
        <v>302</v>
      </c>
      <c r="CC1721" t="s">
        <v>298</v>
      </c>
      <c r="CD1721">
        <v>4302</v>
      </c>
      <c r="CE1721" t="s">
        <v>109</v>
      </c>
      <c r="CF1721" s="3">
        <v>45883</v>
      </c>
      <c r="CI1721">
        <v>1</v>
      </c>
      <c r="CJ1721">
        <v>1</v>
      </c>
      <c r="CK1721">
        <v>21</v>
      </c>
      <c r="CL1721" t="s">
        <v>90</v>
      </c>
    </row>
    <row r="1722" spans="1:90" x14ac:dyDescent="0.3">
      <c r="A1722" t="s">
        <v>72</v>
      </c>
      <c r="B1722" t="s">
        <v>73</v>
      </c>
      <c r="C1722" t="s">
        <v>74</v>
      </c>
      <c r="E1722" t="str">
        <f>"080067215473"</f>
        <v>080067215473</v>
      </c>
      <c r="F1722" s="3">
        <v>45882</v>
      </c>
      <c r="G1722">
        <v>202605</v>
      </c>
      <c r="H1722" t="s">
        <v>75</v>
      </c>
      <c r="I1722" t="s">
        <v>76</v>
      </c>
      <c r="J1722" t="s">
        <v>77</v>
      </c>
      <c r="K1722" t="s">
        <v>78</v>
      </c>
      <c r="L1722" t="s">
        <v>118</v>
      </c>
      <c r="M1722" t="s">
        <v>118</v>
      </c>
      <c r="N1722" t="s">
        <v>1965</v>
      </c>
      <c r="O1722" t="s">
        <v>82</v>
      </c>
      <c r="P1722" t="str">
        <f>"4170054503                    "</f>
        <v xml:space="preserve">4170054503                    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Q1722">
        <v>44.73</v>
      </c>
      <c r="AR1722">
        <v>0</v>
      </c>
      <c r="AS1722">
        <v>0</v>
      </c>
      <c r="AT1722">
        <v>0</v>
      </c>
      <c r="AU1722">
        <v>0</v>
      </c>
      <c r="AV1722">
        <v>0</v>
      </c>
      <c r="AW1722">
        <v>0</v>
      </c>
      <c r="AX1722">
        <v>0</v>
      </c>
      <c r="AY1722">
        <v>0</v>
      </c>
      <c r="AZ1722">
        <v>0</v>
      </c>
      <c r="BA1722">
        <v>0</v>
      </c>
      <c r="BB1722">
        <v>0</v>
      </c>
      <c r="BC1722">
        <v>0</v>
      </c>
      <c r="BD1722">
        <v>0</v>
      </c>
      <c r="BE1722">
        <v>0</v>
      </c>
      <c r="BF1722">
        <v>0</v>
      </c>
      <c r="BG1722">
        <v>0</v>
      </c>
      <c r="BH1722">
        <v>1</v>
      </c>
      <c r="BI1722">
        <v>1</v>
      </c>
      <c r="BJ1722">
        <v>0.2</v>
      </c>
      <c r="BK1722">
        <v>1</v>
      </c>
      <c r="BL1722">
        <v>138.88999999999999</v>
      </c>
      <c r="BM1722">
        <v>20.83</v>
      </c>
      <c r="BN1722">
        <v>159.72</v>
      </c>
      <c r="BO1722">
        <v>159.72</v>
      </c>
      <c r="BQ1722" t="s">
        <v>1966</v>
      </c>
      <c r="BR1722" t="s">
        <v>84</v>
      </c>
      <c r="BS1722" s="3">
        <v>45883</v>
      </c>
      <c r="BT1722" s="4">
        <v>0.53888888888888886</v>
      </c>
      <c r="BU1722" t="s">
        <v>615</v>
      </c>
      <c r="BV1722" t="s">
        <v>86</v>
      </c>
      <c r="BY1722">
        <v>1200</v>
      </c>
      <c r="CA1722" t="s">
        <v>122</v>
      </c>
      <c r="CC1722" t="s">
        <v>118</v>
      </c>
      <c r="CD1722">
        <v>7646</v>
      </c>
      <c r="CE1722" t="s">
        <v>109</v>
      </c>
      <c r="CF1722" s="3">
        <v>45884</v>
      </c>
      <c r="CI1722">
        <v>1</v>
      </c>
      <c r="CJ1722">
        <v>1</v>
      </c>
      <c r="CK1722">
        <v>23</v>
      </c>
      <c r="CL1722" t="s">
        <v>90</v>
      </c>
    </row>
    <row r="1723" spans="1:90" x14ac:dyDescent="0.3">
      <c r="A1723" t="s">
        <v>72</v>
      </c>
      <c r="B1723" t="s">
        <v>73</v>
      </c>
      <c r="C1723" t="s">
        <v>74</v>
      </c>
      <c r="E1723" t="str">
        <f>"080067215484"</f>
        <v>080067215484</v>
      </c>
      <c r="F1723" s="3">
        <v>45882</v>
      </c>
      <c r="G1723">
        <v>202605</v>
      </c>
      <c r="H1723" t="s">
        <v>75</v>
      </c>
      <c r="I1723" t="s">
        <v>76</v>
      </c>
      <c r="J1723" t="s">
        <v>77</v>
      </c>
      <c r="K1723" t="s">
        <v>78</v>
      </c>
      <c r="L1723" t="s">
        <v>79</v>
      </c>
      <c r="M1723" t="s">
        <v>80</v>
      </c>
      <c r="N1723" t="s">
        <v>1154</v>
      </c>
      <c r="O1723" t="s">
        <v>82</v>
      </c>
      <c r="P1723" t="str">
        <f>"4170054426                    "</f>
        <v xml:space="preserve">4170054426                    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Q1723">
        <v>18.03</v>
      </c>
      <c r="AR1723">
        <v>0</v>
      </c>
      <c r="AS1723">
        <v>0</v>
      </c>
      <c r="AT1723">
        <v>0</v>
      </c>
      <c r="AU1723">
        <v>0</v>
      </c>
      <c r="AV1723">
        <v>0</v>
      </c>
      <c r="AW1723">
        <v>0</v>
      </c>
      <c r="AX1723">
        <v>0</v>
      </c>
      <c r="AY1723">
        <v>0</v>
      </c>
      <c r="AZ1723">
        <v>0</v>
      </c>
      <c r="BA1723">
        <v>0</v>
      </c>
      <c r="BB1723">
        <v>0</v>
      </c>
      <c r="BC1723">
        <v>0</v>
      </c>
      <c r="BD1723">
        <v>0</v>
      </c>
      <c r="BE1723">
        <v>0</v>
      </c>
      <c r="BF1723">
        <v>0</v>
      </c>
      <c r="BG1723">
        <v>0</v>
      </c>
      <c r="BH1723">
        <v>1</v>
      </c>
      <c r="BI1723">
        <v>1</v>
      </c>
      <c r="BJ1723">
        <v>0.2</v>
      </c>
      <c r="BK1723">
        <v>1</v>
      </c>
      <c r="BL1723">
        <v>55.99</v>
      </c>
      <c r="BM1723">
        <v>8.4</v>
      </c>
      <c r="BN1723">
        <v>64.39</v>
      </c>
      <c r="BO1723">
        <v>64.39</v>
      </c>
      <c r="BQ1723" t="s">
        <v>1155</v>
      </c>
      <c r="BR1723" t="s">
        <v>84</v>
      </c>
      <c r="BS1723" s="3">
        <v>45883</v>
      </c>
      <c r="BT1723" s="4">
        <v>0.36319444444444443</v>
      </c>
      <c r="BU1723" t="s">
        <v>1156</v>
      </c>
      <c r="BV1723" t="s">
        <v>86</v>
      </c>
      <c r="BY1723">
        <v>1200</v>
      </c>
      <c r="CA1723" t="s">
        <v>188</v>
      </c>
      <c r="CC1723" t="s">
        <v>80</v>
      </c>
      <c r="CD1723">
        <v>1401</v>
      </c>
      <c r="CE1723" t="s">
        <v>109</v>
      </c>
      <c r="CF1723" s="3">
        <v>45883</v>
      </c>
      <c r="CI1723">
        <v>1</v>
      </c>
      <c r="CJ1723">
        <v>1</v>
      </c>
      <c r="CK1723">
        <v>22</v>
      </c>
      <c r="CL1723" t="s">
        <v>90</v>
      </c>
    </row>
    <row r="1724" spans="1:90" x14ac:dyDescent="0.3">
      <c r="A1724" t="s">
        <v>72</v>
      </c>
      <c r="B1724" t="s">
        <v>73</v>
      </c>
      <c r="C1724" t="s">
        <v>74</v>
      </c>
      <c r="E1724" t="str">
        <f>"080067215512"</f>
        <v>080067215512</v>
      </c>
      <c r="F1724" s="3">
        <v>45882</v>
      </c>
      <c r="G1724">
        <v>202605</v>
      </c>
      <c r="H1724" t="s">
        <v>75</v>
      </c>
      <c r="I1724" t="s">
        <v>76</v>
      </c>
      <c r="J1724" t="s">
        <v>77</v>
      </c>
      <c r="K1724" t="s">
        <v>78</v>
      </c>
      <c r="L1724" t="s">
        <v>162</v>
      </c>
      <c r="M1724" t="s">
        <v>163</v>
      </c>
      <c r="N1724" t="s">
        <v>764</v>
      </c>
      <c r="O1724" t="s">
        <v>82</v>
      </c>
      <c r="P1724" t="str">
        <f>"4170054663                    "</f>
        <v xml:space="preserve">4170054663                    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0</v>
      </c>
      <c r="AQ1724">
        <v>23.09</v>
      </c>
      <c r="AR1724">
        <v>0</v>
      </c>
      <c r="AS1724">
        <v>0</v>
      </c>
      <c r="AT1724">
        <v>0</v>
      </c>
      <c r="AU1724">
        <v>0</v>
      </c>
      <c r="AV1724">
        <v>0</v>
      </c>
      <c r="AW1724">
        <v>16.739999999999998</v>
      </c>
      <c r="AX1724">
        <v>0</v>
      </c>
      <c r="AY1724">
        <v>0</v>
      </c>
      <c r="AZ1724">
        <v>0</v>
      </c>
      <c r="BA1724">
        <v>0</v>
      </c>
      <c r="BB1724">
        <v>0</v>
      </c>
      <c r="BC1724">
        <v>0</v>
      </c>
      <c r="BD1724">
        <v>0</v>
      </c>
      <c r="BE1724">
        <v>0</v>
      </c>
      <c r="BF1724">
        <v>0</v>
      </c>
      <c r="BG1724">
        <v>0</v>
      </c>
      <c r="BH1724">
        <v>1</v>
      </c>
      <c r="BI1724">
        <v>1</v>
      </c>
      <c r="BJ1724">
        <v>0.2</v>
      </c>
      <c r="BK1724">
        <v>1</v>
      </c>
      <c r="BL1724">
        <v>88.43</v>
      </c>
      <c r="BM1724">
        <v>13.26</v>
      </c>
      <c r="BN1724">
        <v>101.69</v>
      </c>
      <c r="BO1724">
        <v>101.69</v>
      </c>
      <c r="BQ1724" t="s">
        <v>765</v>
      </c>
      <c r="BR1724" t="s">
        <v>84</v>
      </c>
      <c r="BS1724" s="3">
        <v>45883</v>
      </c>
      <c r="BT1724" s="4">
        <v>0.41666666666666669</v>
      </c>
      <c r="BU1724" t="s">
        <v>2376</v>
      </c>
      <c r="BV1724" t="s">
        <v>86</v>
      </c>
      <c r="BY1724">
        <v>1200</v>
      </c>
      <c r="BZ1724" t="s">
        <v>30</v>
      </c>
      <c r="CC1724" t="s">
        <v>163</v>
      </c>
      <c r="CD1724">
        <v>3699</v>
      </c>
      <c r="CE1724" t="s">
        <v>109</v>
      </c>
      <c r="CF1724" s="3">
        <v>45884</v>
      </c>
      <c r="CI1724">
        <v>1</v>
      </c>
      <c r="CJ1724">
        <v>1</v>
      </c>
      <c r="CK1724">
        <v>21</v>
      </c>
      <c r="CL1724" t="s">
        <v>90</v>
      </c>
    </row>
    <row r="1725" spans="1:90" x14ac:dyDescent="0.3">
      <c r="A1725" t="s">
        <v>72</v>
      </c>
      <c r="B1725" t="s">
        <v>73</v>
      </c>
      <c r="C1725" t="s">
        <v>74</v>
      </c>
      <c r="E1725" t="str">
        <f>"080067215531"</f>
        <v>080067215531</v>
      </c>
      <c r="F1725" s="3">
        <v>45882</v>
      </c>
      <c r="G1725">
        <v>202605</v>
      </c>
      <c r="H1725" t="s">
        <v>75</v>
      </c>
      <c r="I1725" t="s">
        <v>76</v>
      </c>
      <c r="J1725" t="s">
        <v>77</v>
      </c>
      <c r="K1725" t="s">
        <v>78</v>
      </c>
      <c r="L1725" t="s">
        <v>217</v>
      </c>
      <c r="M1725" t="s">
        <v>218</v>
      </c>
      <c r="N1725" t="s">
        <v>544</v>
      </c>
      <c r="O1725" t="s">
        <v>82</v>
      </c>
      <c r="P1725" t="str">
        <f>"4170054459                    "</f>
        <v xml:space="preserve">4170054459                    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0</v>
      </c>
      <c r="AQ1725">
        <v>23.09</v>
      </c>
      <c r="AR1725">
        <v>0</v>
      </c>
      <c r="AS1725">
        <v>0</v>
      </c>
      <c r="AT1725">
        <v>0</v>
      </c>
      <c r="AU1725">
        <v>0</v>
      </c>
      <c r="AV1725">
        <v>0</v>
      </c>
      <c r="AW1725">
        <v>0</v>
      </c>
      <c r="AX1725">
        <v>0</v>
      </c>
      <c r="AY1725">
        <v>0</v>
      </c>
      <c r="AZ1725">
        <v>0</v>
      </c>
      <c r="BA1725">
        <v>0</v>
      </c>
      <c r="BB1725">
        <v>0</v>
      </c>
      <c r="BC1725">
        <v>0</v>
      </c>
      <c r="BD1725">
        <v>0</v>
      </c>
      <c r="BE1725">
        <v>0</v>
      </c>
      <c r="BF1725">
        <v>0</v>
      </c>
      <c r="BG1725">
        <v>0</v>
      </c>
      <c r="BH1725">
        <v>1</v>
      </c>
      <c r="BI1725">
        <v>1</v>
      </c>
      <c r="BJ1725">
        <v>0.9</v>
      </c>
      <c r="BK1725">
        <v>1</v>
      </c>
      <c r="BL1725">
        <v>71.69</v>
      </c>
      <c r="BM1725">
        <v>10.75</v>
      </c>
      <c r="BN1725">
        <v>82.44</v>
      </c>
      <c r="BO1725">
        <v>82.44</v>
      </c>
      <c r="BQ1725" t="s">
        <v>545</v>
      </c>
      <c r="BR1725" t="s">
        <v>84</v>
      </c>
      <c r="BS1725" s="3">
        <v>45883</v>
      </c>
      <c r="BT1725" s="4">
        <v>0.45555555555555555</v>
      </c>
      <c r="BU1725" t="s">
        <v>2377</v>
      </c>
      <c r="BV1725" t="s">
        <v>90</v>
      </c>
      <c r="BW1725" t="s">
        <v>134</v>
      </c>
      <c r="BX1725" t="s">
        <v>1573</v>
      </c>
      <c r="BY1725">
        <v>4408</v>
      </c>
      <c r="CA1725" t="s">
        <v>953</v>
      </c>
      <c r="CC1725" t="s">
        <v>218</v>
      </c>
      <c r="CD1725">
        <v>4000</v>
      </c>
      <c r="CE1725" t="s">
        <v>147</v>
      </c>
      <c r="CF1725" s="3">
        <v>45883</v>
      </c>
      <c r="CI1725">
        <v>1</v>
      </c>
      <c r="CJ1725">
        <v>1</v>
      </c>
      <c r="CK1725">
        <v>21</v>
      </c>
      <c r="CL1725" t="s">
        <v>90</v>
      </c>
    </row>
    <row r="1726" spans="1:90" x14ac:dyDescent="0.3">
      <c r="A1726" t="s">
        <v>72</v>
      </c>
      <c r="B1726" t="s">
        <v>73</v>
      </c>
      <c r="C1726" t="s">
        <v>74</v>
      </c>
      <c r="E1726" t="str">
        <f>"080067215538"</f>
        <v>080067215538</v>
      </c>
      <c r="F1726" s="3">
        <v>45882</v>
      </c>
      <c r="G1726">
        <v>202605</v>
      </c>
      <c r="H1726" t="s">
        <v>75</v>
      </c>
      <c r="I1726" t="s">
        <v>76</v>
      </c>
      <c r="J1726" t="s">
        <v>77</v>
      </c>
      <c r="K1726" t="s">
        <v>78</v>
      </c>
      <c r="L1726" t="s">
        <v>325</v>
      </c>
      <c r="M1726" t="s">
        <v>326</v>
      </c>
      <c r="N1726" t="s">
        <v>754</v>
      </c>
      <c r="O1726" t="s">
        <v>82</v>
      </c>
      <c r="P1726" t="str">
        <f>"4170054408                    "</f>
        <v xml:space="preserve">4170054408                    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0</v>
      </c>
      <c r="AQ1726">
        <v>18.03</v>
      </c>
      <c r="AR1726">
        <v>0</v>
      </c>
      <c r="AS1726">
        <v>0</v>
      </c>
      <c r="AT1726">
        <v>0</v>
      </c>
      <c r="AU1726">
        <v>0</v>
      </c>
      <c r="AV1726">
        <v>0</v>
      </c>
      <c r="AW1726">
        <v>0</v>
      </c>
      <c r="AX1726">
        <v>0</v>
      </c>
      <c r="AY1726">
        <v>0</v>
      </c>
      <c r="AZ1726">
        <v>0</v>
      </c>
      <c r="BA1726">
        <v>0</v>
      </c>
      <c r="BB1726">
        <v>0</v>
      </c>
      <c r="BC1726">
        <v>0</v>
      </c>
      <c r="BD1726">
        <v>0</v>
      </c>
      <c r="BE1726">
        <v>0</v>
      </c>
      <c r="BF1726">
        <v>0</v>
      </c>
      <c r="BG1726">
        <v>0</v>
      </c>
      <c r="BH1726">
        <v>1</v>
      </c>
      <c r="BI1726">
        <v>1</v>
      </c>
      <c r="BJ1726">
        <v>0.2</v>
      </c>
      <c r="BK1726">
        <v>1</v>
      </c>
      <c r="BL1726">
        <v>55.99</v>
      </c>
      <c r="BM1726">
        <v>8.4</v>
      </c>
      <c r="BN1726">
        <v>64.39</v>
      </c>
      <c r="BO1726">
        <v>64.39</v>
      </c>
      <c r="BQ1726" t="s">
        <v>755</v>
      </c>
      <c r="BR1726" t="s">
        <v>84</v>
      </c>
      <c r="BS1726" s="3">
        <v>45883</v>
      </c>
      <c r="BT1726" s="4">
        <v>0.41666666666666669</v>
      </c>
      <c r="BU1726" t="s">
        <v>2378</v>
      </c>
      <c r="BV1726" t="s">
        <v>86</v>
      </c>
      <c r="BY1726">
        <v>1200</v>
      </c>
      <c r="CA1726" t="s">
        <v>2379</v>
      </c>
      <c r="CC1726" t="s">
        <v>326</v>
      </c>
      <c r="CD1726">
        <v>2094</v>
      </c>
      <c r="CE1726" t="s">
        <v>109</v>
      </c>
      <c r="CF1726" s="3">
        <v>45883</v>
      </c>
      <c r="CI1726">
        <v>1</v>
      </c>
      <c r="CJ1726">
        <v>1</v>
      </c>
      <c r="CK1726">
        <v>22</v>
      </c>
      <c r="CL1726" t="s">
        <v>90</v>
      </c>
    </row>
    <row r="1727" spans="1:90" x14ac:dyDescent="0.3">
      <c r="A1727" t="s">
        <v>72</v>
      </c>
      <c r="B1727" t="s">
        <v>73</v>
      </c>
      <c r="C1727" t="s">
        <v>74</v>
      </c>
      <c r="E1727" t="str">
        <f>"080067215563"</f>
        <v>080067215563</v>
      </c>
      <c r="F1727" s="3">
        <v>45882</v>
      </c>
      <c r="G1727">
        <v>202605</v>
      </c>
      <c r="H1727" t="s">
        <v>75</v>
      </c>
      <c r="I1727" t="s">
        <v>76</v>
      </c>
      <c r="J1727" t="s">
        <v>77</v>
      </c>
      <c r="K1727" t="s">
        <v>78</v>
      </c>
      <c r="L1727" t="s">
        <v>193</v>
      </c>
      <c r="M1727" t="s">
        <v>194</v>
      </c>
      <c r="N1727" t="s">
        <v>195</v>
      </c>
      <c r="O1727" t="s">
        <v>82</v>
      </c>
      <c r="P1727" t="str">
        <f>"4170054631                    "</f>
        <v xml:space="preserve">4170054631                    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0</v>
      </c>
      <c r="AQ1727">
        <v>125.51</v>
      </c>
      <c r="AR1727">
        <v>0</v>
      </c>
      <c r="AS1727">
        <v>0</v>
      </c>
      <c r="AT1727">
        <v>0</v>
      </c>
      <c r="AU1727">
        <v>0</v>
      </c>
      <c r="AV1727">
        <v>0</v>
      </c>
      <c r="AW1727">
        <v>0</v>
      </c>
      <c r="AX1727">
        <v>0</v>
      </c>
      <c r="AY1727">
        <v>0</v>
      </c>
      <c r="AZ1727">
        <v>0</v>
      </c>
      <c r="BA1727">
        <v>0</v>
      </c>
      <c r="BB1727">
        <v>0</v>
      </c>
      <c r="BC1727">
        <v>0</v>
      </c>
      <c r="BD1727">
        <v>0</v>
      </c>
      <c r="BE1727">
        <v>0</v>
      </c>
      <c r="BF1727">
        <v>0</v>
      </c>
      <c r="BG1727">
        <v>0</v>
      </c>
      <c r="BH1727">
        <v>1</v>
      </c>
      <c r="BI1727">
        <v>6</v>
      </c>
      <c r="BJ1727">
        <v>3.1</v>
      </c>
      <c r="BK1727">
        <v>6</v>
      </c>
      <c r="BL1727">
        <v>389.75</v>
      </c>
      <c r="BM1727">
        <v>58.46</v>
      </c>
      <c r="BN1727">
        <v>448.21</v>
      </c>
      <c r="BO1727">
        <v>448.21</v>
      </c>
      <c r="BQ1727" t="s">
        <v>196</v>
      </c>
      <c r="BR1727" t="s">
        <v>84</v>
      </c>
      <c r="BS1727" s="3">
        <v>45883</v>
      </c>
      <c r="BT1727" s="4">
        <v>0.38541666666666669</v>
      </c>
      <c r="BU1727" t="s">
        <v>2380</v>
      </c>
      <c r="BV1727" t="s">
        <v>86</v>
      </c>
      <c r="BY1727">
        <v>15360</v>
      </c>
      <c r="CC1727" t="s">
        <v>194</v>
      </c>
      <c r="CD1727">
        <v>1034</v>
      </c>
      <c r="CE1727" t="s">
        <v>117</v>
      </c>
      <c r="CF1727" s="3">
        <v>45884</v>
      </c>
      <c r="CI1727">
        <v>1</v>
      </c>
      <c r="CJ1727">
        <v>1</v>
      </c>
      <c r="CK1727">
        <v>23</v>
      </c>
      <c r="CL1727" t="s">
        <v>90</v>
      </c>
    </row>
    <row r="1728" spans="1:90" x14ac:dyDescent="0.3">
      <c r="A1728" t="s">
        <v>72</v>
      </c>
      <c r="B1728" t="s">
        <v>73</v>
      </c>
      <c r="C1728" t="s">
        <v>74</v>
      </c>
      <c r="E1728" t="str">
        <f>"080067215565"</f>
        <v>080067215565</v>
      </c>
      <c r="F1728" s="3">
        <v>45882</v>
      </c>
      <c r="G1728">
        <v>202605</v>
      </c>
      <c r="H1728" t="s">
        <v>75</v>
      </c>
      <c r="I1728" t="s">
        <v>76</v>
      </c>
      <c r="J1728" t="s">
        <v>77</v>
      </c>
      <c r="K1728" t="s">
        <v>78</v>
      </c>
      <c r="L1728" t="s">
        <v>118</v>
      </c>
      <c r="M1728" t="s">
        <v>118</v>
      </c>
      <c r="N1728" t="s">
        <v>466</v>
      </c>
      <c r="O1728" t="s">
        <v>82</v>
      </c>
      <c r="P1728" t="str">
        <f>"4170054394                    "</f>
        <v xml:space="preserve">4170054394                    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0</v>
      </c>
      <c r="AQ1728">
        <v>44.73</v>
      </c>
      <c r="AR1728">
        <v>0</v>
      </c>
      <c r="AS1728">
        <v>0</v>
      </c>
      <c r="AT1728">
        <v>0</v>
      </c>
      <c r="AU1728">
        <v>0</v>
      </c>
      <c r="AV1728">
        <v>0</v>
      </c>
      <c r="AW1728">
        <v>0</v>
      </c>
      <c r="AX1728">
        <v>0</v>
      </c>
      <c r="AY1728">
        <v>0</v>
      </c>
      <c r="AZ1728">
        <v>0</v>
      </c>
      <c r="BA1728">
        <v>0</v>
      </c>
      <c r="BB1728">
        <v>0</v>
      </c>
      <c r="BC1728">
        <v>0</v>
      </c>
      <c r="BD1728">
        <v>0</v>
      </c>
      <c r="BE1728">
        <v>0</v>
      </c>
      <c r="BF1728">
        <v>0</v>
      </c>
      <c r="BG1728">
        <v>0</v>
      </c>
      <c r="BH1728">
        <v>1</v>
      </c>
      <c r="BI1728">
        <v>1</v>
      </c>
      <c r="BJ1728">
        <v>0.2</v>
      </c>
      <c r="BK1728">
        <v>1</v>
      </c>
      <c r="BL1728">
        <v>138.88999999999999</v>
      </c>
      <c r="BM1728">
        <v>20.83</v>
      </c>
      <c r="BN1728">
        <v>159.72</v>
      </c>
      <c r="BO1728">
        <v>159.72</v>
      </c>
      <c r="BQ1728" t="s">
        <v>467</v>
      </c>
      <c r="BR1728" t="s">
        <v>84</v>
      </c>
      <c r="BS1728" s="3">
        <v>45883</v>
      </c>
      <c r="BT1728" s="4">
        <v>0.65833333333333333</v>
      </c>
      <c r="BU1728" t="s">
        <v>2381</v>
      </c>
      <c r="BV1728" t="s">
        <v>90</v>
      </c>
      <c r="BW1728" t="s">
        <v>380</v>
      </c>
      <c r="BX1728" t="s">
        <v>2382</v>
      </c>
      <c r="BY1728">
        <v>1200</v>
      </c>
      <c r="CA1728" t="s">
        <v>122</v>
      </c>
      <c r="CC1728" t="s">
        <v>118</v>
      </c>
      <c r="CD1728">
        <v>7646</v>
      </c>
      <c r="CE1728" t="s">
        <v>109</v>
      </c>
      <c r="CF1728" s="3">
        <v>45884</v>
      </c>
      <c r="CI1728">
        <v>1</v>
      </c>
      <c r="CJ1728">
        <v>1</v>
      </c>
      <c r="CK1728">
        <v>23</v>
      </c>
      <c r="CL1728" t="s">
        <v>90</v>
      </c>
    </row>
    <row r="1729" spans="1:90" x14ac:dyDescent="0.3">
      <c r="A1729" t="s">
        <v>72</v>
      </c>
      <c r="B1729" t="s">
        <v>73</v>
      </c>
      <c r="C1729" t="s">
        <v>74</v>
      </c>
      <c r="E1729" t="str">
        <f>"080067215596"</f>
        <v>080067215596</v>
      </c>
      <c r="F1729" s="3">
        <v>45882</v>
      </c>
      <c r="G1729">
        <v>202605</v>
      </c>
      <c r="H1729" t="s">
        <v>75</v>
      </c>
      <c r="I1729" t="s">
        <v>76</v>
      </c>
      <c r="J1729" t="s">
        <v>77</v>
      </c>
      <c r="K1729" t="s">
        <v>78</v>
      </c>
      <c r="L1729" t="s">
        <v>2135</v>
      </c>
      <c r="M1729" t="s">
        <v>2136</v>
      </c>
      <c r="N1729" t="s">
        <v>2383</v>
      </c>
      <c r="O1729" t="s">
        <v>82</v>
      </c>
      <c r="P1729" t="str">
        <f>"4170054420                    "</f>
        <v xml:space="preserve">4170054420                    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Q1729">
        <v>44.73</v>
      </c>
      <c r="AR1729">
        <v>0</v>
      </c>
      <c r="AS1729">
        <v>0</v>
      </c>
      <c r="AT1729">
        <v>0</v>
      </c>
      <c r="AU1729">
        <v>0</v>
      </c>
      <c r="AV1729">
        <v>0</v>
      </c>
      <c r="AW1729">
        <v>0</v>
      </c>
      <c r="AX1729">
        <v>0</v>
      </c>
      <c r="AY1729">
        <v>0</v>
      </c>
      <c r="AZ1729">
        <v>0</v>
      </c>
      <c r="BA1729">
        <v>0</v>
      </c>
      <c r="BB1729">
        <v>0</v>
      </c>
      <c r="BC1729">
        <v>0</v>
      </c>
      <c r="BD1729">
        <v>0</v>
      </c>
      <c r="BE1729">
        <v>0</v>
      </c>
      <c r="BF1729">
        <v>0</v>
      </c>
      <c r="BG1729">
        <v>0</v>
      </c>
      <c r="BH1729">
        <v>1</v>
      </c>
      <c r="BI1729">
        <v>1</v>
      </c>
      <c r="BJ1729">
        <v>0.2</v>
      </c>
      <c r="BK1729">
        <v>1</v>
      </c>
      <c r="BL1729">
        <v>138.88999999999999</v>
      </c>
      <c r="BM1729">
        <v>20.83</v>
      </c>
      <c r="BN1729">
        <v>159.72</v>
      </c>
      <c r="BO1729">
        <v>159.72</v>
      </c>
      <c r="BQ1729" t="s">
        <v>2384</v>
      </c>
      <c r="BR1729" t="s">
        <v>84</v>
      </c>
      <c r="BS1729" s="3">
        <v>45883</v>
      </c>
      <c r="BT1729" s="4">
        <v>0.37013888888888891</v>
      </c>
      <c r="BU1729" t="s">
        <v>2385</v>
      </c>
      <c r="BV1729" t="s">
        <v>86</v>
      </c>
      <c r="BY1729">
        <v>1200</v>
      </c>
      <c r="CA1729" t="s">
        <v>1456</v>
      </c>
      <c r="CC1729" t="s">
        <v>2136</v>
      </c>
      <c r="CD1729">
        <v>4340</v>
      </c>
      <c r="CE1729" t="s">
        <v>109</v>
      </c>
      <c r="CF1729" s="3">
        <v>45883</v>
      </c>
      <c r="CI1729">
        <v>1</v>
      </c>
      <c r="CJ1729">
        <v>1</v>
      </c>
      <c r="CK1729">
        <v>23</v>
      </c>
      <c r="CL1729" t="s">
        <v>90</v>
      </c>
    </row>
    <row r="1730" spans="1:90" x14ac:dyDescent="0.3">
      <c r="A1730" t="s">
        <v>72</v>
      </c>
      <c r="B1730" t="s">
        <v>73</v>
      </c>
      <c r="C1730" t="s">
        <v>74</v>
      </c>
      <c r="E1730" t="str">
        <f>"080067215610"</f>
        <v>080067215610</v>
      </c>
      <c r="F1730" s="3">
        <v>45882</v>
      </c>
      <c r="G1730">
        <v>202605</v>
      </c>
      <c r="H1730" t="s">
        <v>75</v>
      </c>
      <c r="I1730" t="s">
        <v>76</v>
      </c>
      <c r="J1730" t="s">
        <v>77</v>
      </c>
      <c r="K1730" t="s">
        <v>78</v>
      </c>
      <c r="L1730" t="s">
        <v>123</v>
      </c>
      <c r="M1730" t="s">
        <v>124</v>
      </c>
      <c r="N1730" t="s">
        <v>406</v>
      </c>
      <c r="O1730" t="s">
        <v>82</v>
      </c>
      <c r="P1730" t="str">
        <f>"4170054637                    "</f>
        <v xml:space="preserve">4170054637                    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>
        <v>0</v>
      </c>
      <c r="AQ1730">
        <v>23.09</v>
      </c>
      <c r="AR1730">
        <v>0</v>
      </c>
      <c r="AS1730">
        <v>0</v>
      </c>
      <c r="AT1730">
        <v>0</v>
      </c>
      <c r="AU1730">
        <v>0</v>
      </c>
      <c r="AV1730">
        <v>0</v>
      </c>
      <c r="AW1730">
        <v>0</v>
      </c>
      <c r="AX1730">
        <v>0</v>
      </c>
      <c r="AY1730">
        <v>0</v>
      </c>
      <c r="AZ1730">
        <v>0</v>
      </c>
      <c r="BA1730">
        <v>0</v>
      </c>
      <c r="BB1730">
        <v>0</v>
      </c>
      <c r="BC1730">
        <v>0</v>
      </c>
      <c r="BD1730">
        <v>0</v>
      </c>
      <c r="BE1730">
        <v>0</v>
      </c>
      <c r="BF1730">
        <v>0</v>
      </c>
      <c r="BG1730">
        <v>0</v>
      </c>
      <c r="BH1730">
        <v>1</v>
      </c>
      <c r="BI1730">
        <v>1</v>
      </c>
      <c r="BJ1730">
        <v>0.2</v>
      </c>
      <c r="BK1730">
        <v>1</v>
      </c>
      <c r="BL1730">
        <v>71.69</v>
      </c>
      <c r="BM1730">
        <v>10.75</v>
      </c>
      <c r="BN1730">
        <v>82.44</v>
      </c>
      <c r="BO1730">
        <v>82.44</v>
      </c>
      <c r="BQ1730" t="s">
        <v>407</v>
      </c>
      <c r="BR1730" t="s">
        <v>84</v>
      </c>
      <c r="BS1730" s="3">
        <v>45883</v>
      </c>
      <c r="BT1730" s="4">
        <v>0.40486111111111112</v>
      </c>
      <c r="BU1730" t="s">
        <v>408</v>
      </c>
      <c r="BV1730" t="s">
        <v>86</v>
      </c>
      <c r="BY1730">
        <v>1200</v>
      </c>
      <c r="CA1730" t="s">
        <v>192</v>
      </c>
      <c r="CC1730" t="s">
        <v>124</v>
      </c>
      <c r="CD1730">
        <v>7441</v>
      </c>
      <c r="CE1730" t="s">
        <v>109</v>
      </c>
      <c r="CF1730" s="3">
        <v>45884</v>
      </c>
      <c r="CI1730">
        <v>1</v>
      </c>
      <c r="CJ1730">
        <v>1</v>
      </c>
      <c r="CK1730">
        <v>21</v>
      </c>
      <c r="CL1730" t="s">
        <v>90</v>
      </c>
    </row>
    <row r="1731" spans="1:90" x14ac:dyDescent="0.3">
      <c r="A1731" t="s">
        <v>72</v>
      </c>
      <c r="B1731" t="s">
        <v>73</v>
      </c>
      <c r="C1731" t="s">
        <v>74</v>
      </c>
      <c r="E1731" t="str">
        <f>"080067215623"</f>
        <v>080067215623</v>
      </c>
      <c r="F1731" s="3">
        <v>45882</v>
      </c>
      <c r="G1731">
        <v>202605</v>
      </c>
      <c r="H1731" t="s">
        <v>75</v>
      </c>
      <c r="I1731" t="s">
        <v>76</v>
      </c>
      <c r="J1731" t="s">
        <v>77</v>
      </c>
      <c r="K1731" t="s">
        <v>78</v>
      </c>
      <c r="L1731" t="s">
        <v>123</v>
      </c>
      <c r="M1731" t="s">
        <v>124</v>
      </c>
      <c r="N1731" t="s">
        <v>1115</v>
      </c>
      <c r="O1731" t="s">
        <v>82</v>
      </c>
      <c r="P1731" t="str">
        <f>"4170054463                    "</f>
        <v xml:space="preserve">4170054463                    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>
        <v>0</v>
      </c>
      <c r="AQ1731">
        <v>23.09</v>
      </c>
      <c r="AR1731">
        <v>0</v>
      </c>
      <c r="AS1731">
        <v>0</v>
      </c>
      <c r="AT1731">
        <v>0</v>
      </c>
      <c r="AU1731">
        <v>0</v>
      </c>
      <c r="AV1731">
        <v>0</v>
      </c>
      <c r="AW1731">
        <v>0</v>
      </c>
      <c r="AX1731">
        <v>0</v>
      </c>
      <c r="AY1731">
        <v>0</v>
      </c>
      <c r="AZ1731">
        <v>0</v>
      </c>
      <c r="BA1731">
        <v>0</v>
      </c>
      <c r="BB1731">
        <v>0</v>
      </c>
      <c r="BC1731">
        <v>0</v>
      </c>
      <c r="BD1731">
        <v>0</v>
      </c>
      <c r="BE1731">
        <v>0</v>
      </c>
      <c r="BF1731">
        <v>0</v>
      </c>
      <c r="BG1731">
        <v>0</v>
      </c>
      <c r="BH1731">
        <v>1</v>
      </c>
      <c r="BI1731">
        <v>1</v>
      </c>
      <c r="BJ1731">
        <v>0.2</v>
      </c>
      <c r="BK1731">
        <v>1</v>
      </c>
      <c r="BL1731">
        <v>71.69</v>
      </c>
      <c r="BM1731">
        <v>10.75</v>
      </c>
      <c r="BN1731">
        <v>82.44</v>
      </c>
      <c r="BO1731">
        <v>82.44</v>
      </c>
      <c r="BQ1731" t="s">
        <v>1116</v>
      </c>
      <c r="BR1731" t="s">
        <v>84</v>
      </c>
      <c r="BS1731" s="3">
        <v>45883</v>
      </c>
      <c r="BT1731" s="4">
        <v>0.3840277777777778</v>
      </c>
      <c r="BU1731" t="s">
        <v>2370</v>
      </c>
      <c r="BV1731" t="s">
        <v>86</v>
      </c>
      <c r="BY1731">
        <v>1200</v>
      </c>
      <c r="CA1731" t="s">
        <v>192</v>
      </c>
      <c r="CC1731" t="s">
        <v>124</v>
      </c>
      <c r="CD1731">
        <v>7441</v>
      </c>
      <c r="CE1731" t="s">
        <v>109</v>
      </c>
      <c r="CF1731" s="3">
        <v>45884</v>
      </c>
      <c r="CI1731">
        <v>1</v>
      </c>
      <c r="CJ1731">
        <v>1</v>
      </c>
      <c r="CK1731">
        <v>21</v>
      </c>
      <c r="CL1731" t="s">
        <v>90</v>
      </c>
    </row>
    <row r="1732" spans="1:90" x14ac:dyDescent="0.3">
      <c r="A1732" t="s">
        <v>72</v>
      </c>
      <c r="B1732" t="s">
        <v>73</v>
      </c>
      <c r="C1732" t="s">
        <v>74</v>
      </c>
      <c r="E1732" t="str">
        <f>"080067215806"</f>
        <v>080067215806</v>
      </c>
      <c r="F1732" s="3">
        <v>45882</v>
      </c>
      <c r="G1732">
        <v>202605</v>
      </c>
      <c r="H1732" t="s">
        <v>75</v>
      </c>
      <c r="I1732" t="s">
        <v>76</v>
      </c>
      <c r="J1732" t="s">
        <v>77</v>
      </c>
      <c r="K1732" t="s">
        <v>78</v>
      </c>
      <c r="L1732" t="s">
        <v>721</v>
      </c>
      <c r="M1732" t="s">
        <v>722</v>
      </c>
      <c r="N1732" t="s">
        <v>723</v>
      </c>
      <c r="O1732" t="s">
        <v>82</v>
      </c>
      <c r="P1732" t="str">
        <f>"4170054510                    "</f>
        <v xml:space="preserve">4170054510                    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0</v>
      </c>
      <c r="AQ1732">
        <v>32.47</v>
      </c>
      <c r="AR1732">
        <v>0</v>
      </c>
      <c r="AS1732">
        <v>0</v>
      </c>
      <c r="AT1732">
        <v>0</v>
      </c>
      <c r="AU1732">
        <v>0</v>
      </c>
      <c r="AV1732">
        <v>0</v>
      </c>
      <c r="AW1732">
        <v>0</v>
      </c>
      <c r="AX1732">
        <v>0</v>
      </c>
      <c r="AY1732">
        <v>0</v>
      </c>
      <c r="AZ1732">
        <v>0</v>
      </c>
      <c r="BA1732">
        <v>0</v>
      </c>
      <c r="BB1732">
        <v>0</v>
      </c>
      <c r="BC1732">
        <v>0</v>
      </c>
      <c r="BD1732">
        <v>0</v>
      </c>
      <c r="BE1732">
        <v>0</v>
      </c>
      <c r="BF1732">
        <v>0</v>
      </c>
      <c r="BG1732">
        <v>0</v>
      </c>
      <c r="BH1732">
        <v>1</v>
      </c>
      <c r="BI1732">
        <v>2</v>
      </c>
      <c r="BJ1732">
        <v>1.8</v>
      </c>
      <c r="BK1732">
        <v>2</v>
      </c>
      <c r="BL1732">
        <v>100.82</v>
      </c>
      <c r="BM1732">
        <v>15.12</v>
      </c>
      <c r="BN1732">
        <v>115.94</v>
      </c>
      <c r="BO1732">
        <v>115.94</v>
      </c>
      <c r="BQ1732" t="s">
        <v>724</v>
      </c>
      <c r="BR1732" t="s">
        <v>84</v>
      </c>
      <c r="BS1732" s="3">
        <v>45883</v>
      </c>
      <c r="BT1732" s="4">
        <v>0.49375000000000002</v>
      </c>
      <c r="BU1732" t="s">
        <v>2386</v>
      </c>
      <c r="BV1732" t="s">
        <v>86</v>
      </c>
      <c r="BY1732">
        <v>8960</v>
      </c>
      <c r="CA1732" t="s">
        <v>726</v>
      </c>
      <c r="CC1732" t="s">
        <v>722</v>
      </c>
      <c r="CD1732">
        <v>1759</v>
      </c>
      <c r="CE1732" t="s">
        <v>147</v>
      </c>
      <c r="CF1732" s="3">
        <v>45883</v>
      </c>
      <c r="CI1732">
        <v>1</v>
      </c>
      <c r="CJ1732">
        <v>1</v>
      </c>
      <c r="CK1732">
        <v>24</v>
      </c>
      <c r="CL1732" t="s">
        <v>90</v>
      </c>
    </row>
    <row r="1733" spans="1:90" x14ac:dyDescent="0.3">
      <c r="A1733" t="s">
        <v>72</v>
      </c>
      <c r="B1733" t="s">
        <v>73</v>
      </c>
      <c r="C1733" t="s">
        <v>74</v>
      </c>
      <c r="E1733" t="str">
        <f>"080067215811"</f>
        <v>080067215811</v>
      </c>
      <c r="F1733" s="3">
        <v>45882</v>
      </c>
      <c r="G1733">
        <v>202605</v>
      </c>
      <c r="H1733" t="s">
        <v>75</v>
      </c>
      <c r="I1733" t="s">
        <v>76</v>
      </c>
      <c r="J1733" t="s">
        <v>77</v>
      </c>
      <c r="K1733" t="s">
        <v>78</v>
      </c>
      <c r="L1733" t="s">
        <v>123</v>
      </c>
      <c r="M1733" t="s">
        <v>124</v>
      </c>
      <c r="N1733" t="s">
        <v>887</v>
      </c>
      <c r="O1733" t="s">
        <v>82</v>
      </c>
      <c r="P1733" t="str">
        <f>"4170054595                    "</f>
        <v xml:space="preserve">4170054595                    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>
        <v>0</v>
      </c>
      <c r="AQ1733">
        <v>23.09</v>
      </c>
      <c r="AR1733">
        <v>0</v>
      </c>
      <c r="AS1733">
        <v>0</v>
      </c>
      <c r="AT1733">
        <v>0</v>
      </c>
      <c r="AU1733">
        <v>0</v>
      </c>
      <c r="AV1733">
        <v>0</v>
      </c>
      <c r="AW1733">
        <v>0</v>
      </c>
      <c r="AX1733">
        <v>0</v>
      </c>
      <c r="AY1733">
        <v>0</v>
      </c>
      <c r="AZ1733">
        <v>0</v>
      </c>
      <c r="BA1733">
        <v>0</v>
      </c>
      <c r="BB1733">
        <v>0</v>
      </c>
      <c r="BC1733">
        <v>0</v>
      </c>
      <c r="BD1733">
        <v>0</v>
      </c>
      <c r="BE1733">
        <v>0</v>
      </c>
      <c r="BF1733">
        <v>0</v>
      </c>
      <c r="BG1733">
        <v>0</v>
      </c>
      <c r="BH1733">
        <v>1</v>
      </c>
      <c r="BI1733">
        <v>1</v>
      </c>
      <c r="BJ1733">
        <v>0.2</v>
      </c>
      <c r="BK1733">
        <v>1</v>
      </c>
      <c r="BL1733">
        <v>71.69</v>
      </c>
      <c r="BM1733">
        <v>10.75</v>
      </c>
      <c r="BN1733">
        <v>82.44</v>
      </c>
      <c r="BO1733">
        <v>82.44</v>
      </c>
      <c r="BQ1733" t="s">
        <v>888</v>
      </c>
      <c r="BR1733" t="s">
        <v>84</v>
      </c>
      <c r="BS1733" s="3">
        <v>45883</v>
      </c>
      <c r="BT1733" s="4">
        <v>0.65347222222222223</v>
      </c>
      <c r="BU1733" t="s">
        <v>889</v>
      </c>
      <c r="BV1733" t="s">
        <v>90</v>
      </c>
      <c r="BW1733" t="s">
        <v>773</v>
      </c>
      <c r="BX1733" t="s">
        <v>2259</v>
      </c>
      <c r="BY1733">
        <v>1200</v>
      </c>
      <c r="CC1733" t="s">
        <v>124</v>
      </c>
      <c r="CD1733">
        <v>7800</v>
      </c>
      <c r="CE1733" t="s">
        <v>109</v>
      </c>
      <c r="CF1733" s="3">
        <v>45884</v>
      </c>
      <c r="CI1733">
        <v>1</v>
      </c>
      <c r="CJ1733">
        <v>1</v>
      </c>
      <c r="CK1733">
        <v>21</v>
      </c>
      <c r="CL1733" t="s">
        <v>90</v>
      </c>
    </row>
    <row r="1734" spans="1:90" x14ac:dyDescent="0.3">
      <c r="A1734" t="s">
        <v>72</v>
      </c>
      <c r="B1734" t="s">
        <v>73</v>
      </c>
      <c r="C1734" t="s">
        <v>74</v>
      </c>
      <c r="E1734" t="str">
        <f>"080067215825"</f>
        <v>080067215825</v>
      </c>
      <c r="F1734" s="3">
        <v>45882</v>
      </c>
      <c r="G1734">
        <v>202605</v>
      </c>
      <c r="H1734" t="s">
        <v>75</v>
      </c>
      <c r="I1734" t="s">
        <v>76</v>
      </c>
      <c r="J1734" t="s">
        <v>77</v>
      </c>
      <c r="K1734" t="s">
        <v>78</v>
      </c>
      <c r="L1734" t="s">
        <v>123</v>
      </c>
      <c r="M1734" t="s">
        <v>124</v>
      </c>
      <c r="N1734" t="s">
        <v>406</v>
      </c>
      <c r="O1734" t="s">
        <v>82</v>
      </c>
      <c r="P1734" t="str">
        <f>"4170054664                    "</f>
        <v xml:space="preserve">4170054664                    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>
        <v>23.09</v>
      </c>
      <c r="AR1734">
        <v>0</v>
      </c>
      <c r="AS1734">
        <v>0</v>
      </c>
      <c r="AT1734">
        <v>0</v>
      </c>
      <c r="AU1734">
        <v>0</v>
      </c>
      <c r="AV1734">
        <v>0</v>
      </c>
      <c r="AW1734">
        <v>0</v>
      </c>
      <c r="AX1734">
        <v>0</v>
      </c>
      <c r="AY1734">
        <v>0</v>
      </c>
      <c r="AZ1734">
        <v>0</v>
      </c>
      <c r="BA1734">
        <v>0</v>
      </c>
      <c r="BB1734">
        <v>0</v>
      </c>
      <c r="BC1734">
        <v>0</v>
      </c>
      <c r="BD1734">
        <v>0</v>
      </c>
      <c r="BE1734">
        <v>0</v>
      </c>
      <c r="BF1734">
        <v>0</v>
      </c>
      <c r="BG1734">
        <v>0</v>
      </c>
      <c r="BH1734">
        <v>1</v>
      </c>
      <c r="BI1734">
        <v>1</v>
      </c>
      <c r="BJ1734">
        <v>0.2</v>
      </c>
      <c r="BK1734">
        <v>1</v>
      </c>
      <c r="BL1734">
        <v>71.69</v>
      </c>
      <c r="BM1734">
        <v>10.75</v>
      </c>
      <c r="BN1734">
        <v>82.44</v>
      </c>
      <c r="BO1734">
        <v>82.44</v>
      </c>
      <c r="BQ1734" t="s">
        <v>407</v>
      </c>
      <c r="BR1734" t="s">
        <v>84</v>
      </c>
      <c r="BS1734" s="3">
        <v>45883</v>
      </c>
      <c r="BT1734" s="4">
        <v>0.40486111111111112</v>
      </c>
      <c r="BU1734" t="s">
        <v>408</v>
      </c>
      <c r="BV1734" t="s">
        <v>86</v>
      </c>
      <c r="BY1734">
        <v>1200</v>
      </c>
      <c r="CA1734" t="s">
        <v>192</v>
      </c>
      <c r="CC1734" t="s">
        <v>124</v>
      </c>
      <c r="CD1734">
        <v>7441</v>
      </c>
      <c r="CE1734" t="s">
        <v>109</v>
      </c>
      <c r="CF1734" s="3">
        <v>45884</v>
      </c>
      <c r="CI1734">
        <v>1</v>
      </c>
      <c r="CJ1734">
        <v>1</v>
      </c>
      <c r="CK1734">
        <v>21</v>
      </c>
      <c r="CL1734" t="s">
        <v>90</v>
      </c>
    </row>
    <row r="1735" spans="1:90" x14ac:dyDescent="0.3">
      <c r="A1735" t="s">
        <v>72</v>
      </c>
      <c r="B1735" t="s">
        <v>73</v>
      </c>
      <c r="C1735" t="s">
        <v>74</v>
      </c>
      <c r="E1735" t="str">
        <f>"080067215827"</f>
        <v>080067215827</v>
      </c>
      <c r="F1735" s="3">
        <v>45882</v>
      </c>
      <c r="G1735">
        <v>202605</v>
      </c>
      <c r="H1735" t="s">
        <v>75</v>
      </c>
      <c r="I1735" t="s">
        <v>76</v>
      </c>
      <c r="J1735" t="s">
        <v>77</v>
      </c>
      <c r="K1735" t="s">
        <v>78</v>
      </c>
      <c r="L1735" t="s">
        <v>207</v>
      </c>
      <c r="M1735" t="s">
        <v>208</v>
      </c>
      <c r="N1735" t="s">
        <v>209</v>
      </c>
      <c r="O1735" t="s">
        <v>82</v>
      </c>
      <c r="P1735" t="str">
        <f>"4170054458                    "</f>
        <v xml:space="preserve">4170054458                    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  <c r="AQ1735">
        <v>64.92</v>
      </c>
      <c r="AR1735">
        <v>0</v>
      </c>
      <c r="AS1735">
        <v>0</v>
      </c>
      <c r="AT1735">
        <v>0</v>
      </c>
      <c r="AU1735">
        <v>0</v>
      </c>
      <c r="AV1735">
        <v>0</v>
      </c>
      <c r="AW1735">
        <v>0</v>
      </c>
      <c r="AX1735">
        <v>0</v>
      </c>
      <c r="AY1735">
        <v>0</v>
      </c>
      <c r="AZ1735">
        <v>0</v>
      </c>
      <c r="BA1735">
        <v>0</v>
      </c>
      <c r="BB1735">
        <v>0</v>
      </c>
      <c r="BC1735">
        <v>0</v>
      </c>
      <c r="BD1735">
        <v>0</v>
      </c>
      <c r="BE1735">
        <v>0</v>
      </c>
      <c r="BF1735">
        <v>0</v>
      </c>
      <c r="BG1735">
        <v>0</v>
      </c>
      <c r="BH1735">
        <v>1</v>
      </c>
      <c r="BI1735">
        <v>3</v>
      </c>
      <c r="BJ1735">
        <v>1.7</v>
      </c>
      <c r="BK1735">
        <v>3</v>
      </c>
      <c r="BL1735">
        <v>201.6</v>
      </c>
      <c r="BM1735">
        <v>30.24</v>
      </c>
      <c r="BN1735">
        <v>231.84</v>
      </c>
      <c r="BO1735">
        <v>231.84</v>
      </c>
      <c r="BQ1735" t="s">
        <v>210</v>
      </c>
      <c r="BR1735" t="s">
        <v>84</v>
      </c>
      <c r="BS1735" s="3">
        <v>45883</v>
      </c>
      <c r="BT1735" s="4">
        <v>0.53472222222222221</v>
      </c>
      <c r="BU1735" t="s">
        <v>2387</v>
      </c>
      <c r="BV1735" t="s">
        <v>86</v>
      </c>
      <c r="BY1735">
        <v>8512</v>
      </c>
      <c r="CA1735" t="s">
        <v>2388</v>
      </c>
      <c r="CC1735" t="s">
        <v>208</v>
      </c>
      <c r="CD1735">
        <v>7300</v>
      </c>
      <c r="CE1735" t="s">
        <v>147</v>
      </c>
      <c r="CF1735" s="3">
        <v>45884</v>
      </c>
      <c r="CI1735">
        <v>1</v>
      </c>
      <c r="CJ1735">
        <v>1</v>
      </c>
      <c r="CK1735">
        <v>23</v>
      </c>
      <c r="CL1735" t="s">
        <v>90</v>
      </c>
    </row>
    <row r="1736" spans="1:90" x14ac:dyDescent="0.3">
      <c r="A1736" t="s">
        <v>72</v>
      </c>
      <c r="B1736" t="s">
        <v>73</v>
      </c>
      <c r="C1736" t="s">
        <v>74</v>
      </c>
      <c r="E1736" t="str">
        <f>"080067215897"</f>
        <v>080067215897</v>
      </c>
      <c r="F1736" s="3">
        <v>45882</v>
      </c>
      <c r="G1736">
        <v>202605</v>
      </c>
      <c r="H1736" t="s">
        <v>75</v>
      </c>
      <c r="I1736" t="s">
        <v>76</v>
      </c>
      <c r="J1736" t="s">
        <v>77</v>
      </c>
      <c r="K1736" t="s">
        <v>78</v>
      </c>
      <c r="L1736" t="s">
        <v>118</v>
      </c>
      <c r="M1736" t="s">
        <v>118</v>
      </c>
      <c r="N1736" t="s">
        <v>466</v>
      </c>
      <c r="O1736" t="s">
        <v>82</v>
      </c>
      <c r="P1736" t="str">
        <f>"4170054684                    "</f>
        <v xml:space="preserve">4170054684                    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0</v>
      </c>
      <c r="AQ1736">
        <v>125.51</v>
      </c>
      <c r="AR1736">
        <v>0</v>
      </c>
      <c r="AS1736">
        <v>0</v>
      </c>
      <c r="AT1736">
        <v>0</v>
      </c>
      <c r="AU1736">
        <v>0</v>
      </c>
      <c r="AV1736">
        <v>0</v>
      </c>
      <c r="AW1736">
        <v>0</v>
      </c>
      <c r="AX1736">
        <v>0</v>
      </c>
      <c r="AY1736">
        <v>0</v>
      </c>
      <c r="AZ1736">
        <v>0</v>
      </c>
      <c r="BA1736">
        <v>0</v>
      </c>
      <c r="BB1736">
        <v>0</v>
      </c>
      <c r="BC1736">
        <v>0</v>
      </c>
      <c r="BD1736">
        <v>0</v>
      </c>
      <c r="BE1736">
        <v>0</v>
      </c>
      <c r="BF1736">
        <v>0</v>
      </c>
      <c r="BG1736">
        <v>0</v>
      </c>
      <c r="BH1736">
        <v>1</v>
      </c>
      <c r="BI1736">
        <v>6</v>
      </c>
      <c r="BJ1736">
        <v>3.4</v>
      </c>
      <c r="BK1736">
        <v>6</v>
      </c>
      <c r="BL1736">
        <v>389.75</v>
      </c>
      <c r="BM1736">
        <v>58.46</v>
      </c>
      <c r="BN1736">
        <v>448.21</v>
      </c>
      <c r="BO1736">
        <v>448.21</v>
      </c>
      <c r="BQ1736" t="s">
        <v>467</v>
      </c>
      <c r="BR1736" t="s">
        <v>84</v>
      </c>
      <c r="BS1736" s="3">
        <v>45883</v>
      </c>
      <c r="BT1736" s="4">
        <v>0.52986111111111112</v>
      </c>
      <c r="BU1736" t="s">
        <v>2389</v>
      </c>
      <c r="BV1736" t="s">
        <v>86</v>
      </c>
      <c r="BY1736">
        <v>16965</v>
      </c>
      <c r="CA1736" t="s">
        <v>122</v>
      </c>
      <c r="CC1736" t="s">
        <v>118</v>
      </c>
      <c r="CD1736">
        <v>7646</v>
      </c>
      <c r="CE1736" t="s">
        <v>147</v>
      </c>
      <c r="CF1736" s="3">
        <v>45884</v>
      </c>
      <c r="CI1736">
        <v>1</v>
      </c>
      <c r="CJ1736">
        <v>1</v>
      </c>
      <c r="CK1736">
        <v>23</v>
      </c>
      <c r="CL1736" t="s">
        <v>90</v>
      </c>
    </row>
    <row r="1737" spans="1:90" x14ac:dyDescent="0.3">
      <c r="A1737" t="s">
        <v>72</v>
      </c>
      <c r="B1737" t="s">
        <v>73</v>
      </c>
      <c r="C1737" t="s">
        <v>74</v>
      </c>
      <c r="E1737" t="str">
        <f>"080067216142"</f>
        <v>080067216142</v>
      </c>
      <c r="F1737" s="3">
        <v>45882</v>
      </c>
      <c r="G1737">
        <v>202605</v>
      </c>
      <c r="H1737" t="s">
        <v>75</v>
      </c>
      <c r="I1737" t="s">
        <v>76</v>
      </c>
      <c r="J1737" t="s">
        <v>77</v>
      </c>
      <c r="K1737" t="s">
        <v>78</v>
      </c>
      <c r="L1737" t="s">
        <v>123</v>
      </c>
      <c r="M1737" t="s">
        <v>124</v>
      </c>
      <c r="N1737" t="s">
        <v>168</v>
      </c>
      <c r="O1737" t="s">
        <v>82</v>
      </c>
      <c r="P1737" t="str">
        <f>"4170054679                    "</f>
        <v xml:space="preserve">4170054679                    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0</v>
      </c>
      <c r="AQ1737">
        <v>23.09</v>
      </c>
      <c r="AR1737">
        <v>0</v>
      </c>
      <c r="AS1737">
        <v>0</v>
      </c>
      <c r="AT1737">
        <v>0</v>
      </c>
      <c r="AU1737">
        <v>0</v>
      </c>
      <c r="AV1737">
        <v>0</v>
      </c>
      <c r="AW1737">
        <v>0</v>
      </c>
      <c r="AX1737">
        <v>0</v>
      </c>
      <c r="AY1737">
        <v>0</v>
      </c>
      <c r="AZ1737">
        <v>0</v>
      </c>
      <c r="BA1737">
        <v>0</v>
      </c>
      <c r="BB1737">
        <v>0</v>
      </c>
      <c r="BC1737">
        <v>0</v>
      </c>
      <c r="BD1737">
        <v>0</v>
      </c>
      <c r="BE1737">
        <v>0</v>
      </c>
      <c r="BF1737">
        <v>0</v>
      </c>
      <c r="BG1737">
        <v>0</v>
      </c>
      <c r="BH1737">
        <v>1</v>
      </c>
      <c r="BI1737">
        <v>1</v>
      </c>
      <c r="BJ1737">
        <v>0.2</v>
      </c>
      <c r="BK1737">
        <v>1</v>
      </c>
      <c r="BL1737">
        <v>71.69</v>
      </c>
      <c r="BM1737">
        <v>10.75</v>
      </c>
      <c r="BN1737">
        <v>82.44</v>
      </c>
      <c r="BO1737">
        <v>82.44</v>
      </c>
      <c r="BQ1737" t="s">
        <v>169</v>
      </c>
      <c r="BR1737" t="s">
        <v>84</v>
      </c>
      <c r="BS1737" s="3">
        <v>45883</v>
      </c>
      <c r="BT1737" s="4">
        <v>0.42708333333333331</v>
      </c>
      <c r="BU1737" t="s">
        <v>2390</v>
      </c>
      <c r="BV1737" t="s">
        <v>86</v>
      </c>
      <c r="BY1737">
        <v>1200</v>
      </c>
      <c r="CA1737" t="s">
        <v>171</v>
      </c>
      <c r="CC1737" t="s">
        <v>124</v>
      </c>
      <c r="CD1737">
        <v>7535</v>
      </c>
      <c r="CE1737" t="s">
        <v>109</v>
      </c>
      <c r="CF1737" s="3">
        <v>45884</v>
      </c>
      <c r="CI1737">
        <v>1</v>
      </c>
      <c r="CJ1737">
        <v>1</v>
      </c>
      <c r="CK1737">
        <v>21</v>
      </c>
      <c r="CL1737" t="s">
        <v>90</v>
      </c>
    </row>
    <row r="1738" spans="1:90" x14ac:dyDescent="0.3">
      <c r="A1738" t="s">
        <v>72</v>
      </c>
      <c r="B1738" t="s">
        <v>73</v>
      </c>
      <c r="C1738" t="s">
        <v>74</v>
      </c>
      <c r="E1738" t="str">
        <f>"080067216163"</f>
        <v>080067216163</v>
      </c>
      <c r="F1738" s="3">
        <v>45882</v>
      </c>
      <c r="G1738">
        <v>202605</v>
      </c>
      <c r="H1738" t="s">
        <v>75</v>
      </c>
      <c r="I1738" t="s">
        <v>76</v>
      </c>
      <c r="J1738" t="s">
        <v>77</v>
      </c>
      <c r="K1738" t="s">
        <v>78</v>
      </c>
      <c r="L1738" t="s">
        <v>162</v>
      </c>
      <c r="M1738" t="s">
        <v>163</v>
      </c>
      <c r="N1738" t="s">
        <v>902</v>
      </c>
      <c r="O1738" t="s">
        <v>82</v>
      </c>
      <c r="P1738" t="str">
        <f>"4170054470                    "</f>
        <v xml:space="preserve">4170054470                    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0</v>
      </c>
      <c r="AQ1738">
        <v>23.09</v>
      </c>
      <c r="AR1738">
        <v>0</v>
      </c>
      <c r="AS1738">
        <v>0</v>
      </c>
      <c r="AT1738">
        <v>0</v>
      </c>
      <c r="AU1738">
        <v>0</v>
      </c>
      <c r="AV1738">
        <v>0</v>
      </c>
      <c r="AW1738">
        <v>0</v>
      </c>
      <c r="AX1738">
        <v>0</v>
      </c>
      <c r="AY1738">
        <v>0</v>
      </c>
      <c r="AZ1738">
        <v>0</v>
      </c>
      <c r="BA1738">
        <v>0</v>
      </c>
      <c r="BB1738">
        <v>0</v>
      </c>
      <c r="BC1738">
        <v>0</v>
      </c>
      <c r="BD1738">
        <v>0</v>
      </c>
      <c r="BE1738">
        <v>0</v>
      </c>
      <c r="BF1738">
        <v>0</v>
      </c>
      <c r="BG1738">
        <v>0</v>
      </c>
      <c r="BH1738">
        <v>1</v>
      </c>
      <c r="BI1738">
        <v>1</v>
      </c>
      <c r="BJ1738">
        <v>0.2</v>
      </c>
      <c r="BK1738">
        <v>1</v>
      </c>
      <c r="BL1738">
        <v>71.69</v>
      </c>
      <c r="BM1738">
        <v>10.75</v>
      </c>
      <c r="BN1738">
        <v>82.44</v>
      </c>
      <c r="BO1738">
        <v>82.44</v>
      </c>
      <c r="BQ1738" t="s">
        <v>903</v>
      </c>
      <c r="BR1738" t="s">
        <v>84</v>
      </c>
      <c r="BS1738" s="3">
        <v>45883</v>
      </c>
      <c r="BT1738" s="4">
        <v>0.41666666666666669</v>
      </c>
      <c r="BU1738" t="s">
        <v>2391</v>
      </c>
      <c r="BV1738" t="s">
        <v>86</v>
      </c>
      <c r="BY1738">
        <v>1200</v>
      </c>
      <c r="CA1738" t="s">
        <v>919</v>
      </c>
      <c r="CC1738" t="s">
        <v>163</v>
      </c>
      <c r="CD1738">
        <v>3200</v>
      </c>
      <c r="CE1738" t="s">
        <v>109</v>
      </c>
      <c r="CF1738" s="3">
        <v>45884</v>
      </c>
      <c r="CI1738">
        <v>1</v>
      </c>
      <c r="CJ1738">
        <v>1</v>
      </c>
      <c r="CK1738">
        <v>21</v>
      </c>
      <c r="CL1738" t="s">
        <v>90</v>
      </c>
    </row>
    <row r="1739" spans="1:90" x14ac:dyDescent="0.3">
      <c r="A1739" t="s">
        <v>72</v>
      </c>
      <c r="B1739" t="s">
        <v>73</v>
      </c>
      <c r="C1739" t="s">
        <v>74</v>
      </c>
      <c r="E1739" t="str">
        <f>"080067216185"</f>
        <v>080067216185</v>
      </c>
      <c r="F1739" s="3">
        <v>45882</v>
      </c>
      <c r="G1739">
        <v>202605</v>
      </c>
      <c r="H1739" t="s">
        <v>75</v>
      </c>
      <c r="I1739" t="s">
        <v>76</v>
      </c>
      <c r="J1739" t="s">
        <v>77</v>
      </c>
      <c r="K1739" t="s">
        <v>78</v>
      </c>
      <c r="L1739" t="s">
        <v>278</v>
      </c>
      <c r="M1739" t="s">
        <v>279</v>
      </c>
      <c r="N1739" t="s">
        <v>749</v>
      </c>
      <c r="O1739" t="s">
        <v>82</v>
      </c>
      <c r="P1739" t="str">
        <f>"4170054417                    "</f>
        <v xml:space="preserve">4170054417                    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>
        <v>23.09</v>
      </c>
      <c r="AR1739">
        <v>0</v>
      </c>
      <c r="AS1739">
        <v>0</v>
      </c>
      <c r="AT1739">
        <v>0</v>
      </c>
      <c r="AU1739">
        <v>0</v>
      </c>
      <c r="AV1739">
        <v>0</v>
      </c>
      <c r="AW1739">
        <v>0</v>
      </c>
      <c r="AX1739">
        <v>0</v>
      </c>
      <c r="AY1739">
        <v>0</v>
      </c>
      <c r="AZ1739">
        <v>0</v>
      </c>
      <c r="BA1739">
        <v>0</v>
      </c>
      <c r="BB1739">
        <v>0</v>
      </c>
      <c r="BC1739">
        <v>0</v>
      </c>
      <c r="BD1739">
        <v>0</v>
      </c>
      <c r="BE1739">
        <v>0</v>
      </c>
      <c r="BF1739">
        <v>0</v>
      </c>
      <c r="BG1739">
        <v>0</v>
      </c>
      <c r="BH1739">
        <v>1</v>
      </c>
      <c r="BI1739">
        <v>1</v>
      </c>
      <c r="BJ1739">
        <v>0.2</v>
      </c>
      <c r="BK1739">
        <v>1</v>
      </c>
      <c r="BL1739">
        <v>71.69</v>
      </c>
      <c r="BM1739">
        <v>10.75</v>
      </c>
      <c r="BN1739">
        <v>82.44</v>
      </c>
      <c r="BO1739">
        <v>82.44</v>
      </c>
      <c r="BQ1739" t="s">
        <v>750</v>
      </c>
      <c r="BR1739" t="s">
        <v>84</v>
      </c>
      <c r="BS1739" s="3">
        <v>45883</v>
      </c>
      <c r="BT1739" s="4">
        <v>0.39513888888888887</v>
      </c>
      <c r="BU1739" t="s">
        <v>2392</v>
      </c>
      <c r="BV1739" t="s">
        <v>86</v>
      </c>
      <c r="BY1739">
        <v>1200</v>
      </c>
      <c r="CA1739" t="s">
        <v>283</v>
      </c>
      <c r="CC1739" t="s">
        <v>279</v>
      </c>
      <c r="CD1739" s="5" t="s">
        <v>1042</v>
      </c>
      <c r="CE1739" t="s">
        <v>109</v>
      </c>
      <c r="CF1739" s="3">
        <v>45883</v>
      </c>
      <c r="CI1739">
        <v>1</v>
      </c>
      <c r="CJ1739">
        <v>1</v>
      </c>
      <c r="CK1739">
        <v>21</v>
      </c>
      <c r="CL1739" t="s">
        <v>90</v>
      </c>
    </row>
    <row r="1740" spans="1:90" x14ac:dyDescent="0.3">
      <c r="A1740" t="s">
        <v>72</v>
      </c>
      <c r="B1740" t="s">
        <v>73</v>
      </c>
      <c r="C1740" t="s">
        <v>74</v>
      </c>
      <c r="E1740" t="str">
        <f>"080067216206"</f>
        <v>080067216206</v>
      </c>
      <c r="F1740" s="3">
        <v>45882</v>
      </c>
      <c r="G1740">
        <v>202605</v>
      </c>
      <c r="H1740" t="s">
        <v>75</v>
      </c>
      <c r="I1740" t="s">
        <v>76</v>
      </c>
      <c r="J1740" t="s">
        <v>77</v>
      </c>
      <c r="K1740" t="s">
        <v>78</v>
      </c>
      <c r="L1740" t="s">
        <v>223</v>
      </c>
      <c r="M1740" t="s">
        <v>224</v>
      </c>
      <c r="N1740" t="s">
        <v>2345</v>
      </c>
      <c r="O1740" t="s">
        <v>82</v>
      </c>
      <c r="P1740" t="str">
        <f>"4170054391                    "</f>
        <v xml:space="preserve">4170054391                    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Q1740">
        <v>23.09</v>
      </c>
      <c r="AR1740">
        <v>0</v>
      </c>
      <c r="AS1740">
        <v>0</v>
      </c>
      <c r="AT1740">
        <v>0</v>
      </c>
      <c r="AU1740">
        <v>0</v>
      </c>
      <c r="AV1740">
        <v>0</v>
      </c>
      <c r="AW1740">
        <v>0</v>
      </c>
      <c r="AX1740">
        <v>0</v>
      </c>
      <c r="AY1740">
        <v>0</v>
      </c>
      <c r="AZ1740">
        <v>0</v>
      </c>
      <c r="BA1740">
        <v>0</v>
      </c>
      <c r="BB1740">
        <v>0</v>
      </c>
      <c r="BC1740">
        <v>0</v>
      </c>
      <c r="BD1740">
        <v>0</v>
      </c>
      <c r="BE1740">
        <v>0</v>
      </c>
      <c r="BF1740">
        <v>0</v>
      </c>
      <c r="BG1740">
        <v>0</v>
      </c>
      <c r="BH1740">
        <v>1</v>
      </c>
      <c r="BI1740">
        <v>1</v>
      </c>
      <c r="BJ1740">
        <v>0.2</v>
      </c>
      <c r="BK1740">
        <v>1</v>
      </c>
      <c r="BL1740">
        <v>71.69</v>
      </c>
      <c r="BM1740">
        <v>10.75</v>
      </c>
      <c r="BN1740">
        <v>82.44</v>
      </c>
      <c r="BO1740">
        <v>82.44</v>
      </c>
      <c r="BQ1740" t="s">
        <v>2346</v>
      </c>
      <c r="BR1740" t="s">
        <v>84</v>
      </c>
      <c r="BS1740" s="3">
        <v>45883</v>
      </c>
      <c r="BT1740" s="4">
        <v>0.48125000000000001</v>
      </c>
      <c r="BU1740" t="s">
        <v>2347</v>
      </c>
      <c r="BV1740" t="s">
        <v>86</v>
      </c>
      <c r="BY1740">
        <v>1200</v>
      </c>
      <c r="CA1740" t="s">
        <v>268</v>
      </c>
      <c r="CC1740" t="s">
        <v>224</v>
      </c>
      <c r="CD1740">
        <v>5201</v>
      </c>
      <c r="CE1740" t="s">
        <v>109</v>
      </c>
      <c r="CF1740" s="3">
        <v>45884</v>
      </c>
      <c r="CI1740">
        <v>5</v>
      </c>
      <c r="CJ1740">
        <v>1</v>
      </c>
      <c r="CK1740">
        <v>21</v>
      </c>
      <c r="CL1740" t="s">
        <v>90</v>
      </c>
    </row>
    <row r="1741" spans="1:90" x14ac:dyDescent="0.3">
      <c r="A1741" t="s">
        <v>72</v>
      </c>
      <c r="B1741" t="s">
        <v>73</v>
      </c>
      <c r="C1741" t="s">
        <v>74</v>
      </c>
      <c r="E1741" t="str">
        <f>"080067216247"</f>
        <v>080067216247</v>
      </c>
      <c r="F1741" s="3">
        <v>45882</v>
      </c>
      <c r="G1741">
        <v>202605</v>
      </c>
      <c r="H1741" t="s">
        <v>75</v>
      </c>
      <c r="I1741" t="s">
        <v>76</v>
      </c>
      <c r="J1741" t="s">
        <v>77</v>
      </c>
      <c r="K1741" t="s">
        <v>78</v>
      </c>
      <c r="L1741" t="s">
        <v>291</v>
      </c>
      <c r="M1741" t="s">
        <v>292</v>
      </c>
      <c r="N1741" t="s">
        <v>2393</v>
      </c>
      <c r="O1741" t="s">
        <v>95</v>
      </c>
      <c r="P1741" t="str">
        <f>"4170054457                    "</f>
        <v xml:space="preserve">4170054457                    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Q1741">
        <v>38.479999999999997</v>
      </c>
      <c r="AR1741">
        <v>0</v>
      </c>
      <c r="AS1741">
        <v>0</v>
      </c>
      <c r="AT1741">
        <v>0</v>
      </c>
      <c r="AU1741">
        <v>0</v>
      </c>
      <c r="AV1741">
        <v>0</v>
      </c>
      <c r="AW1741">
        <v>0</v>
      </c>
      <c r="AX1741">
        <v>0</v>
      </c>
      <c r="AY1741">
        <v>0</v>
      </c>
      <c r="AZ1741">
        <v>0</v>
      </c>
      <c r="BA1741">
        <v>0</v>
      </c>
      <c r="BB1741">
        <v>0</v>
      </c>
      <c r="BC1741">
        <v>0</v>
      </c>
      <c r="BD1741">
        <v>0</v>
      </c>
      <c r="BE1741">
        <v>0</v>
      </c>
      <c r="BF1741">
        <v>0</v>
      </c>
      <c r="BG1741">
        <v>0</v>
      </c>
      <c r="BH1741">
        <v>1</v>
      </c>
      <c r="BI1741">
        <v>8</v>
      </c>
      <c r="BJ1741">
        <v>18.3</v>
      </c>
      <c r="BK1741">
        <v>19</v>
      </c>
      <c r="BL1741">
        <v>125.35</v>
      </c>
      <c r="BM1741">
        <v>18.8</v>
      </c>
      <c r="BN1741">
        <v>144.15</v>
      </c>
      <c r="BO1741">
        <v>144.15</v>
      </c>
      <c r="BQ1741" t="s">
        <v>2394</v>
      </c>
      <c r="BR1741" t="s">
        <v>84</v>
      </c>
      <c r="BS1741" s="3">
        <v>45883</v>
      </c>
      <c r="BT1741" s="4">
        <v>0.46805555555555556</v>
      </c>
      <c r="BU1741" t="s">
        <v>2395</v>
      </c>
      <c r="BV1741" t="s">
        <v>86</v>
      </c>
      <c r="BY1741">
        <v>91264</v>
      </c>
      <c r="CA1741" t="s">
        <v>2396</v>
      </c>
      <c r="CC1741" t="s">
        <v>292</v>
      </c>
      <c r="CD1741">
        <v>1451</v>
      </c>
      <c r="CE1741" t="s">
        <v>147</v>
      </c>
      <c r="CF1741" s="3">
        <v>45883</v>
      </c>
      <c r="CI1741">
        <v>1</v>
      </c>
      <c r="CJ1741">
        <v>1</v>
      </c>
      <c r="CK1741">
        <v>42</v>
      </c>
      <c r="CL1741" t="s">
        <v>90</v>
      </c>
    </row>
    <row r="1742" spans="1:90" x14ac:dyDescent="0.3">
      <c r="A1742" t="s">
        <v>72</v>
      </c>
      <c r="B1742" t="s">
        <v>73</v>
      </c>
      <c r="C1742" t="s">
        <v>74</v>
      </c>
      <c r="E1742" t="str">
        <f>"080067216291"</f>
        <v>080067216291</v>
      </c>
      <c r="F1742" s="3">
        <v>45882</v>
      </c>
      <c r="G1742">
        <v>202605</v>
      </c>
      <c r="H1742" t="s">
        <v>75</v>
      </c>
      <c r="I1742" t="s">
        <v>76</v>
      </c>
      <c r="J1742" t="s">
        <v>77</v>
      </c>
      <c r="K1742" t="s">
        <v>78</v>
      </c>
      <c r="L1742" t="s">
        <v>335</v>
      </c>
      <c r="M1742" t="s">
        <v>336</v>
      </c>
      <c r="N1742" t="s">
        <v>727</v>
      </c>
      <c r="O1742" t="s">
        <v>82</v>
      </c>
      <c r="P1742" t="str">
        <f>"4170054657                    "</f>
        <v xml:space="preserve">4170054657                    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0</v>
      </c>
      <c r="AQ1742">
        <v>44.73</v>
      </c>
      <c r="AR1742">
        <v>0</v>
      </c>
      <c r="AS1742">
        <v>0</v>
      </c>
      <c r="AT1742">
        <v>0</v>
      </c>
      <c r="AU1742">
        <v>0</v>
      </c>
      <c r="AV1742">
        <v>0</v>
      </c>
      <c r="AW1742">
        <v>0</v>
      </c>
      <c r="AX1742">
        <v>0</v>
      </c>
      <c r="AY1742">
        <v>0</v>
      </c>
      <c r="AZ1742">
        <v>0</v>
      </c>
      <c r="BA1742">
        <v>0</v>
      </c>
      <c r="BB1742">
        <v>0</v>
      </c>
      <c r="BC1742">
        <v>0</v>
      </c>
      <c r="BD1742">
        <v>0</v>
      </c>
      <c r="BE1742">
        <v>0</v>
      </c>
      <c r="BF1742">
        <v>0</v>
      </c>
      <c r="BG1742">
        <v>0</v>
      </c>
      <c r="BH1742">
        <v>1</v>
      </c>
      <c r="BI1742">
        <v>1</v>
      </c>
      <c r="BJ1742">
        <v>1.1000000000000001</v>
      </c>
      <c r="BK1742">
        <v>1.5</v>
      </c>
      <c r="BL1742">
        <v>138.88999999999999</v>
      </c>
      <c r="BM1742">
        <v>20.83</v>
      </c>
      <c r="BN1742">
        <v>159.72</v>
      </c>
      <c r="BO1742">
        <v>159.72</v>
      </c>
      <c r="BQ1742" t="s">
        <v>728</v>
      </c>
      <c r="BR1742" t="s">
        <v>84</v>
      </c>
      <c r="BS1742" s="3">
        <v>45883</v>
      </c>
      <c r="BT1742" s="4">
        <v>0.40277777777777779</v>
      </c>
      <c r="BU1742" t="s">
        <v>1587</v>
      </c>
      <c r="BV1742" t="s">
        <v>86</v>
      </c>
      <c r="BY1742">
        <v>5320</v>
      </c>
      <c r="CA1742" t="s">
        <v>730</v>
      </c>
      <c r="CC1742" t="s">
        <v>336</v>
      </c>
      <c r="CD1742" s="5" t="s">
        <v>341</v>
      </c>
      <c r="CE1742" t="s">
        <v>147</v>
      </c>
      <c r="CF1742" s="3">
        <v>45884</v>
      </c>
      <c r="CI1742">
        <v>1</v>
      </c>
      <c r="CJ1742">
        <v>1</v>
      </c>
      <c r="CK1742">
        <v>23</v>
      </c>
      <c r="CL1742" t="s">
        <v>90</v>
      </c>
    </row>
    <row r="1743" spans="1:90" x14ac:dyDescent="0.3">
      <c r="A1743" t="s">
        <v>72</v>
      </c>
      <c r="B1743" t="s">
        <v>73</v>
      </c>
      <c r="C1743" t="s">
        <v>74</v>
      </c>
      <c r="E1743" t="str">
        <f>"080067216407"</f>
        <v>080067216407</v>
      </c>
      <c r="F1743" s="3">
        <v>45882</v>
      </c>
      <c r="G1743">
        <v>202605</v>
      </c>
      <c r="H1743" t="s">
        <v>75</v>
      </c>
      <c r="I1743" t="s">
        <v>76</v>
      </c>
      <c r="J1743" t="s">
        <v>77</v>
      </c>
      <c r="K1743" t="s">
        <v>78</v>
      </c>
      <c r="L1743" t="s">
        <v>123</v>
      </c>
      <c r="M1743" t="s">
        <v>124</v>
      </c>
      <c r="N1743" t="s">
        <v>125</v>
      </c>
      <c r="O1743" t="s">
        <v>82</v>
      </c>
      <c r="P1743" t="str">
        <f>"4170054564                    "</f>
        <v xml:space="preserve">4170054564                    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>
        <v>57.68</v>
      </c>
      <c r="AR1743">
        <v>0</v>
      </c>
      <c r="AS1743">
        <v>0</v>
      </c>
      <c r="AT1743">
        <v>0</v>
      </c>
      <c r="AU1743">
        <v>0</v>
      </c>
      <c r="AV1743">
        <v>0</v>
      </c>
      <c r="AW1743">
        <v>0</v>
      </c>
      <c r="AX1743">
        <v>0</v>
      </c>
      <c r="AY1743">
        <v>0</v>
      </c>
      <c r="AZ1743">
        <v>0</v>
      </c>
      <c r="BA1743">
        <v>0</v>
      </c>
      <c r="BB1743">
        <v>0</v>
      </c>
      <c r="BC1743">
        <v>0</v>
      </c>
      <c r="BD1743">
        <v>0</v>
      </c>
      <c r="BE1743">
        <v>0</v>
      </c>
      <c r="BF1743">
        <v>0</v>
      </c>
      <c r="BG1743">
        <v>0</v>
      </c>
      <c r="BH1743">
        <v>1</v>
      </c>
      <c r="BI1743">
        <v>5</v>
      </c>
      <c r="BJ1743">
        <v>1.6</v>
      </c>
      <c r="BK1743">
        <v>5</v>
      </c>
      <c r="BL1743">
        <v>179.12</v>
      </c>
      <c r="BM1743">
        <v>26.87</v>
      </c>
      <c r="BN1743">
        <v>205.99</v>
      </c>
      <c r="BO1743">
        <v>205.99</v>
      </c>
      <c r="BQ1743" t="s">
        <v>126</v>
      </c>
      <c r="BR1743" t="s">
        <v>84</v>
      </c>
      <c r="BS1743" s="3">
        <v>45883</v>
      </c>
      <c r="BT1743" s="4">
        <v>0.33888888888888891</v>
      </c>
      <c r="BU1743" t="s">
        <v>605</v>
      </c>
      <c r="BV1743" t="s">
        <v>86</v>
      </c>
      <c r="BY1743">
        <v>7776</v>
      </c>
      <c r="CA1743" t="s">
        <v>128</v>
      </c>
      <c r="CC1743" t="s">
        <v>124</v>
      </c>
      <c r="CD1743">
        <v>7530</v>
      </c>
      <c r="CE1743" t="s">
        <v>117</v>
      </c>
      <c r="CF1743" s="3">
        <v>45884</v>
      </c>
      <c r="CI1743">
        <v>1</v>
      </c>
      <c r="CJ1743">
        <v>1</v>
      </c>
      <c r="CK1743">
        <v>21</v>
      </c>
      <c r="CL1743" t="s">
        <v>90</v>
      </c>
    </row>
    <row r="1744" spans="1:90" x14ac:dyDescent="0.3">
      <c r="A1744" t="s">
        <v>72</v>
      </c>
      <c r="B1744" t="s">
        <v>73</v>
      </c>
      <c r="C1744" t="s">
        <v>74</v>
      </c>
      <c r="E1744" t="str">
        <f>"080067216425"</f>
        <v>080067216425</v>
      </c>
      <c r="F1744" s="3">
        <v>45882</v>
      </c>
      <c r="G1744">
        <v>202605</v>
      </c>
      <c r="H1744" t="s">
        <v>75</v>
      </c>
      <c r="I1744" t="s">
        <v>76</v>
      </c>
      <c r="J1744" t="s">
        <v>77</v>
      </c>
      <c r="K1744" t="s">
        <v>78</v>
      </c>
      <c r="L1744" t="s">
        <v>349</v>
      </c>
      <c r="M1744" t="s">
        <v>350</v>
      </c>
      <c r="N1744" t="s">
        <v>351</v>
      </c>
      <c r="O1744" t="s">
        <v>82</v>
      </c>
      <c r="P1744" t="str">
        <f>"4170054404                    "</f>
        <v xml:space="preserve">4170054404                    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>
        <v>44.73</v>
      </c>
      <c r="AR1744">
        <v>0</v>
      </c>
      <c r="AS1744">
        <v>0</v>
      </c>
      <c r="AT1744">
        <v>0</v>
      </c>
      <c r="AU1744">
        <v>0</v>
      </c>
      <c r="AV1744">
        <v>0</v>
      </c>
      <c r="AW1744">
        <v>16.739999999999998</v>
      </c>
      <c r="AX1744">
        <v>0</v>
      </c>
      <c r="AY1744">
        <v>0</v>
      </c>
      <c r="AZ1744">
        <v>0</v>
      </c>
      <c r="BA1744">
        <v>0</v>
      </c>
      <c r="BB1744">
        <v>0</v>
      </c>
      <c r="BC1744">
        <v>0</v>
      </c>
      <c r="BD1744">
        <v>0</v>
      </c>
      <c r="BE1744">
        <v>0</v>
      </c>
      <c r="BF1744">
        <v>0</v>
      </c>
      <c r="BG1744">
        <v>0</v>
      </c>
      <c r="BH1744">
        <v>1</v>
      </c>
      <c r="BI1744">
        <v>2</v>
      </c>
      <c r="BJ1744">
        <v>0.6</v>
      </c>
      <c r="BK1744">
        <v>2</v>
      </c>
      <c r="BL1744">
        <v>155.63</v>
      </c>
      <c r="BM1744">
        <v>23.34</v>
      </c>
      <c r="BN1744">
        <v>178.97</v>
      </c>
      <c r="BO1744">
        <v>178.97</v>
      </c>
      <c r="BQ1744" t="s">
        <v>352</v>
      </c>
      <c r="BR1744" t="s">
        <v>84</v>
      </c>
      <c r="BS1744" s="3">
        <v>45883</v>
      </c>
      <c r="BT1744" s="4">
        <v>0.60833333333333328</v>
      </c>
      <c r="BU1744" t="s">
        <v>604</v>
      </c>
      <c r="BV1744" t="s">
        <v>86</v>
      </c>
      <c r="BY1744">
        <v>3192</v>
      </c>
      <c r="BZ1744" t="s">
        <v>30</v>
      </c>
      <c r="CA1744" t="s">
        <v>651</v>
      </c>
      <c r="CC1744" t="s">
        <v>350</v>
      </c>
      <c r="CD1744" s="5" t="s">
        <v>355</v>
      </c>
      <c r="CE1744" t="s">
        <v>147</v>
      </c>
      <c r="CF1744" s="3">
        <v>45883</v>
      </c>
      <c r="CI1744">
        <v>1</v>
      </c>
      <c r="CJ1744">
        <v>1</v>
      </c>
      <c r="CK1744">
        <v>23</v>
      </c>
      <c r="CL1744" t="s">
        <v>90</v>
      </c>
    </row>
    <row r="1745" spans="1:90" x14ac:dyDescent="0.3">
      <c r="A1745" t="s">
        <v>72</v>
      </c>
      <c r="B1745" t="s">
        <v>73</v>
      </c>
      <c r="C1745" t="s">
        <v>74</v>
      </c>
      <c r="E1745" t="str">
        <f>"080067216459"</f>
        <v>080067216459</v>
      </c>
      <c r="F1745" s="3">
        <v>45882</v>
      </c>
      <c r="G1745">
        <v>202605</v>
      </c>
      <c r="H1745" t="s">
        <v>75</v>
      </c>
      <c r="I1745" t="s">
        <v>76</v>
      </c>
      <c r="J1745" t="s">
        <v>77</v>
      </c>
      <c r="K1745" t="s">
        <v>78</v>
      </c>
      <c r="L1745" t="s">
        <v>198</v>
      </c>
      <c r="M1745" t="s">
        <v>199</v>
      </c>
      <c r="N1745" t="s">
        <v>955</v>
      </c>
      <c r="O1745" t="s">
        <v>82</v>
      </c>
      <c r="P1745" t="str">
        <f>"4170054461                    "</f>
        <v xml:space="preserve">4170054461                    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0</v>
      </c>
      <c r="AQ1745">
        <v>23.09</v>
      </c>
      <c r="AR1745">
        <v>0</v>
      </c>
      <c r="AS1745">
        <v>0</v>
      </c>
      <c r="AT1745">
        <v>0</v>
      </c>
      <c r="AU1745">
        <v>0</v>
      </c>
      <c r="AV1745">
        <v>0</v>
      </c>
      <c r="AW1745">
        <v>0</v>
      </c>
      <c r="AX1745">
        <v>0</v>
      </c>
      <c r="AY1745">
        <v>0</v>
      </c>
      <c r="AZ1745">
        <v>0</v>
      </c>
      <c r="BA1745">
        <v>0</v>
      </c>
      <c r="BB1745">
        <v>0</v>
      </c>
      <c r="BC1745">
        <v>0</v>
      </c>
      <c r="BD1745">
        <v>0</v>
      </c>
      <c r="BE1745">
        <v>0</v>
      </c>
      <c r="BF1745">
        <v>0</v>
      </c>
      <c r="BG1745">
        <v>0</v>
      </c>
      <c r="BH1745">
        <v>1</v>
      </c>
      <c r="BI1745">
        <v>1</v>
      </c>
      <c r="BJ1745">
        <v>0.2</v>
      </c>
      <c r="BK1745">
        <v>1</v>
      </c>
      <c r="BL1745">
        <v>71.69</v>
      </c>
      <c r="BM1745">
        <v>10.75</v>
      </c>
      <c r="BN1745">
        <v>82.44</v>
      </c>
      <c r="BO1745">
        <v>82.44</v>
      </c>
      <c r="BQ1745" t="s">
        <v>956</v>
      </c>
      <c r="BR1745" t="s">
        <v>84</v>
      </c>
      <c r="BS1745" s="3">
        <v>45883</v>
      </c>
      <c r="BT1745" s="4">
        <v>0.36319444444444443</v>
      </c>
      <c r="BU1745" t="s">
        <v>2397</v>
      </c>
      <c r="BV1745" t="s">
        <v>86</v>
      </c>
      <c r="BY1745">
        <v>1200</v>
      </c>
      <c r="CA1745" t="s">
        <v>433</v>
      </c>
      <c r="CC1745" t="s">
        <v>199</v>
      </c>
      <c r="CD1745">
        <v>6012</v>
      </c>
      <c r="CE1745" t="s">
        <v>109</v>
      </c>
      <c r="CF1745" s="3">
        <v>45883</v>
      </c>
      <c r="CI1745">
        <v>1</v>
      </c>
      <c r="CJ1745">
        <v>1</v>
      </c>
      <c r="CK1745">
        <v>21</v>
      </c>
      <c r="CL1745" t="s">
        <v>90</v>
      </c>
    </row>
    <row r="1746" spans="1:90" x14ac:dyDescent="0.3">
      <c r="A1746" t="s">
        <v>72</v>
      </c>
      <c r="B1746" t="s">
        <v>73</v>
      </c>
      <c r="C1746" t="s">
        <v>74</v>
      </c>
      <c r="E1746" t="str">
        <f>"080067216787"</f>
        <v>080067216787</v>
      </c>
      <c r="F1746" s="3">
        <v>45882</v>
      </c>
      <c r="G1746">
        <v>202605</v>
      </c>
      <c r="H1746" t="s">
        <v>75</v>
      </c>
      <c r="I1746" t="s">
        <v>76</v>
      </c>
      <c r="J1746" t="s">
        <v>77</v>
      </c>
      <c r="K1746" t="s">
        <v>78</v>
      </c>
      <c r="L1746" t="s">
        <v>198</v>
      </c>
      <c r="M1746" t="s">
        <v>199</v>
      </c>
      <c r="N1746" t="s">
        <v>200</v>
      </c>
      <c r="O1746" t="s">
        <v>82</v>
      </c>
      <c r="P1746" t="str">
        <f>"4170054685                    "</f>
        <v xml:space="preserve">4170054685                    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>
        <v>23.09</v>
      </c>
      <c r="AR1746">
        <v>0</v>
      </c>
      <c r="AS1746">
        <v>0</v>
      </c>
      <c r="AT1746">
        <v>0</v>
      </c>
      <c r="AU1746">
        <v>0</v>
      </c>
      <c r="AV1746">
        <v>0</v>
      </c>
      <c r="AW1746">
        <v>0</v>
      </c>
      <c r="AX1746">
        <v>0</v>
      </c>
      <c r="AY1746">
        <v>0</v>
      </c>
      <c r="AZ1746">
        <v>0</v>
      </c>
      <c r="BA1746">
        <v>0</v>
      </c>
      <c r="BB1746">
        <v>0</v>
      </c>
      <c r="BC1746">
        <v>0</v>
      </c>
      <c r="BD1746">
        <v>0</v>
      </c>
      <c r="BE1746">
        <v>0</v>
      </c>
      <c r="BF1746">
        <v>0</v>
      </c>
      <c r="BG1746">
        <v>0</v>
      </c>
      <c r="BH1746">
        <v>1</v>
      </c>
      <c r="BI1746">
        <v>1</v>
      </c>
      <c r="BJ1746">
        <v>1.1000000000000001</v>
      </c>
      <c r="BK1746">
        <v>1.5</v>
      </c>
      <c r="BL1746">
        <v>71.69</v>
      </c>
      <c r="BM1746">
        <v>10.75</v>
      </c>
      <c r="BN1746">
        <v>82.44</v>
      </c>
      <c r="BO1746">
        <v>82.44</v>
      </c>
      <c r="BQ1746" t="s">
        <v>201</v>
      </c>
      <c r="BR1746" t="s">
        <v>84</v>
      </c>
      <c r="BS1746" s="3">
        <v>45884</v>
      </c>
      <c r="BT1746" s="4">
        <v>0.41180555555555554</v>
      </c>
      <c r="BU1746" t="s">
        <v>2398</v>
      </c>
      <c r="BV1746" t="s">
        <v>90</v>
      </c>
      <c r="BW1746" t="s">
        <v>134</v>
      </c>
      <c r="BX1746" t="s">
        <v>1360</v>
      </c>
      <c r="BY1746">
        <v>5320</v>
      </c>
      <c r="CA1746" t="s">
        <v>203</v>
      </c>
      <c r="CC1746" t="s">
        <v>199</v>
      </c>
      <c r="CD1746">
        <v>6001</v>
      </c>
      <c r="CE1746" t="s">
        <v>147</v>
      </c>
      <c r="CF1746" s="3">
        <v>45884</v>
      </c>
      <c r="CI1746">
        <v>1</v>
      </c>
      <c r="CJ1746">
        <v>2</v>
      </c>
      <c r="CK1746">
        <v>21</v>
      </c>
      <c r="CL1746" t="s">
        <v>90</v>
      </c>
    </row>
    <row r="1747" spans="1:90" x14ac:dyDescent="0.3">
      <c r="A1747" t="s">
        <v>72</v>
      </c>
      <c r="B1747" t="s">
        <v>73</v>
      </c>
      <c r="C1747" t="s">
        <v>74</v>
      </c>
      <c r="E1747" t="str">
        <f>"080067216808"</f>
        <v>080067216808</v>
      </c>
      <c r="F1747" s="3">
        <v>45882</v>
      </c>
      <c r="G1747">
        <v>202605</v>
      </c>
      <c r="H1747" t="s">
        <v>75</v>
      </c>
      <c r="I1747" t="s">
        <v>76</v>
      </c>
      <c r="J1747" t="s">
        <v>77</v>
      </c>
      <c r="K1747" t="s">
        <v>78</v>
      </c>
      <c r="L1747" t="s">
        <v>198</v>
      </c>
      <c r="M1747" t="s">
        <v>199</v>
      </c>
      <c r="N1747" t="s">
        <v>1357</v>
      </c>
      <c r="O1747" t="s">
        <v>82</v>
      </c>
      <c r="P1747" t="str">
        <f>"4170054423                    "</f>
        <v xml:space="preserve">4170054423                    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0</v>
      </c>
      <c r="AQ1747">
        <v>23.09</v>
      </c>
      <c r="AR1747">
        <v>0</v>
      </c>
      <c r="AS1747">
        <v>0</v>
      </c>
      <c r="AT1747">
        <v>0</v>
      </c>
      <c r="AU1747">
        <v>0</v>
      </c>
      <c r="AV1747">
        <v>0</v>
      </c>
      <c r="AW1747">
        <v>0</v>
      </c>
      <c r="AX1747">
        <v>0</v>
      </c>
      <c r="AY1747">
        <v>0</v>
      </c>
      <c r="AZ1747">
        <v>0</v>
      </c>
      <c r="BA1747">
        <v>0</v>
      </c>
      <c r="BB1747">
        <v>0</v>
      </c>
      <c r="BC1747">
        <v>0</v>
      </c>
      <c r="BD1747">
        <v>0</v>
      </c>
      <c r="BE1747">
        <v>0</v>
      </c>
      <c r="BF1747">
        <v>0</v>
      </c>
      <c r="BG1747">
        <v>0</v>
      </c>
      <c r="BH1747">
        <v>1</v>
      </c>
      <c r="BI1747">
        <v>1</v>
      </c>
      <c r="BJ1747">
        <v>0.2</v>
      </c>
      <c r="BK1747">
        <v>1</v>
      </c>
      <c r="BL1747">
        <v>71.69</v>
      </c>
      <c r="BM1747">
        <v>10.75</v>
      </c>
      <c r="BN1747">
        <v>82.44</v>
      </c>
      <c r="BO1747">
        <v>82.44</v>
      </c>
      <c r="BQ1747" t="s">
        <v>1358</v>
      </c>
      <c r="BR1747" t="s">
        <v>84</v>
      </c>
      <c r="BS1747" s="3">
        <v>45883</v>
      </c>
      <c r="BT1747" s="4">
        <v>0.37152777777777779</v>
      </c>
      <c r="BU1747" t="s">
        <v>2076</v>
      </c>
      <c r="BV1747" t="s">
        <v>86</v>
      </c>
      <c r="BY1747">
        <v>1200</v>
      </c>
      <c r="CA1747" t="s">
        <v>203</v>
      </c>
      <c r="CC1747" t="s">
        <v>199</v>
      </c>
      <c r="CD1747">
        <v>6001</v>
      </c>
      <c r="CE1747" t="s">
        <v>109</v>
      </c>
      <c r="CF1747" s="3">
        <v>45883</v>
      </c>
      <c r="CI1747">
        <v>1</v>
      </c>
      <c r="CJ1747">
        <v>1</v>
      </c>
      <c r="CK1747">
        <v>21</v>
      </c>
      <c r="CL1747" t="s">
        <v>90</v>
      </c>
    </row>
    <row r="1748" spans="1:90" x14ac:dyDescent="0.3">
      <c r="A1748" t="s">
        <v>72</v>
      </c>
      <c r="B1748" t="s">
        <v>73</v>
      </c>
      <c r="C1748" t="s">
        <v>74</v>
      </c>
      <c r="E1748" t="str">
        <f>"080067216822"</f>
        <v>080067216822</v>
      </c>
      <c r="F1748" s="3">
        <v>45882</v>
      </c>
      <c r="G1748">
        <v>202605</v>
      </c>
      <c r="H1748" t="s">
        <v>75</v>
      </c>
      <c r="I1748" t="s">
        <v>76</v>
      </c>
      <c r="J1748" t="s">
        <v>77</v>
      </c>
      <c r="K1748" t="s">
        <v>78</v>
      </c>
      <c r="L1748" t="s">
        <v>373</v>
      </c>
      <c r="M1748" t="s">
        <v>374</v>
      </c>
      <c r="N1748" t="s">
        <v>383</v>
      </c>
      <c r="O1748" t="s">
        <v>82</v>
      </c>
      <c r="P1748" t="str">
        <f>"4170054694                    "</f>
        <v xml:space="preserve">4170054694                    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0</v>
      </c>
      <c r="AQ1748">
        <v>23.09</v>
      </c>
      <c r="AR1748">
        <v>0</v>
      </c>
      <c r="AS1748">
        <v>0</v>
      </c>
      <c r="AT1748">
        <v>0</v>
      </c>
      <c r="AU1748">
        <v>0</v>
      </c>
      <c r="AV1748">
        <v>0</v>
      </c>
      <c r="AW1748">
        <v>0</v>
      </c>
      <c r="AX1748">
        <v>0</v>
      </c>
      <c r="AY1748">
        <v>0</v>
      </c>
      <c r="AZ1748">
        <v>0</v>
      </c>
      <c r="BA1748">
        <v>0</v>
      </c>
      <c r="BB1748">
        <v>0</v>
      </c>
      <c r="BC1748">
        <v>0</v>
      </c>
      <c r="BD1748">
        <v>0</v>
      </c>
      <c r="BE1748">
        <v>0</v>
      </c>
      <c r="BF1748">
        <v>0</v>
      </c>
      <c r="BG1748">
        <v>0</v>
      </c>
      <c r="BH1748">
        <v>1</v>
      </c>
      <c r="BI1748">
        <v>2</v>
      </c>
      <c r="BJ1748">
        <v>1.2</v>
      </c>
      <c r="BK1748">
        <v>2</v>
      </c>
      <c r="BL1748">
        <v>71.69</v>
      </c>
      <c r="BM1748">
        <v>10.75</v>
      </c>
      <c r="BN1748">
        <v>82.44</v>
      </c>
      <c r="BO1748">
        <v>82.44</v>
      </c>
      <c r="BQ1748" t="s">
        <v>384</v>
      </c>
      <c r="BR1748" t="s">
        <v>84</v>
      </c>
      <c r="BS1748" s="3">
        <v>45883</v>
      </c>
      <c r="BT1748" s="4">
        <v>0.65277777777777779</v>
      </c>
      <c r="BU1748" t="s">
        <v>2399</v>
      </c>
      <c r="BV1748" t="s">
        <v>90</v>
      </c>
      <c r="BW1748" t="s">
        <v>364</v>
      </c>
      <c r="BX1748" t="s">
        <v>965</v>
      </c>
      <c r="BY1748">
        <v>6160</v>
      </c>
      <c r="CC1748" t="s">
        <v>374</v>
      </c>
      <c r="CD1748">
        <v>6220</v>
      </c>
      <c r="CE1748" t="s">
        <v>117</v>
      </c>
      <c r="CF1748" s="3">
        <v>45884</v>
      </c>
      <c r="CI1748">
        <v>1</v>
      </c>
      <c r="CJ1748">
        <v>1</v>
      </c>
      <c r="CK1748">
        <v>21</v>
      </c>
      <c r="CL1748" t="s">
        <v>90</v>
      </c>
    </row>
    <row r="1749" spans="1:90" x14ac:dyDescent="0.3">
      <c r="A1749" t="s">
        <v>72</v>
      </c>
      <c r="B1749" t="s">
        <v>73</v>
      </c>
      <c r="C1749" t="s">
        <v>74</v>
      </c>
      <c r="E1749" t="str">
        <f>"080067216831"</f>
        <v>080067216831</v>
      </c>
      <c r="F1749" s="3">
        <v>45882</v>
      </c>
      <c r="G1749">
        <v>202605</v>
      </c>
      <c r="H1749" t="s">
        <v>75</v>
      </c>
      <c r="I1749" t="s">
        <v>76</v>
      </c>
      <c r="J1749" t="s">
        <v>77</v>
      </c>
      <c r="K1749" t="s">
        <v>78</v>
      </c>
      <c r="L1749" t="s">
        <v>1316</v>
      </c>
      <c r="M1749" t="s">
        <v>1317</v>
      </c>
      <c r="N1749" t="s">
        <v>1318</v>
      </c>
      <c r="O1749" t="s">
        <v>82</v>
      </c>
      <c r="P1749" t="str">
        <f>"4170054455                    "</f>
        <v xml:space="preserve">4170054455                    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0</v>
      </c>
      <c r="AP1749">
        <v>0</v>
      </c>
      <c r="AQ1749">
        <v>23.09</v>
      </c>
      <c r="AR1749">
        <v>0</v>
      </c>
      <c r="AS1749">
        <v>0</v>
      </c>
      <c r="AT1749">
        <v>0</v>
      </c>
      <c r="AU1749">
        <v>0</v>
      </c>
      <c r="AV1749">
        <v>0</v>
      </c>
      <c r="AW1749">
        <v>0</v>
      </c>
      <c r="AX1749">
        <v>0</v>
      </c>
      <c r="AY1749">
        <v>0</v>
      </c>
      <c r="AZ1749">
        <v>0</v>
      </c>
      <c r="BA1749">
        <v>0</v>
      </c>
      <c r="BB1749">
        <v>0</v>
      </c>
      <c r="BC1749">
        <v>0</v>
      </c>
      <c r="BD1749">
        <v>0</v>
      </c>
      <c r="BE1749">
        <v>0</v>
      </c>
      <c r="BF1749">
        <v>0</v>
      </c>
      <c r="BG1749">
        <v>0</v>
      </c>
      <c r="BH1749">
        <v>1</v>
      </c>
      <c r="BI1749">
        <v>1</v>
      </c>
      <c r="BJ1749">
        <v>0.2</v>
      </c>
      <c r="BK1749">
        <v>1</v>
      </c>
      <c r="BL1749">
        <v>71.69</v>
      </c>
      <c r="BM1749">
        <v>10.75</v>
      </c>
      <c r="BN1749">
        <v>82.44</v>
      </c>
      <c r="BO1749">
        <v>82.44</v>
      </c>
      <c r="BQ1749" t="s">
        <v>1319</v>
      </c>
      <c r="BR1749" t="s">
        <v>84</v>
      </c>
      <c r="BS1749" s="3">
        <v>45883</v>
      </c>
      <c r="BT1749" s="4">
        <v>0.42291666666666666</v>
      </c>
      <c r="BU1749" t="s">
        <v>1646</v>
      </c>
      <c r="BV1749" t="s">
        <v>86</v>
      </c>
      <c r="BY1749">
        <v>1200</v>
      </c>
      <c r="CA1749" t="s">
        <v>136</v>
      </c>
      <c r="CC1749" t="s">
        <v>1317</v>
      </c>
      <c r="CD1749">
        <v>4026</v>
      </c>
      <c r="CE1749" t="s">
        <v>109</v>
      </c>
      <c r="CF1749" s="3">
        <v>45887</v>
      </c>
      <c r="CI1749">
        <v>1</v>
      </c>
      <c r="CJ1749">
        <v>1</v>
      </c>
      <c r="CK1749">
        <v>21</v>
      </c>
      <c r="CL1749" t="s">
        <v>90</v>
      </c>
    </row>
    <row r="1750" spans="1:90" x14ac:dyDescent="0.3">
      <c r="A1750" t="s">
        <v>72</v>
      </c>
      <c r="B1750" t="s">
        <v>73</v>
      </c>
      <c r="C1750" t="s">
        <v>74</v>
      </c>
      <c r="E1750" t="str">
        <f>"080067216866"</f>
        <v>080067216866</v>
      </c>
      <c r="F1750" s="3">
        <v>45882</v>
      </c>
      <c r="G1750">
        <v>202605</v>
      </c>
      <c r="H1750" t="s">
        <v>75</v>
      </c>
      <c r="I1750" t="s">
        <v>76</v>
      </c>
      <c r="J1750" t="s">
        <v>77</v>
      </c>
      <c r="K1750" t="s">
        <v>78</v>
      </c>
      <c r="L1750" t="s">
        <v>520</v>
      </c>
      <c r="M1750" t="s">
        <v>521</v>
      </c>
      <c r="N1750" t="s">
        <v>1826</v>
      </c>
      <c r="O1750" t="s">
        <v>82</v>
      </c>
      <c r="P1750" t="str">
        <f>"4170054406                    "</f>
        <v xml:space="preserve">4170054406                    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0</v>
      </c>
      <c r="AQ1750">
        <v>44.73</v>
      </c>
      <c r="AR1750">
        <v>0</v>
      </c>
      <c r="AS1750">
        <v>0</v>
      </c>
      <c r="AT1750">
        <v>0</v>
      </c>
      <c r="AU1750">
        <v>0</v>
      </c>
      <c r="AV1750">
        <v>0</v>
      </c>
      <c r="AW1750">
        <v>0</v>
      </c>
      <c r="AX1750">
        <v>0</v>
      </c>
      <c r="AY1750">
        <v>0</v>
      </c>
      <c r="AZ1750">
        <v>0</v>
      </c>
      <c r="BA1750">
        <v>0</v>
      </c>
      <c r="BB1750">
        <v>0</v>
      </c>
      <c r="BC1750">
        <v>0</v>
      </c>
      <c r="BD1750">
        <v>0</v>
      </c>
      <c r="BE1750">
        <v>0</v>
      </c>
      <c r="BF1750">
        <v>0</v>
      </c>
      <c r="BG1750">
        <v>0</v>
      </c>
      <c r="BH1750">
        <v>1</v>
      </c>
      <c r="BI1750">
        <v>1</v>
      </c>
      <c r="BJ1750">
        <v>0.2</v>
      </c>
      <c r="BK1750">
        <v>1</v>
      </c>
      <c r="BL1750">
        <v>138.88999999999999</v>
      </c>
      <c r="BM1750">
        <v>20.83</v>
      </c>
      <c r="BN1750">
        <v>159.72</v>
      </c>
      <c r="BO1750">
        <v>159.72</v>
      </c>
      <c r="BQ1750" t="s">
        <v>1827</v>
      </c>
      <c r="BR1750" t="s">
        <v>84</v>
      </c>
      <c r="BS1750" s="3">
        <v>45883</v>
      </c>
      <c r="BT1750" s="4">
        <v>0.4375</v>
      </c>
      <c r="BU1750" t="s">
        <v>2231</v>
      </c>
      <c r="BV1750" t="s">
        <v>86</v>
      </c>
      <c r="BY1750">
        <v>1200</v>
      </c>
      <c r="CA1750" t="s">
        <v>525</v>
      </c>
      <c r="CC1750" t="s">
        <v>521</v>
      </c>
      <c r="CD1750">
        <v>1961</v>
      </c>
      <c r="CE1750" t="s">
        <v>109</v>
      </c>
      <c r="CF1750" s="3">
        <v>45884</v>
      </c>
      <c r="CI1750">
        <v>1</v>
      </c>
      <c r="CJ1750">
        <v>1</v>
      </c>
      <c r="CK1750">
        <v>23</v>
      </c>
      <c r="CL1750" t="s">
        <v>90</v>
      </c>
    </row>
    <row r="1751" spans="1:90" x14ac:dyDescent="0.3">
      <c r="A1751" t="s">
        <v>72</v>
      </c>
      <c r="B1751" t="s">
        <v>73</v>
      </c>
      <c r="C1751" t="s">
        <v>74</v>
      </c>
      <c r="E1751" t="str">
        <f>"080067216885"</f>
        <v>080067216885</v>
      </c>
      <c r="F1751" s="3">
        <v>45882</v>
      </c>
      <c r="G1751">
        <v>202605</v>
      </c>
      <c r="H1751" t="s">
        <v>75</v>
      </c>
      <c r="I1751" t="s">
        <v>76</v>
      </c>
      <c r="J1751" t="s">
        <v>77</v>
      </c>
      <c r="K1751" t="s">
        <v>78</v>
      </c>
      <c r="L1751" t="s">
        <v>162</v>
      </c>
      <c r="M1751" t="s">
        <v>163</v>
      </c>
      <c r="N1751" t="s">
        <v>811</v>
      </c>
      <c r="O1751" t="s">
        <v>82</v>
      </c>
      <c r="P1751" t="str">
        <f>"4170054432                    "</f>
        <v xml:space="preserve">4170054432                    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0</v>
      </c>
      <c r="AQ1751">
        <v>23.09</v>
      </c>
      <c r="AR1751">
        <v>0</v>
      </c>
      <c r="AS1751">
        <v>0</v>
      </c>
      <c r="AT1751">
        <v>0</v>
      </c>
      <c r="AU1751">
        <v>0</v>
      </c>
      <c r="AV1751">
        <v>0</v>
      </c>
      <c r="AW1751">
        <v>0</v>
      </c>
      <c r="AX1751">
        <v>0</v>
      </c>
      <c r="AY1751">
        <v>0</v>
      </c>
      <c r="AZ1751">
        <v>0</v>
      </c>
      <c r="BA1751">
        <v>0</v>
      </c>
      <c r="BB1751">
        <v>0</v>
      </c>
      <c r="BC1751">
        <v>0</v>
      </c>
      <c r="BD1751">
        <v>0</v>
      </c>
      <c r="BE1751">
        <v>0</v>
      </c>
      <c r="BF1751">
        <v>0</v>
      </c>
      <c r="BG1751">
        <v>0</v>
      </c>
      <c r="BH1751">
        <v>1</v>
      </c>
      <c r="BI1751">
        <v>1</v>
      </c>
      <c r="BJ1751">
        <v>0.2</v>
      </c>
      <c r="BK1751">
        <v>1</v>
      </c>
      <c r="BL1751">
        <v>71.69</v>
      </c>
      <c r="BM1751">
        <v>10.75</v>
      </c>
      <c r="BN1751">
        <v>82.44</v>
      </c>
      <c r="BO1751">
        <v>82.44</v>
      </c>
      <c r="BQ1751" t="s">
        <v>812</v>
      </c>
      <c r="BR1751" t="s">
        <v>84</v>
      </c>
      <c r="BS1751" s="3">
        <v>45883</v>
      </c>
      <c r="BT1751" s="4">
        <v>0.37569444444444444</v>
      </c>
      <c r="BU1751" t="s">
        <v>813</v>
      </c>
      <c r="BV1751" t="s">
        <v>86</v>
      </c>
      <c r="BY1751">
        <v>1200</v>
      </c>
      <c r="CA1751" t="s">
        <v>814</v>
      </c>
      <c r="CC1751" t="s">
        <v>163</v>
      </c>
      <c r="CD1751">
        <v>3201</v>
      </c>
      <c r="CE1751" t="s">
        <v>109</v>
      </c>
      <c r="CF1751" s="3">
        <v>45884</v>
      </c>
      <c r="CI1751">
        <v>1</v>
      </c>
      <c r="CJ1751">
        <v>1</v>
      </c>
      <c r="CK1751">
        <v>21</v>
      </c>
      <c r="CL1751" t="s">
        <v>90</v>
      </c>
    </row>
    <row r="1752" spans="1:90" x14ac:dyDescent="0.3">
      <c r="A1752" t="s">
        <v>72</v>
      </c>
      <c r="B1752" t="s">
        <v>73</v>
      </c>
      <c r="C1752" t="s">
        <v>74</v>
      </c>
      <c r="E1752" t="str">
        <f>"080067216908"</f>
        <v>080067216908</v>
      </c>
      <c r="F1752" s="3">
        <v>45882</v>
      </c>
      <c r="G1752">
        <v>202605</v>
      </c>
      <c r="H1752" t="s">
        <v>75</v>
      </c>
      <c r="I1752" t="s">
        <v>76</v>
      </c>
      <c r="J1752" t="s">
        <v>77</v>
      </c>
      <c r="K1752" t="s">
        <v>78</v>
      </c>
      <c r="L1752" t="s">
        <v>123</v>
      </c>
      <c r="M1752" t="s">
        <v>124</v>
      </c>
      <c r="N1752" t="s">
        <v>534</v>
      </c>
      <c r="O1752" t="s">
        <v>82</v>
      </c>
      <c r="P1752" t="str">
        <f>"4170054390                    "</f>
        <v xml:space="preserve">4170054390                    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0</v>
      </c>
      <c r="AQ1752">
        <v>23.09</v>
      </c>
      <c r="AR1752">
        <v>0</v>
      </c>
      <c r="AS1752">
        <v>0</v>
      </c>
      <c r="AT1752">
        <v>0</v>
      </c>
      <c r="AU1752">
        <v>0</v>
      </c>
      <c r="AV1752">
        <v>0</v>
      </c>
      <c r="AW1752">
        <v>0</v>
      </c>
      <c r="AX1752">
        <v>0</v>
      </c>
      <c r="AY1752">
        <v>0</v>
      </c>
      <c r="AZ1752">
        <v>0</v>
      </c>
      <c r="BA1752">
        <v>0</v>
      </c>
      <c r="BB1752">
        <v>0</v>
      </c>
      <c r="BC1752">
        <v>0</v>
      </c>
      <c r="BD1752">
        <v>0</v>
      </c>
      <c r="BE1752">
        <v>0</v>
      </c>
      <c r="BF1752">
        <v>0</v>
      </c>
      <c r="BG1752">
        <v>0</v>
      </c>
      <c r="BH1752">
        <v>1</v>
      </c>
      <c r="BI1752">
        <v>1</v>
      </c>
      <c r="BJ1752">
        <v>0.2</v>
      </c>
      <c r="BK1752">
        <v>1</v>
      </c>
      <c r="BL1752">
        <v>71.69</v>
      </c>
      <c r="BM1752">
        <v>10.75</v>
      </c>
      <c r="BN1752">
        <v>82.44</v>
      </c>
      <c r="BO1752">
        <v>82.44</v>
      </c>
      <c r="BQ1752" t="s">
        <v>535</v>
      </c>
      <c r="BR1752" t="s">
        <v>84</v>
      </c>
      <c r="BS1752" s="3">
        <v>45883</v>
      </c>
      <c r="BT1752" s="4">
        <v>0.39027777777777778</v>
      </c>
      <c r="BU1752" t="s">
        <v>2400</v>
      </c>
      <c r="BV1752" t="s">
        <v>86</v>
      </c>
      <c r="BY1752">
        <v>1200</v>
      </c>
      <c r="CA1752" t="s">
        <v>2401</v>
      </c>
      <c r="CC1752" t="s">
        <v>124</v>
      </c>
      <c r="CD1752">
        <v>7480</v>
      </c>
      <c r="CE1752" t="s">
        <v>109</v>
      </c>
      <c r="CF1752" s="3">
        <v>45884</v>
      </c>
      <c r="CI1752">
        <v>1</v>
      </c>
      <c r="CJ1752">
        <v>1</v>
      </c>
      <c r="CK1752">
        <v>21</v>
      </c>
      <c r="CL1752" t="s">
        <v>90</v>
      </c>
    </row>
    <row r="1753" spans="1:90" x14ac:dyDescent="0.3">
      <c r="A1753" t="s">
        <v>72</v>
      </c>
      <c r="B1753" t="s">
        <v>73</v>
      </c>
      <c r="C1753" t="s">
        <v>74</v>
      </c>
      <c r="E1753" t="str">
        <f>"080067216926"</f>
        <v>080067216926</v>
      </c>
      <c r="F1753" s="3">
        <v>45882</v>
      </c>
      <c r="G1753">
        <v>202605</v>
      </c>
      <c r="H1753" t="s">
        <v>75</v>
      </c>
      <c r="I1753" t="s">
        <v>76</v>
      </c>
      <c r="J1753" t="s">
        <v>77</v>
      </c>
      <c r="K1753" t="s">
        <v>78</v>
      </c>
      <c r="L1753" t="s">
        <v>385</v>
      </c>
      <c r="M1753" t="s">
        <v>386</v>
      </c>
      <c r="N1753" t="s">
        <v>1954</v>
      </c>
      <c r="O1753" t="s">
        <v>82</v>
      </c>
      <c r="P1753" t="str">
        <f>"4170054673                    "</f>
        <v xml:space="preserve">4170054673                    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Q1753">
        <v>18.03</v>
      </c>
      <c r="AR1753">
        <v>0</v>
      </c>
      <c r="AS1753">
        <v>0</v>
      </c>
      <c r="AT1753">
        <v>0</v>
      </c>
      <c r="AU1753">
        <v>0</v>
      </c>
      <c r="AV1753">
        <v>0</v>
      </c>
      <c r="AW1753">
        <v>0</v>
      </c>
      <c r="AX1753">
        <v>0</v>
      </c>
      <c r="AY1753">
        <v>0</v>
      </c>
      <c r="AZ1753">
        <v>0</v>
      </c>
      <c r="BA1753">
        <v>0</v>
      </c>
      <c r="BB1753">
        <v>0</v>
      </c>
      <c r="BC1753">
        <v>0</v>
      </c>
      <c r="BD1753">
        <v>0</v>
      </c>
      <c r="BE1753">
        <v>0</v>
      </c>
      <c r="BF1753">
        <v>0</v>
      </c>
      <c r="BG1753">
        <v>0</v>
      </c>
      <c r="BH1753">
        <v>1</v>
      </c>
      <c r="BI1753">
        <v>1</v>
      </c>
      <c r="BJ1753">
        <v>0.2</v>
      </c>
      <c r="BK1753">
        <v>1</v>
      </c>
      <c r="BL1753">
        <v>55.99</v>
      </c>
      <c r="BM1753">
        <v>8.4</v>
      </c>
      <c r="BN1753">
        <v>64.39</v>
      </c>
      <c r="BO1753">
        <v>64.39</v>
      </c>
      <c r="BQ1753" t="s">
        <v>1955</v>
      </c>
      <c r="BR1753" t="s">
        <v>84</v>
      </c>
      <c r="BS1753" s="3">
        <v>45883</v>
      </c>
      <c r="BT1753" s="4">
        <v>0.40347222222222223</v>
      </c>
      <c r="BU1753" t="s">
        <v>121</v>
      </c>
      <c r="BV1753" t="s">
        <v>86</v>
      </c>
      <c r="BY1753">
        <v>1200</v>
      </c>
      <c r="CA1753" t="s">
        <v>851</v>
      </c>
      <c r="CC1753" t="s">
        <v>386</v>
      </c>
      <c r="CD1753">
        <v>1559</v>
      </c>
      <c r="CE1753" t="s">
        <v>109</v>
      </c>
      <c r="CF1753" s="3">
        <v>45883</v>
      </c>
      <c r="CI1753">
        <v>1</v>
      </c>
      <c r="CJ1753">
        <v>1</v>
      </c>
      <c r="CK1753">
        <v>22</v>
      </c>
      <c r="CL1753" t="s">
        <v>90</v>
      </c>
    </row>
    <row r="1754" spans="1:90" x14ac:dyDescent="0.3">
      <c r="A1754" t="s">
        <v>72</v>
      </c>
      <c r="B1754" t="s">
        <v>73</v>
      </c>
      <c r="C1754" t="s">
        <v>74</v>
      </c>
      <c r="E1754" t="str">
        <f>"080067216944"</f>
        <v>080067216944</v>
      </c>
      <c r="F1754" s="3">
        <v>45882</v>
      </c>
      <c r="G1754">
        <v>202605</v>
      </c>
      <c r="H1754" t="s">
        <v>75</v>
      </c>
      <c r="I1754" t="s">
        <v>76</v>
      </c>
      <c r="J1754" t="s">
        <v>77</v>
      </c>
      <c r="K1754" t="s">
        <v>78</v>
      </c>
      <c r="L1754" t="s">
        <v>234</v>
      </c>
      <c r="M1754" t="s">
        <v>235</v>
      </c>
      <c r="N1754" t="s">
        <v>2194</v>
      </c>
      <c r="O1754" t="s">
        <v>82</v>
      </c>
      <c r="P1754" t="str">
        <f>"4170054594                    "</f>
        <v xml:space="preserve">4170054594                    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0</v>
      </c>
      <c r="AQ1754">
        <v>23.09</v>
      </c>
      <c r="AR1754">
        <v>0</v>
      </c>
      <c r="AS1754">
        <v>0</v>
      </c>
      <c r="AT1754">
        <v>0</v>
      </c>
      <c r="AU1754">
        <v>0</v>
      </c>
      <c r="AV1754">
        <v>0</v>
      </c>
      <c r="AW1754">
        <v>0</v>
      </c>
      <c r="AX1754">
        <v>0</v>
      </c>
      <c r="AY1754">
        <v>0</v>
      </c>
      <c r="AZ1754">
        <v>0</v>
      </c>
      <c r="BA1754">
        <v>0</v>
      </c>
      <c r="BB1754">
        <v>0</v>
      </c>
      <c r="BC1754">
        <v>0</v>
      </c>
      <c r="BD1754">
        <v>0</v>
      </c>
      <c r="BE1754">
        <v>0</v>
      </c>
      <c r="BF1754">
        <v>0</v>
      </c>
      <c r="BG1754">
        <v>0</v>
      </c>
      <c r="BH1754">
        <v>1</v>
      </c>
      <c r="BI1754">
        <v>1</v>
      </c>
      <c r="BJ1754">
        <v>0.2</v>
      </c>
      <c r="BK1754">
        <v>1</v>
      </c>
      <c r="BL1754">
        <v>71.69</v>
      </c>
      <c r="BM1754">
        <v>10.75</v>
      </c>
      <c r="BN1754">
        <v>82.44</v>
      </c>
      <c r="BO1754">
        <v>82.44</v>
      </c>
      <c r="BQ1754" t="s">
        <v>2195</v>
      </c>
      <c r="BR1754" t="s">
        <v>84</v>
      </c>
      <c r="BS1754" s="3">
        <v>45883</v>
      </c>
      <c r="BT1754" s="4">
        <v>0.34513888888888888</v>
      </c>
      <c r="BU1754" t="s">
        <v>2402</v>
      </c>
      <c r="BV1754" t="s">
        <v>86</v>
      </c>
      <c r="BY1754">
        <v>1200</v>
      </c>
      <c r="CA1754" t="s">
        <v>2403</v>
      </c>
      <c r="CC1754" t="s">
        <v>235</v>
      </c>
      <c r="CD1754" s="5" t="s">
        <v>240</v>
      </c>
      <c r="CE1754" t="s">
        <v>109</v>
      </c>
      <c r="CF1754" s="3">
        <v>45883</v>
      </c>
      <c r="CI1754">
        <v>1</v>
      </c>
      <c r="CJ1754">
        <v>1</v>
      </c>
      <c r="CK1754">
        <v>21</v>
      </c>
      <c r="CL1754" t="s">
        <v>90</v>
      </c>
    </row>
    <row r="1755" spans="1:90" x14ac:dyDescent="0.3">
      <c r="A1755" t="s">
        <v>72</v>
      </c>
      <c r="B1755" t="s">
        <v>73</v>
      </c>
      <c r="C1755" t="s">
        <v>74</v>
      </c>
      <c r="E1755" t="str">
        <f>"080067216982"</f>
        <v>080067216982</v>
      </c>
      <c r="F1755" s="3">
        <v>45882</v>
      </c>
      <c r="G1755">
        <v>202605</v>
      </c>
      <c r="H1755" t="s">
        <v>75</v>
      </c>
      <c r="I1755" t="s">
        <v>76</v>
      </c>
      <c r="J1755" t="s">
        <v>77</v>
      </c>
      <c r="K1755" t="s">
        <v>78</v>
      </c>
      <c r="L1755" t="s">
        <v>198</v>
      </c>
      <c r="M1755" t="s">
        <v>199</v>
      </c>
      <c r="N1755" t="s">
        <v>955</v>
      </c>
      <c r="O1755" t="s">
        <v>82</v>
      </c>
      <c r="P1755" t="str">
        <f>"4170054645                    "</f>
        <v xml:space="preserve">4170054645                    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0</v>
      </c>
      <c r="AQ1755">
        <v>23.09</v>
      </c>
      <c r="AR1755">
        <v>0</v>
      </c>
      <c r="AS1755">
        <v>0</v>
      </c>
      <c r="AT1755">
        <v>0</v>
      </c>
      <c r="AU1755">
        <v>0</v>
      </c>
      <c r="AV1755">
        <v>0</v>
      </c>
      <c r="AW1755">
        <v>0</v>
      </c>
      <c r="AX1755">
        <v>0</v>
      </c>
      <c r="AY1755">
        <v>0</v>
      </c>
      <c r="AZ1755">
        <v>0</v>
      </c>
      <c r="BA1755">
        <v>0</v>
      </c>
      <c r="BB1755">
        <v>0</v>
      </c>
      <c r="BC1755">
        <v>0</v>
      </c>
      <c r="BD1755">
        <v>0</v>
      </c>
      <c r="BE1755">
        <v>0</v>
      </c>
      <c r="BF1755">
        <v>0</v>
      </c>
      <c r="BG1755">
        <v>0</v>
      </c>
      <c r="BH1755">
        <v>1</v>
      </c>
      <c r="BI1755">
        <v>1</v>
      </c>
      <c r="BJ1755">
        <v>0.2</v>
      </c>
      <c r="BK1755">
        <v>1</v>
      </c>
      <c r="BL1755">
        <v>71.69</v>
      </c>
      <c r="BM1755">
        <v>10.75</v>
      </c>
      <c r="BN1755">
        <v>82.44</v>
      </c>
      <c r="BO1755">
        <v>82.44</v>
      </c>
      <c r="BQ1755" t="s">
        <v>956</v>
      </c>
      <c r="BR1755" t="s">
        <v>84</v>
      </c>
      <c r="BS1755" s="3">
        <v>45883</v>
      </c>
      <c r="BT1755" s="4">
        <v>0.36249999999999999</v>
      </c>
      <c r="BU1755" t="s">
        <v>2397</v>
      </c>
      <c r="BV1755" t="s">
        <v>86</v>
      </c>
      <c r="BY1755">
        <v>1200</v>
      </c>
      <c r="CA1755" t="s">
        <v>433</v>
      </c>
      <c r="CC1755" t="s">
        <v>199</v>
      </c>
      <c r="CD1755">
        <v>6012</v>
      </c>
      <c r="CE1755" t="s">
        <v>109</v>
      </c>
      <c r="CF1755" s="3">
        <v>45883</v>
      </c>
      <c r="CI1755">
        <v>1</v>
      </c>
      <c r="CJ1755">
        <v>1</v>
      </c>
      <c r="CK1755">
        <v>21</v>
      </c>
      <c r="CL1755" t="s">
        <v>90</v>
      </c>
    </row>
    <row r="1756" spans="1:90" x14ac:dyDescent="0.3">
      <c r="A1756" t="s">
        <v>72</v>
      </c>
      <c r="B1756" t="s">
        <v>73</v>
      </c>
      <c r="C1756" t="s">
        <v>74</v>
      </c>
      <c r="E1756" t="str">
        <f>"080067217344"</f>
        <v>080067217344</v>
      </c>
      <c r="F1756" s="3">
        <v>45882</v>
      </c>
      <c r="G1756">
        <v>202605</v>
      </c>
      <c r="H1756" t="s">
        <v>75</v>
      </c>
      <c r="I1756" t="s">
        <v>76</v>
      </c>
      <c r="J1756" t="s">
        <v>77</v>
      </c>
      <c r="K1756" t="s">
        <v>78</v>
      </c>
      <c r="L1756" t="s">
        <v>217</v>
      </c>
      <c r="M1756" t="s">
        <v>218</v>
      </c>
      <c r="N1756" t="s">
        <v>219</v>
      </c>
      <c r="O1756" t="s">
        <v>82</v>
      </c>
      <c r="P1756" t="str">
        <f>"4170054539                    "</f>
        <v xml:space="preserve">4170054539                    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Q1756">
        <v>23.09</v>
      </c>
      <c r="AR1756">
        <v>0</v>
      </c>
      <c r="AS1756">
        <v>0</v>
      </c>
      <c r="AT1756">
        <v>0</v>
      </c>
      <c r="AU1756">
        <v>0</v>
      </c>
      <c r="AV1756">
        <v>0</v>
      </c>
      <c r="AW1756">
        <v>0</v>
      </c>
      <c r="AX1756">
        <v>0</v>
      </c>
      <c r="AY1756">
        <v>0</v>
      </c>
      <c r="AZ1756">
        <v>0</v>
      </c>
      <c r="BA1756">
        <v>0</v>
      </c>
      <c r="BB1756">
        <v>0</v>
      </c>
      <c r="BC1756">
        <v>0</v>
      </c>
      <c r="BD1756">
        <v>0</v>
      </c>
      <c r="BE1756">
        <v>0</v>
      </c>
      <c r="BF1756">
        <v>0</v>
      </c>
      <c r="BG1756">
        <v>0</v>
      </c>
      <c r="BH1756">
        <v>1</v>
      </c>
      <c r="BI1756">
        <v>1</v>
      </c>
      <c r="BJ1756">
        <v>0.2</v>
      </c>
      <c r="BK1756">
        <v>1</v>
      </c>
      <c r="BL1756">
        <v>71.69</v>
      </c>
      <c r="BM1756">
        <v>10.75</v>
      </c>
      <c r="BN1756">
        <v>82.44</v>
      </c>
      <c r="BO1756">
        <v>82.44</v>
      </c>
      <c r="BQ1756" t="s">
        <v>220</v>
      </c>
      <c r="BR1756" t="s">
        <v>84</v>
      </c>
      <c r="BS1756" s="3">
        <v>45883</v>
      </c>
      <c r="BT1756" s="4">
        <v>0.33263888888888887</v>
      </c>
      <c r="BU1756" t="s">
        <v>2366</v>
      </c>
      <c r="BV1756" t="s">
        <v>86</v>
      </c>
      <c r="BY1756">
        <v>1200</v>
      </c>
      <c r="CA1756" t="s">
        <v>566</v>
      </c>
      <c r="CC1756" t="s">
        <v>218</v>
      </c>
      <c r="CD1756">
        <v>4000</v>
      </c>
      <c r="CE1756" t="s">
        <v>178</v>
      </c>
      <c r="CF1756" s="3">
        <v>45883</v>
      </c>
      <c r="CI1756">
        <v>1</v>
      </c>
      <c r="CJ1756">
        <v>1</v>
      </c>
      <c r="CK1756">
        <v>21</v>
      </c>
      <c r="CL1756" t="s">
        <v>90</v>
      </c>
    </row>
    <row r="1757" spans="1:90" x14ac:dyDescent="0.3">
      <c r="A1757" t="s">
        <v>72</v>
      </c>
      <c r="B1757" t="s">
        <v>73</v>
      </c>
      <c r="C1757" t="s">
        <v>74</v>
      </c>
      <c r="E1757" t="str">
        <f>"080067217359"</f>
        <v>080067217359</v>
      </c>
      <c r="F1757" s="3">
        <v>45882</v>
      </c>
      <c r="G1757">
        <v>202605</v>
      </c>
      <c r="H1757" t="s">
        <v>75</v>
      </c>
      <c r="I1757" t="s">
        <v>76</v>
      </c>
      <c r="J1757" t="s">
        <v>77</v>
      </c>
      <c r="K1757" t="s">
        <v>78</v>
      </c>
      <c r="L1757" t="s">
        <v>278</v>
      </c>
      <c r="M1757" t="s">
        <v>279</v>
      </c>
      <c r="N1757" t="s">
        <v>131</v>
      </c>
      <c r="O1757" t="s">
        <v>82</v>
      </c>
      <c r="P1757" t="str">
        <f>"4170054689                    "</f>
        <v xml:space="preserve">4170054689                    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0</v>
      </c>
      <c r="AQ1757">
        <v>34.619999999999997</v>
      </c>
      <c r="AR1757">
        <v>0</v>
      </c>
      <c r="AS1757">
        <v>0</v>
      </c>
      <c r="AT1757">
        <v>0</v>
      </c>
      <c r="AU1757">
        <v>0</v>
      </c>
      <c r="AV1757">
        <v>0</v>
      </c>
      <c r="AW1757">
        <v>0</v>
      </c>
      <c r="AX1757">
        <v>0</v>
      </c>
      <c r="AY1757">
        <v>0</v>
      </c>
      <c r="AZ1757">
        <v>0</v>
      </c>
      <c r="BA1757">
        <v>0</v>
      </c>
      <c r="BB1757">
        <v>0</v>
      </c>
      <c r="BC1757">
        <v>0</v>
      </c>
      <c r="BD1757">
        <v>0</v>
      </c>
      <c r="BE1757">
        <v>0</v>
      </c>
      <c r="BF1757">
        <v>0</v>
      </c>
      <c r="BG1757">
        <v>0</v>
      </c>
      <c r="BH1757">
        <v>1</v>
      </c>
      <c r="BI1757">
        <v>3</v>
      </c>
      <c r="BJ1757">
        <v>1.7</v>
      </c>
      <c r="BK1757">
        <v>3</v>
      </c>
      <c r="BL1757">
        <v>107.5</v>
      </c>
      <c r="BM1757">
        <v>16.13</v>
      </c>
      <c r="BN1757">
        <v>123.63</v>
      </c>
      <c r="BO1757">
        <v>123.63</v>
      </c>
      <c r="BQ1757" t="s">
        <v>132</v>
      </c>
      <c r="BR1757" t="s">
        <v>84</v>
      </c>
      <c r="BS1757" s="3">
        <v>45883</v>
      </c>
      <c r="BT1757" s="4">
        <v>0.4201388888888889</v>
      </c>
      <c r="BU1757" t="s">
        <v>2404</v>
      </c>
      <c r="BV1757" t="s">
        <v>86</v>
      </c>
      <c r="BY1757">
        <v>8694</v>
      </c>
      <c r="CA1757" t="s">
        <v>532</v>
      </c>
      <c r="CC1757" t="s">
        <v>279</v>
      </c>
      <c r="CD1757" s="5" t="s">
        <v>533</v>
      </c>
      <c r="CE1757" t="s">
        <v>178</v>
      </c>
      <c r="CF1757" s="3">
        <v>45883</v>
      </c>
      <c r="CI1757">
        <v>1</v>
      </c>
      <c r="CJ1757">
        <v>1</v>
      </c>
      <c r="CK1757">
        <v>21</v>
      </c>
      <c r="CL1757" t="s">
        <v>90</v>
      </c>
    </row>
    <row r="1758" spans="1:90" x14ac:dyDescent="0.3">
      <c r="A1758" t="s">
        <v>72</v>
      </c>
      <c r="B1758" t="s">
        <v>73</v>
      </c>
      <c r="C1758" t="s">
        <v>74</v>
      </c>
      <c r="E1758" t="str">
        <f>"080067217371"</f>
        <v>080067217371</v>
      </c>
      <c r="F1758" s="3">
        <v>45882</v>
      </c>
      <c r="G1758">
        <v>202605</v>
      </c>
      <c r="H1758" t="s">
        <v>75</v>
      </c>
      <c r="I1758" t="s">
        <v>76</v>
      </c>
      <c r="J1758" t="s">
        <v>77</v>
      </c>
      <c r="K1758" t="s">
        <v>78</v>
      </c>
      <c r="L1758" t="s">
        <v>2405</v>
      </c>
      <c r="M1758" t="s">
        <v>2406</v>
      </c>
      <c r="N1758" t="s">
        <v>2407</v>
      </c>
      <c r="O1758" t="s">
        <v>82</v>
      </c>
      <c r="P1758" t="str">
        <f>"4170054609                    "</f>
        <v xml:space="preserve">4170054609                    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Q1758">
        <v>32.47</v>
      </c>
      <c r="AR1758">
        <v>0</v>
      </c>
      <c r="AS1758">
        <v>0</v>
      </c>
      <c r="AT1758">
        <v>0</v>
      </c>
      <c r="AU1758">
        <v>0</v>
      </c>
      <c r="AV1758">
        <v>0</v>
      </c>
      <c r="AW1758">
        <v>0</v>
      </c>
      <c r="AX1758">
        <v>0</v>
      </c>
      <c r="AY1758">
        <v>0</v>
      </c>
      <c r="AZ1758">
        <v>0</v>
      </c>
      <c r="BA1758">
        <v>0</v>
      </c>
      <c r="BB1758">
        <v>0</v>
      </c>
      <c r="BC1758">
        <v>0</v>
      </c>
      <c r="BD1758">
        <v>0</v>
      </c>
      <c r="BE1758">
        <v>0</v>
      </c>
      <c r="BF1758">
        <v>0</v>
      </c>
      <c r="BG1758">
        <v>0</v>
      </c>
      <c r="BH1758">
        <v>1</v>
      </c>
      <c r="BI1758">
        <v>1</v>
      </c>
      <c r="BJ1758">
        <v>0.2</v>
      </c>
      <c r="BK1758">
        <v>1</v>
      </c>
      <c r="BL1758">
        <v>100.82</v>
      </c>
      <c r="BM1758">
        <v>15.12</v>
      </c>
      <c r="BN1758">
        <v>115.94</v>
      </c>
      <c r="BO1758">
        <v>115.94</v>
      </c>
      <c r="BQ1758" t="s">
        <v>2408</v>
      </c>
      <c r="BR1758" t="s">
        <v>84</v>
      </c>
      <c r="BS1758" s="3">
        <v>45883</v>
      </c>
      <c r="BT1758" s="4">
        <v>0.41666666666666669</v>
      </c>
      <c r="BU1758" t="s">
        <v>2409</v>
      </c>
      <c r="BV1758" t="s">
        <v>86</v>
      </c>
      <c r="BY1758">
        <v>1200</v>
      </c>
      <c r="CA1758" t="s">
        <v>2410</v>
      </c>
      <c r="CC1758" t="s">
        <v>2406</v>
      </c>
      <c r="CD1758">
        <v>1786</v>
      </c>
      <c r="CE1758" t="s">
        <v>178</v>
      </c>
      <c r="CF1758" s="3">
        <v>45883</v>
      </c>
      <c r="CI1758">
        <v>1</v>
      </c>
      <c r="CJ1758">
        <v>1</v>
      </c>
      <c r="CK1758">
        <v>24</v>
      </c>
      <c r="CL1758" t="s">
        <v>90</v>
      </c>
    </row>
    <row r="1759" spans="1:90" x14ac:dyDescent="0.3">
      <c r="A1759" t="s">
        <v>72</v>
      </c>
      <c r="B1759" t="s">
        <v>73</v>
      </c>
      <c r="C1759" t="s">
        <v>74</v>
      </c>
      <c r="E1759" t="str">
        <f>"080067217389"</f>
        <v>080067217389</v>
      </c>
      <c r="F1759" s="3">
        <v>45882</v>
      </c>
      <c r="G1759">
        <v>202605</v>
      </c>
      <c r="H1759" t="s">
        <v>75</v>
      </c>
      <c r="I1759" t="s">
        <v>76</v>
      </c>
      <c r="J1759" t="s">
        <v>77</v>
      </c>
      <c r="K1759" t="s">
        <v>78</v>
      </c>
      <c r="L1759" t="s">
        <v>278</v>
      </c>
      <c r="M1759" t="s">
        <v>279</v>
      </c>
      <c r="N1759" t="s">
        <v>928</v>
      </c>
      <c r="O1759" t="s">
        <v>82</v>
      </c>
      <c r="P1759" t="str">
        <f>"4170054492                    "</f>
        <v xml:space="preserve">4170054492                    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0</v>
      </c>
      <c r="AQ1759">
        <v>23.09</v>
      </c>
      <c r="AR1759">
        <v>0</v>
      </c>
      <c r="AS1759">
        <v>0</v>
      </c>
      <c r="AT1759">
        <v>0</v>
      </c>
      <c r="AU1759">
        <v>0</v>
      </c>
      <c r="AV1759">
        <v>0</v>
      </c>
      <c r="AW1759">
        <v>0</v>
      </c>
      <c r="AX1759">
        <v>0</v>
      </c>
      <c r="AY1759">
        <v>0</v>
      </c>
      <c r="AZ1759">
        <v>0</v>
      </c>
      <c r="BA1759">
        <v>0</v>
      </c>
      <c r="BB1759">
        <v>0</v>
      </c>
      <c r="BC1759">
        <v>0</v>
      </c>
      <c r="BD1759">
        <v>0</v>
      </c>
      <c r="BE1759">
        <v>0</v>
      </c>
      <c r="BF1759">
        <v>0</v>
      </c>
      <c r="BG1759">
        <v>0</v>
      </c>
      <c r="BH1759">
        <v>1</v>
      </c>
      <c r="BI1759">
        <v>2</v>
      </c>
      <c r="BJ1759">
        <v>1.7</v>
      </c>
      <c r="BK1759">
        <v>2</v>
      </c>
      <c r="BL1759">
        <v>71.69</v>
      </c>
      <c r="BM1759">
        <v>10.75</v>
      </c>
      <c r="BN1759">
        <v>82.44</v>
      </c>
      <c r="BO1759">
        <v>82.44</v>
      </c>
      <c r="BQ1759" t="s">
        <v>929</v>
      </c>
      <c r="BR1759" t="s">
        <v>84</v>
      </c>
      <c r="BS1759" s="3">
        <v>45883</v>
      </c>
      <c r="BT1759" s="4">
        <v>0.33055555555555555</v>
      </c>
      <c r="BU1759" t="s">
        <v>1230</v>
      </c>
      <c r="BV1759" t="s">
        <v>86</v>
      </c>
      <c r="BY1759">
        <v>8512</v>
      </c>
      <c r="CA1759" t="s">
        <v>511</v>
      </c>
      <c r="CC1759" t="s">
        <v>279</v>
      </c>
      <c r="CD1759" s="5" t="s">
        <v>512</v>
      </c>
      <c r="CE1759" t="s">
        <v>147</v>
      </c>
      <c r="CF1759" s="3">
        <v>45883</v>
      </c>
      <c r="CI1759">
        <v>1</v>
      </c>
      <c r="CJ1759">
        <v>1</v>
      </c>
      <c r="CK1759">
        <v>21</v>
      </c>
      <c r="CL1759" t="s">
        <v>90</v>
      </c>
    </row>
    <row r="1760" spans="1:90" x14ac:dyDescent="0.3">
      <c r="A1760" t="s">
        <v>72</v>
      </c>
      <c r="B1760" t="s">
        <v>73</v>
      </c>
      <c r="C1760" t="s">
        <v>74</v>
      </c>
      <c r="E1760" t="str">
        <f>"080067217398"</f>
        <v>080067217398</v>
      </c>
      <c r="F1760" s="3">
        <v>45882</v>
      </c>
      <c r="G1760">
        <v>202605</v>
      </c>
      <c r="H1760" t="s">
        <v>75</v>
      </c>
      <c r="I1760" t="s">
        <v>76</v>
      </c>
      <c r="J1760" t="s">
        <v>77</v>
      </c>
      <c r="K1760" t="s">
        <v>78</v>
      </c>
      <c r="L1760" t="s">
        <v>325</v>
      </c>
      <c r="M1760" t="s">
        <v>326</v>
      </c>
      <c r="N1760" t="s">
        <v>997</v>
      </c>
      <c r="O1760" t="s">
        <v>82</v>
      </c>
      <c r="P1760" t="str">
        <f>"4170054628                    "</f>
        <v xml:space="preserve">4170054628                    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0</v>
      </c>
      <c r="AQ1760">
        <v>18.03</v>
      </c>
      <c r="AR1760">
        <v>0</v>
      </c>
      <c r="AS1760">
        <v>0</v>
      </c>
      <c r="AT1760">
        <v>0</v>
      </c>
      <c r="AU1760">
        <v>0</v>
      </c>
      <c r="AV1760">
        <v>0</v>
      </c>
      <c r="AW1760">
        <v>0</v>
      </c>
      <c r="AX1760">
        <v>0</v>
      </c>
      <c r="AY1760">
        <v>0</v>
      </c>
      <c r="AZ1760">
        <v>0</v>
      </c>
      <c r="BA1760">
        <v>0</v>
      </c>
      <c r="BB1760">
        <v>0</v>
      </c>
      <c r="BC1760">
        <v>0</v>
      </c>
      <c r="BD1760">
        <v>0</v>
      </c>
      <c r="BE1760">
        <v>0</v>
      </c>
      <c r="BF1760">
        <v>0</v>
      </c>
      <c r="BG1760">
        <v>0</v>
      </c>
      <c r="BH1760">
        <v>1</v>
      </c>
      <c r="BI1760">
        <v>1</v>
      </c>
      <c r="BJ1760">
        <v>0.2</v>
      </c>
      <c r="BK1760">
        <v>1</v>
      </c>
      <c r="BL1760">
        <v>55.99</v>
      </c>
      <c r="BM1760">
        <v>8.4</v>
      </c>
      <c r="BN1760">
        <v>64.39</v>
      </c>
      <c r="BO1760">
        <v>64.39</v>
      </c>
      <c r="BQ1760" t="s">
        <v>998</v>
      </c>
      <c r="BR1760" t="s">
        <v>84</v>
      </c>
      <c r="BS1760" s="3">
        <v>45883</v>
      </c>
      <c r="BT1760" s="4">
        <v>0.42986111111111114</v>
      </c>
      <c r="BU1760" t="s">
        <v>2411</v>
      </c>
      <c r="BV1760" t="s">
        <v>86</v>
      </c>
      <c r="BY1760">
        <v>1200</v>
      </c>
      <c r="CA1760" t="s">
        <v>461</v>
      </c>
      <c r="CC1760" t="s">
        <v>326</v>
      </c>
      <c r="CD1760">
        <v>2049</v>
      </c>
      <c r="CE1760" t="s">
        <v>109</v>
      </c>
      <c r="CF1760" s="3">
        <v>45883</v>
      </c>
      <c r="CI1760">
        <v>1</v>
      </c>
      <c r="CJ1760">
        <v>1</v>
      </c>
      <c r="CK1760">
        <v>22</v>
      </c>
      <c r="CL1760" t="s">
        <v>90</v>
      </c>
    </row>
    <row r="1761" spans="1:90" x14ac:dyDescent="0.3">
      <c r="A1761" t="s">
        <v>72</v>
      </c>
      <c r="B1761" t="s">
        <v>73</v>
      </c>
      <c r="C1761" t="s">
        <v>74</v>
      </c>
      <c r="E1761" t="str">
        <f>"080067217416"</f>
        <v>080067217416</v>
      </c>
      <c r="F1761" s="3">
        <v>45882</v>
      </c>
      <c r="G1761">
        <v>202605</v>
      </c>
      <c r="H1761" t="s">
        <v>75</v>
      </c>
      <c r="I1761" t="s">
        <v>76</v>
      </c>
      <c r="J1761" t="s">
        <v>77</v>
      </c>
      <c r="K1761" t="s">
        <v>78</v>
      </c>
      <c r="L1761" t="s">
        <v>162</v>
      </c>
      <c r="M1761" t="s">
        <v>163</v>
      </c>
      <c r="N1761" t="s">
        <v>246</v>
      </c>
      <c r="O1761" t="s">
        <v>82</v>
      </c>
      <c r="P1761" t="str">
        <f>"4170054520                    "</f>
        <v xml:space="preserve">4170054520                    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0</v>
      </c>
      <c r="AQ1761">
        <v>34.619999999999997</v>
      </c>
      <c r="AR1761">
        <v>0</v>
      </c>
      <c r="AS1761">
        <v>0</v>
      </c>
      <c r="AT1761">
        <v>0</v>
      </c>
      <c r="AU1761">
        <v>0</v>
      </c>
      <c r="AV1761">
        <v>0</v>
      </c>
      <c r="AW1761">
        <v>0</v>
      </c>
      <c r="AX1761">
        <v>0</v>
      </c>
      <c r="AY1761">
        <v>0</v>
      </c>
      <c r="AZ1761">
        <v>0</v>
      </c>
      <c r="BA1761">
        <v>0</v>
      </c>
      <c r="BB1761">
        <v>0</v>
      </c>
      <c r="BC1761">
        <v>0</v>
      </c>
      <c r="BD1761">
        <v>0</v>
      </c>
      <c r="BE1761">
        <v>0</v>
      </c>
      <c r="BF1761">
        <v>0</v>
      </c>
      <c r="BG1761">
        <v>0</v>
      </c>
      <c r="BH1761">
        <v>1</v>
      </c>
      <c r="BI1761">
        <v>3</v>
      </c>
      <c r="BJ1761">
        <v>1.1000000000000001</v>
      </c>
      <c r="BK1761">
        <v>3</v>
      </c>
      <c r="BL1761">
        <v>107.5</v>
      </c>
      <c r="BM1761">
        <v>16.13</v>
      </c>
      <c r="BN1761">
        <v>123.63</v>
      </c>
      <c r="BO1761">
        <v>123.63</v>
      </c>
      <c r="BQ1761" t="s">
        <v>247</v>
      </c>
      <c r="BR1761" t="s">
        <v>84</v>
      </c>
      <c r="BS1761" s="3">
        <v>45883</v>
      </c>
      <c r="BT1761" s="4">
        <v>0.41666666666666669</v>
      </c>
      <c r="BU1761" t="s">
        <v>485</v>
      </c>
      <c r="BV1761" t="s">
        <v>86</v>
      </c>
      <c r="BY1761">
        <v>5320</v>
      </c>
      <c r="CC1761" t="s">
        <v>163</v>
      </c>
      <c r="CD1761">
        <v>3201</v>
      </c>
      <c r="CE1761" t="s">
        <v>147</v>
      </c>
      <c r="CF1761" s="3">
        <v>45884</v>
      </c>
      <c r="CI1761">
        <v>1</v>
      </c>
      <c r="CJ1761">
        <v>1</v>
      </c>
      <c r="CK1761">
        <v>21</v>
      </c>
      <c r="CL1761" t="s">
        <v>90</v>
      </c>
    </row>
    <row r="1762" spans="1:90" x14ac:dyDescent="0.3">
      <c r="A1762" t="s">
        <v>72</v>
      </c>
      <c r="B1762" t="s">
        <v>73</v>
      </c>
      <c r="C1762" t="s">
        <v>74</v>
      </c>
      <c r="E1762" t="str">
        <f>"080067217433"</f>
        <v>080067217433</v>
      </c>
      <c r="F1762" s="3">
        <v>45882</v>
      </c>
      <c r="G1762">
        <v>202605</v>
      </c>
      <c r="H1762" t="s">
        <v>75</v>
      </c>
      <c r="I1762" t="s">
        <v>76</v>
      </c>
      <c r="J1762" t="s">
        <v>77</v>
      </c>
      <c r="K1762" t="s">
        <v>78</v>
      </c>
      <c r="L1762" t="s">
        <v>278</v>
      </c>
      <c r="M1762" t="s">
        <v>279</v>
      </c>
      <c r="N1762" t="s">
        <v>131</v>
      </c>
      <c r="O1762" t="s">
        <v>82</v>
      </c>
      <c r="P1762" t="str">
        <f>"4170054687                    "</f>
        <v xml:space="preserve">4170054687                    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0</v>
      </c>
      <c r="AQ1762">
        <v>23.09</v>
      </c>
      <c r="AR1762">
        <v>0</v>
      </c>
      <c r="AS1762">
        <v>0</v>
      </c>
      <c r="AT1762">
        <v>0</v>
      </c>
      <c r="AU1762">
        <v>0</v>
      </c>
      <c r="AV1762">
        <v>0</v>
      </c>
      <c r="AW1762">
        <v>0</v>
      </c>
      <c r="AX1762">
        <v>0</v>
      </c>
      <c r="AY1762">
        <v>0</v>
      </c>
      <c r="AZ1762">
        <v>0</v>
      </c>
      <c r="BA1762">
        <v>0</v>
      </c>
      <c r="BB1762">
        <v>0</v>
      </c>
      <c r="BC1762">
        <v>0</v>
      </c>
      <c r="BD1762">
        <v>0</v>
      </c>
      <c r="BE1762">
        <v>0</v>
      </c>
      <c r="BF1762">
        <v>0</v>
      </c>
      <c r="BG1762">
        <v>0</v>
      </c>
      <c r="BH1762">
        <v>1</v>
      </c>
      <c r="BI1762">
        <v>1</v>
      </c>
      <c r="BJ1762">
        <v>0.2</v>
      </c>
      <c r="BK1762">
        <v>1</v>
      </c>
      <c r="BL1762">
        <v>71.69</v>
      </c>
      <c r="BM1762">
        <v>10.75</v>
      </c>
      <c r="BN1762">
        <v>82.44</v>
      </c>
      <c r="BO1762">
        <v>82.44</v>
      </c>
      <c r="BQ1762" t="s">
        <v>132</v>
      </c>
      <c r="BR1762" t="s">
        <v>84</v>
      </c>
      <c r="BS1762" s="3">
        <v>45883</v>
      </c>
      <c r="BT1762" s="4">
        <v>0.41875000000000001</v>
      </c>
      <c r="BU1762" t="s">
        <v>2404</v>
      </c>
      <c r="BV1762" t="s">
        <v>86</v>
      </c>
      <c r="BY1762">
        <v>1200</v>
      </c>
      <c r="CA1762" t="s">
        <v>532</v>
      </c>
      <c r="CC1762" t="s">
        <v>279</v>
      </c>
      <c r="CD1762" s="5" t="s">
        <v>533</v>
      </c>
      <c r="CE1762" t="s">
        <v>109</v>
      </c>
      <c r="CF1762" s="3">
        <v>45883</v>
      </c>
      <c r="CI1762">
        <v>1</v>
      </c>
      <c r="CJ1762">
        <v>1</v>
      </c>
      <c r="CK1762">
        <v>21</v>
      </c>
      <c r="CL1762" t="s">
        <v>90</v>
      </c>
    </row>
    <row r="1763" spans="1:90" x14ac:dyDescent="0.3">
      <c r="A1763" t="s">
        <v>72</v>
      </c>
      <c r="B1763" t="s">
        <v>73</v>
      </c>
      <c r="C1763" t="s">
        <v>74</v>
      </c>
      <c r="E1763" t="str">
        <f>"080067217437"</f>
        <v>080067217437</v>
      </c>
      <c r="F1763" s="3">
        <v>45882</v>
      </c>
      <c r="G1763">
        <v>202605</v>
      </c>
      <c r="H1763" t="s">
        <v>75</v>
      </c>
      <c r="I1763" t="s">
        <v>76</v>
      </c>
      <c r="J1763" t="s">
        <v>77</v>
      </c>
      <c r="K1763" t="s">
        <v>78</v>
      </c>
      <c r="L1763" t="s">
        <v>513</v>
      </c>
      <c r="M1763" t="s">
        <v>514</v>
      </c>
      <c r="N1763" t="s">
        <v>1017</v>
      </c>
      <c r="O1763" t="s">
        <v>82</v>
      </c>
      <c r="P1763" t="str">
        <f>"4170054422                    "</f>
        <v xml:space="preserve">4170054422                    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>
        <v>44.73</v>
      </c>
      <c r="AR1763">
        <v>0</v>
      </c>
      <c r="AS1763">
        <v>0</v>
      </c>
      <c r="AT1763">
        <v>0</v>
      </c>
      <c r="AU1763">
        <v>0</v>
      </c>
      <c r="AV1763">
        <v>0</v>
      </c>
      <c r="AW1763">
        <v>0</v>
      </c>
      <c r="AX1763">
        <v>0</v>
      </c>
      <c r="AY1763">
        <v>0</v>
      </c>
      <c r="AZ1763">
        <v>0</v>
      </c>
      <c r="BA1763">
        <v>0</v>
      </c>
      <c r="BB1763">
        <v>0</v>
      </c>
      <c r="BC1763">
        <v>0</v>
      </c>
      <c r="BD1763">
        <v>0</v>
      </c>
      <c r="BE1763">
        <v>0</v>
      </c>
      <c r="BF1763">
        <v>0</v>
      </c>
      <c r="BG1763">
        <v>0</v>
      </c>
      <c r="BH1763">
        <v>1</v>
      </c>
      <c r="BI1763">
        <v>1</v>
      </c>
      <c r="BJ1763">
        <v>0.6</v>
      </c>
      <c r="BK1763">
        <v>1</v>
      </c>
      <c r="BL1763">
        <v>138.88999999999999</v>
      </c>
      <c r="BM1763">
        <v>20.83</v>
      </c>
      <c r="BN1763">
        <v>159.72</v>
      </c>
      <c r="BO1763">
        <v>159.72</v>
      </c>
      <c r="BQ1763" t="s">
        <v>1018</v>
      </c>
      <c r="BR1763" t="s">
        <v>84</v>
      </c>
      <c r="BS1763" s="3">
        <v>45883</v>
      </c>
      <c r="BT1763" s="4">
        <v>0.40694444444444444</v>
      </c>
      <c r="BU1763" t="s">
        <v>2412</v>
      </c>
      <c r="BV1763" t="s">
        <v>86</v>
      </c>
      <c r="BY1763">
        <v>3192</v>
      </c>
      <c r="CA1763" t="s">
        <v>1336</v>
      </c>
      <c r="CC1763" t="s">
        <v>514</v>
      </c>
      <c r="CD1763" s="5" t="s">
        <v>519</v>
      </c>
      <c r="CE1763" t="s">
        <v>147</v>
      </c>
      <c r="CF1763" s="3">
        <v>45884</v>
      </c>
      <c r="CI1763">
        <v>1</v>
      </c>
      <c r="CJ1763">
        <v>1</v>
      </c>
      <c r="CK1763">
        <v>23</v>
      </c>
      <c r="CL1763" t="s">
        <v>90</v>
      </c>
    </row>
    <row r="1764" spans="1:90" x14ac:dyDescent="0.3">
      <c r="A1764" t="s">
        <v>72</v>
      </c>
      <c r="B1764" t="s">
        <v>73</v>
      </c>
      <c r="C1764" t="s">
        <v>74</v>
      </c>
      <c r="E1764" t="str">
        <f>"080067217453"</f>
        <v>080067217453</v>
      </c>
      <c r="F1764" s="3">
        <v>45882</v>
      </c>
      <c r="G1764">
        <v>202605</v>
      </c>
      <c r="H1764" t="s">
        <v>75</v>
      </c>
      <c r="I1764" t="s">
        <v>76</v>
      </c>
      <c r="J1764" t="s">
        <v>77</v>
      </c>
      <c r="K1764" t="s">
        <v>78</v>
      </c>
      <c r="L1764" t="s">
        <v>520</v>
      </c>
      <c r="M1764" t="s">
        <v>521</v>
      </c>
      <c r="N1764" t="s">
        <v>1826</v>
      </c>
      <c r="O1764" t="s">
        <v>82</v>
      </c>
      <c r="P1764" t="str">
        <f>"4170054660                    "</f>
        <v xml:space="preserve">4170054660                    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Q1764">
        <v>44.73</v>
      </c>
      <c r="AR1764">
        <v>0</v>
      </c>
      <c r="AS1764">
        <v>0</v>
      </c>
      <c r="AT1764">
        <v>0</v>
      </c>
      <c r="AU1764">
        <v>0</v>
      </c>
      <c r="AV1764">
        <v>0</v>
      </c>
      <c r="AW1764">
        <v>0</v>
      </c>
      <c r="AX1764">
        <v>0</v>
      </c>
      <c r="AY1764">
        <v>0</v>
      </c>
      <c r="AZ1764">
        <v>0</v>
      </c>
      <c r="BA1764">
        <v>0</v>
      </c>
      <c r="BB1764">
        <v>0</v>
      </c>
      <c r="BC1764">
        <v>0</v>
      </c>
      <c r="BD1764">
        <v>0</v>
      </c>
      <c r="BE1764">
        <v>0</v>
      </c>
      <c r="BF1764">
        <v>0</v>
      </c>
      <c r="BG1764">
        <v>0</v>
      </c>
      <c r="BH1764">
        <v>1</v>
      </c>
      <c r="BI1764">
        <v>1</v>
      </c>
      <c r="BJ1764">
        <v>0.2</v>
      </c>
      <c r="BK1764">
        <v>1</v>
      </c>
      <c r="BL1764">
        <v>138.88999999999999</v>
      </c>
      <c r="BM1764">
        <v>20.83</v>
      </c>
      <c r="BN1764">
        <v>159.72</v>
      </c>
      <c r="BO1764">
        <v>159.72</v>
      </c>
      <c r="BQ1764" t="s">
        <v>1827</v>
      </c>
      <c r="BR1764" t="s">
        <v>84</v>
      </c>
      <c r="BS1764" s="3">
        <v>45883</v>
      </c>
      <c r="BT1764" s="4">
        <v>0.4375</v>
      </c>
      <c r="BU1764" t="s">
        <v>2231</v>
      </c>
      <c r="BV1764" t="s">
        <v>86</v>
      </c>
      <c r="BY1764">
        <v>1200</v>
      </c>
      <c r="CA1764" t="s">
        <v>525</v>
      </c>
      <c r="CC1764" t="s">
        <v>521</v>
      </c>
      <c r="CD1764">
        <v>1961</v>
      </c>
      <c r="CE1764" t="s">
        <v>109</v>
      </c>
      <c r="CF1764" s="3">
        <v>45884</v>
      </c>
      <c r="CI1764">
        <v>1</v>
      </c>
      <c r="CJ1764">
        <v>1</v>
      </c>
      <c r="CK1764">
        <v>23</v>
      </c>
      <c r="CL1764" t="s">
        <v>90</v>
      </c>
    </row>
    <row r="1765" spans="1:90" x14ac:dyDescent="0.3">
      <c r="A1765" t="s">
        <v>72</v>
      </c>
      <c r="B1765" t="s">
        <v>73</v>
      </c>
      <c r="C1765" t="s">
        <v>74</v>
      </c>
      <c r="E1765" t="str">
        <f>"080067217472"</f>
        <v>080067217472</v>
      </c>
      <c r="F1765" s="3">
        <v>45882</v>
      </c>
      <c r="G1765">
        <v>202605</v>
      </c>
      <c r="H1765" t="s">
        <v>75</v>
      </c>
      <c r="I1765" t="s">
        <v>76</v>
      </c>
      <c r="J1765" t="s">
        <v>77</v>
      </c>
      <c r="K1765" t="s">
        <v>78</v>
      </c>
      <c r="L1765" t="s">
        <v>278</v>
      </c>
      <c r="M1765" t="s">
        <v>279</v>
      </c>
      <c r="N1765" t="s">
        <v>2413</v>
      </c>
      <c r="O1765" t="s">
        <v>82</v>
      </c>
      <c r="P1765" t="str">
        <f>"4170054438                    "</f>
        <v xml:space="preserve">4170054438                    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0</v>
      </c>
      <c r="AQ1765">
        <v>23.09</v>
      </c>
      <c r="AR1765">
        <v>0</v>
      </c>
      <c r="AS1765">
        <v>0</v>
      </c>
      <c r="AT1765">
        <v>0</v>
      </c>
      <c r="AU1765">
        <v>0</v>
      </c>
      <c r="AV1765">
        <v>0</v>
      </c>
      <c r="AW1765">
        <v>0</v>
      </c>
      <c r="AX1765">
        <v>0</v>
      </c>
      <c r="AY1765">
        <v>0</v>
      </c>
      <c r="AZ1765">
        <v>0</v>
      </c>
      <c r="BA1765">
        <v>0</v>
      </c>
      <c r="BB1765">
        <v>0</v>
      </c>
      <c r="BC1765">
        <v>0</v>
      </c>
      <c r="BD1765">
        <v>0</v>
      </c>
      <c r="BE1765">
        <v>0</v>
      </c>
      <c r="BF1765">
        <v>0</v>
      </c>
      <c r="BG1765">
        <v>0</v>
      </c>
      <c r="BH1765">
        <v>1</v>
      </c>
      <c r="BI1765">
        <v>1</v>
      </c>
      <c r="BJ1765">
        <v>0.6</v>
      </c>
      <c r="BK1765">
        <v>1</v>
      </c>
      <c r="BL1765">
        <v>71.69</v>
      </c>
      <c r="BM1765">
        <v>10.75</v>
      </c>
      <c r="BN1765">
        <v>82.44</v>
      </c>
      <c r="BO1765">
        <v>82.44</v>
      </c>
      <c r="BQ1765" t="s">
        <v>2414</v>
      </c>
      <c r="BR1765" t="s">
        <v>84</v>
      </c>
      <c r="BS1765" t="s">
        <v>96</v>
      </c>
      <c r="BY1765">
        <v>3192</v>
      </c>
      <c r="CC1765" t="s">
        <v>279</v>
      </c>
      <c r="CD1765" s="5" t="s">
        <v>289</v>
      </c>
      <c r="CE1765" t="s">
        <v>147</v>
      </c>
      <c r="CI1765">
        <v>1</v>
      </c>
      <c r="CJ1765" t="s">
        <v>96</v>
      </c>
      <c r="CK1765">
        <v>21</v>
      </c>
      <c r="CL1765" t="s">
        <v>90</v>
      </c>
    </row>
    <row r="1766" spans="1:90" x14ac:dyDescent="0.3">
      <c r="A1766" t="s">
        <v>72</v>
      </c>
      <c r="B1766" t="s">
        <v>73</v>
      </c>
      <c r="C1766" t="s">
        <v>74</v>
      </c>
      <c r="E1766" t="str">
        <f>"080067217485"</f>
        <v>080067217485</v>
      </c>
      <c r="F1766" s="3">
        <v>45882</v>
      </c>
      <c r="G1766">
        <v>202605</v>
      </c>
      <c r="H1766" t="s">
        <v>75</v>
      </c>
      <c r="I1766" t="s">
        <v>76</v>
      </c>
      <c r="J1766" t="s">
        <v>77</v>
      </c>
      <c r="K1766" t="s">
        <v>78</v>
      </c>
      <c r="L1766" t="s">
        <v>513</v>
      </c>
      <c r="M1766" t="s">
        <v>514</v>
      </c>
      <c r="N1766" t="s">
        <v>1017</v>
      </c>
      <c r="O1766" t="s">
        <v>82</v>
      </c>
      <c r="P1766" t="str">
        <f>"4170054668                    "</f>
        <v xml:space="preserve">4170054668                    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Q1766">
        <v>44.73</v>
      </c>
      <c r="AR1766">
        <v>0</v>
      </c>
      <c r="AS1766">
        <v>0</v>
      </c>
      <c r="AT1766">
        <v>0</v>
      </c>
      <c r="AU1766">
        <v>0</v>
      </c>
      <c r="AV1766">
        <v>0</v>
      </c>
      <c r="AW1766">
        <v>0</v>
      </c>
      <c r="AX1766">
        <v>0</v>
      </c>
      <c r="AY1766">
        <v>0</v>
      </c>
      <c r="AZ1766">
        <v>0</v>
      </c>
      <c r="BA1766">
        <v>0</v>
      </c>
      <c r="BB1766">
        <v>0</v>
      </c>
      <c r="BC1766">
        <v>0</v>
      </c>
      <c r="BD1766">
        <v>0</v>
      </c>
      <c r="BE1766">
        <v>0</v>
      </c>
      <c r="BF1766">
        <v>0</v>
      </c>
      <c r="BG1766">
        <v>0</v>
      </c>
      <c r="BH1766">
        <v>1</v>
      </c>
      <c r="BI1766">
        <v>1</v>
      </c>
      <c r="BJ1766">
        <v>0.2</v>
      </c>
      <c r="BK1766">
        <v>1</v>
      </c>
      <c r="BL1766">
        <v>138.88999999999999</v>
      </c>
      <c r="BM1766">
        <v>20.83</v>
      </c>
      <c r="BN1766">
        <v>159.72</v>
      </c>
      <c r="BO1766">
        <v>159.72</v>
      </c>
      <c r="BQ1766" t="s">
        <v>1018</v>
      </c>
      <c r="BR1766" t="s">
        <v>84</v>
      </c>
      <c r="BS1766" s="3">
        <v>45883</v>
      </c>
      <c r="BT1766" s="4">
        <v>0.40694444444444444</v>
      </c>
      <c r="BU1766" t="s">
        <v>2412</v>
      </c>
      <c r="BV1766" t="s">
        <v>86</v>
      </c>
      <c r="BY1766">
        <v>1200</v>
      </c>
      <c r="CA1766" t="s">
        <v>1336</v>
      </c>
      <c r="CC1766" t="s">
        <v>514</v>
      </c>
      <c r="CD1766" s="5" t="s">
        <v>519</v>
      </c>
      <c r="CE1766" t="s">
        <v>109</v>
      </c>
      <c r="CF1766" s="3">
        <v>45884</v>
      </c>
      <c r="CI1766">
        <v>1</v>
      </c>
      <c r="CJ1766">
        <v>1</v>
      </c>
      <c r="CK1766">
        <v>23</v>
      </c>
      <c r="CL1766" t="s">
        <v>90</v>
      </c>
    </row>
    <row r="1767" spans="1:90" x14ac:dyDescent="0.3">
      <c r="A1767" t="s">
        <v>72</v>
      </c>
      <c r="B1767" t="s">
        <v>73</v>
      </c>
      <c r="C1767" t="s">
        <v>74</v>
      </c>
      <c r="E1767" t="str">
        <f>"080067217493"</f>
        <v>080067217493</v>
      </c>
      <c r="F1767" s="3">
        <v>45882</v>
      </c>
      <c r="G1767">
        <v>202605</v>
      </c>
      <c r="H1767" t="s">
        <v>75</v>
      </c>
      <c r="I1767" t="s">
        <v>76</v>
      </c>
      <c r="J1767" t="s">
        <v>77</v>
      </c>
      <c r="K1767" t="s">
        <v>78</v>
      </c>
      <c r="L1767" t="s">
        <v>75</v>
      </c>
      <c r="M1767" t="s">
        <v>76</v>
      </c>
      <c r="N1767" t="s">
        <v>152</v>
      </c>
      <c r="O1767" t="s">
        <v>82</v>
      </c>
      <c r="P1767" t="str">
        <f>"4170054538                    "</f>
        <v xml:space="preserve">4170054538                    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0</v>
      </c>
      <c r="AQ1767">
        <v>18.03</v>
      </c>
      <c r="AR1767">
        <v>0</v>
      </c>
      <c r="AS1767">
        <v>0</v>
      </c>
      <c r="AT1767">
        <v>0</v>
      </c>
      <c r="AU1767">
        <v>0</v>
      </c>
      <c r="AV1767">
        <v>0</v>
      </c>
      <c r="AW1767">
        <v>0</v>
      </c>
      <c r="AX1767">
        <v>0</v>
      </c>
      <c r="AY1767">
        <v>0</v>
      </c>
      <c r="AZ1767">
        <v>0</v>
      </c>
      <c r="BA1767">
        <v>0</v>
      </c>
      <c r="BB1767">
        <v>0</v>
      </c>
      <c r="BC1767">
        <v>0</v>
      </c>
      <c r="BD1767">
        <v>0</v>
      </c>
      <c r="BE1767">
        <v>0</v>
      </c>
      <c r="BF1767">
        <v>0</v>
      </c>
      <c r="BG1767">
        <v>0</v>
      </c>
      <c r="BH1767">
        <v>1</v>
      </c>
      <c r="BI1767">
        <v>1</v>
      </c>
      <c r="BJ1767">
        <v>0.2</v>
      </c>
      <c r="BK1767">
        <v>1</v>
      </c>
      <c r="BL1767">
        <v>55.99</v>
      </c>
      <c r="BM1767">
        <v>8.4</v>
      </c>
      <c r="BN1767">
        <v>64.39</v>
      </c>
      <c r="BO1767">
        <v>64.39</v>
      </c>
      <c r="BQ1767" t="s">
        <v>153</v>
      </c>
      <c r="BR1767" t="s">
        <v>84</v>
      </c>
      <c r="BS1767" s="3">
        <v>45883</v>
      </c>
      <c r="BT1767" s="4">
        <v>0.33194444444444443</v>
      </c>
      <c r="BU1767" t="s">
        <v>995</v>
      </c>
      <c r="BV1767" t="s">
        <v>86</v>
      </c>
      <c r="BY1767">
        <v>1200</v>
      </c>
      <c r="CA1767" t="s">
        <v>155</v>
      </c>
      <c r="CC1767" t="s">
        <v>76</v>
      </c>
      <c r="CD1767">
        <v>1600</v>
      </c>
      <c r="CE1767" t="s">
        <v>109</v>
      </c>
      <c r="CF1767" s="3">
        <v>45883</v>
      </c>
      <c r="CI1767">
        <v>1</v>
      </c>
      <c r="CJ1767">
        <v>1</v>
      </c>
      <c r="CK1767">
        <v>22</v>
      </c>
      <c r="CL1767" t="s">
        <v>90</v>
      </c>
    </row>
    <row r="1768" spans="1:90" x14ac:dyDescent="0.3">
      <c r="A1768" t="s">
        <v>72</v>
      </c>
      <c r="B1768" t="s">
        <v>73</v>
      </c>
      <c r="C1768" t="s">
        <v>74</v>
      </c>
      <c r="E1768" t="str">
        <f>"080067217497"</f>
        <v>080067217497</v>
      </c>
      <c r="F1768" s="3">
        <v>45882</v>
      </c>
      <c r="G1768">
        <v>202605</v>
      </c>
      <c r="H1768" t="s">
        <v>75</v>
      </c>
      <c r="I1768" t="s">
        <v>76</v>
      </c>
      <c r="J1768" t="s">
        <v>77</v>
      </c>
      <c r="K1768" t="s">
        <v>78</v>
      </c>
      <c r="L1768" t="s">
        <v>75</v>
      </c>
      <c r="M1768" t="s">
        <v>76</v>
      </c>
      <c r="N1768" t="s">
        <v>2415</v>
      </c>
      <c r="O1768" t="s">
        <v>82</v>
      </c>
      <c r="P1768" t="str">
        <f>"4170054692                    "</f>
        <v xml:space="preserve">4170054692                    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>
        <v>18.03</v>
      </c>
      <c r="AR1768">
        <v>0</v>
      </c>
      <c r="AS1768">
        <v>0</v>
      </c>
      <c r="AT1768">
        <v>0</v>
      </c>
      <c r="AU1768">
        <v>0</v>
      </c>
      <c r="AV1768">
        <v>0</v>
      </c>
      <c r="AW1768">
        <v>0</v>
      </c>
      <c r="AX1768">
        <v>0</v>
      </c>
      <c r="AY1768">
        <v>0</v>
      </c>
      <c r="AZ1768">
        <v>0</v>
      </c>
      <c r="BA1768">
        <v>0</v>
      </c>
      <c r="BB1768">
        <v>0</v>
      </c>
      <c r="BC1768">
        <v>0</v>
      </c>
      <c r="BD1768">
        <v>0</v>
      </c>
      <c r="BE1768">
        <v>0</v>
      </c>
      <c r="BF1768">
        <v>0</v>
      </c>
      <c r="BG1768">
        <v>0</v>
      </c>
      <c r="BH1768">
        <v>1</v>
      </c>
      <c r="BI1768">
        <v>1</v>
      </c>
      <c r="BJ1768">
        <v>1.1000000000000001</v>
      </c>
      <c r="BK1768">
        <v>2</v>
      </c>
      <c r="BL1768">
        <v>55.99</v>
      </c>
      <c r="BM1768">
        <v>8.4</v>
      </c>
      <c r="BN1768">
        <v>64.39</v>
      </c>
      <c r="BO1768">
        <v>64.39</v>
      </c>
      <c r="BQ1768" t="s">
        <v>2416</v>
      </c>
      <c r="BR1768" t="s">
        <v>84</v>
      </c>
      <c r="BS1768" s="3">
        <v>45883</v>
      </c>
      <c r="BT1768" s="4">
        <v>0.33750000000000002</v>
      </c>
      <c r="BU1768" t="s">
        <v>2417</v>
      </c>
      <c r="BV1768" t="s">
        <v>86</v>
      </c>
      <c r="BY1768">
        <v>5320</v>
      </c>
      <c r="CA1768" t="s">
        <v>1356</v>
      </c>
      <c r="CC1768" t="s">
        <v>76</v>
      </c>
      <c r="CD1768">
        <v>1665</v>
      </c>
      <c r="CE1768" t="s">
        <v>147</v>
      </c>
      <c r="CF1768" s="3">
        <v>45883</v>
      </c>
      <c r="CI1768">
        <v>1</v>
      </c>
      <c r="CJ1768">
        <v>1</v>
      </c>
      <c r="CK1768">
        <v>22</v>
      </c>
      <c r="CL1768" t="s">
        <v>90</v>
      </c>
    </row>
    <row r="1769" spans="1:90" x14ac:dyDescent="0.3">
      <c r="A1769" t="s">
        <v>72</v>
      </c>
      <c r="B1769" t="s">
        <v>73</v>
      </c>
      <c r="C1769" t="s">
        <v>74</v>
      </c>
      <c r="E1769" t="str">
        <f>"080067217515"</f>
        <v>080067217515</v>
      </c>
      <c r="F1769" s="3">
        <v>45882</v>
      </c>
      <c r="G1769">
        <v>202605</v>
      </c>
      <c r="H1769" t="s">
        <v>75</v>
      </c>
      <c r="I1769" t="s">
        <v>76</v>
      </c>
      <c r="J1769" t="s">
        <v>77</v>
      </c>
      <c r="K1769" t="s">
        <v>78</v>
      </c>
      <c r="L1769" t="s">
        <v>162</v>
      </c>
      <c r="M1769" t="s">
        <v>163</v>
      </c>
      <c r="N1769" t="s">
        <v>246</v>
      </c>
      <c r="O1769" t="s">
        <v>82</v>
      </c>
      <c r="P1769" t="str">
        <f>"4170054424                    "</f>
        <v xml:space="preserve">4170054424                    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0</v>
      </c>
      <c r="AQ1769">
        <v>23.09</v>
      </c>
      <c r="AR1769">
        <v>0</v>
      </c>
      <c r="AS1769">
        <v>0</v>
      </c>
      <c r="AT1769">
        <v>0</v>
      </c>
      <c r="AU1769">
        <v>0</v>
      </c>
      <c r="AV1769">
        <v>0</v>
      </c>
      <c r="AW1769">
        <v>0</v>
      </c>
      <c r="AX1769">
        <v>0</v>
      </c>
      <c r="AY1769">
        <v>0</v>
      </c>
      <c r="AZ1769">
        <v>0</v>
      </c>
      <c r="BA1769">
        <v>0</v>
      </c>
      <c r="BB1769">
        <v>0</v>
      </c>
      <c r="BC1769">
        <v>0</v>
      </c>
      <c r="BD1769">
        <v>0</v>
      </c>
      <c r="BE1769">
        <v>0</v>
      </c>
      <c r="BF1769">
        <v>0</v>
      </c>
      <c r="BG1769">
        <v>0</v>
      </c>
      <c r="BH1769">
        <v>1</v>
      </c>
      <c r="BI1769">
        <v>1</v>
      </c>
      <c r="BJ1769">
        <v>0.2</v>
      </c>
      <c r="BK1769">
        <v>1</v>
      </c>
      <c r="BL1769">
        <v>71.69</v>
      </c>
      <c r="BM1769">
        <v>10.75</v>
      </c>
      <c r="BN1769">
        <v>82.44</v>
      </c>
      <c r="BO1769">
        <v>82.44</v>
      </c>
      <c r="BQ1769" t="s">
        <v>247</v>
      </c>
      <c r="BR1769" t="s">
        <v>84</v>
      </c>
      <c r="BS1769" s="3">
        <v>45883</v>
      </c>
      <c r="BT1769" s="4">
        <v>0.41666666666666669</v>
      </c>
      <c r="BU1769" t="s">
        <v>485</v>
      </c>
      <c r="BV1769" t="s">
        <v>86</v>
      </c>
      <c r="BY1769">
        <v>1200</v>
      </c>
      <c r="CC1769" t="s">
        <v>163</v>
      </c>
      <c r="CD1769">
        <v>3201</v>
      </c>
      <c r="CE1769" t="s">
        <v>109</v>
      </c>
      <c r="CF1769" s="3">
        <v>45884</v>
      </c>
      <c r="CI1769">
        <v>1</v>
      </c>
      <c r="CJ1769">
        <v>1</v>
      </c>
      <c r="CK1769">
        <v>21</v>
      </c>
      <c r="CL1769" t="s">
        <v>90</v>
      </c>
    </row>
    <row r="1770" spans="1:90" x14ac:dyDescent="0.3">
      <c r="A1770" t="s">
        <v>72</v>
      </c>
      <c r="B1770" t="s">
        <v>73</v>
      </c>
      <c r="C1770" t="s">
        <v>74</v>
      </c>
      <c r="E1770" t="str">
        <f>"080067217570"</f>
        <v>080067217570</v>
      </c>
      <c r="F1770" s="3">
        <v>45882</v>
      </c>
      <c r="G1770">
        <v>202605</v>
      </c>
      <c r="H1770" t="s">
        <v>75</v>
      </c>
      <c r="I1770" t="s">
        <v>76</v>
      </c>
      <c r="J1770" t="s">
        <v>77</v>
      </c>
      <c r="K1770" t="s">
        <v>78</v>
      </c>
      <c r="L1770" t="s">
        <v>391</v>
      </c>
      <c r="M1770" t="s">
        <v>392</v>
      </c>
      <c r="N1770" t="s">
        <v>393</v>
      </c>
      <c r="O1770" t="s">
        <v>82</v>
      </c>
      <c r="P1770" t="str">
        <f>"4170054521                    "</f>
        <v xml:space="preserve">4170054521                    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0</v>
      </c>
      <c r="AO1770">
        <v>0</v>
      </c>
      <c r="AP1770">
        <v>0</v>
      </c>
      <c r="AQ1770">
        <v>44.73</v>
      </c>
      <c r="AR1770">
        <v>0</v>
      </c>
      <c r="AS1770">
        <v>0</v>
      </c>
      <c r="AT1770">
        <v>0</v>
      </c>
      <c r="AU1770">
        <v>0</v>
      </c>
      <c r="AV1770">
        <v>0</v>
      </c>
      <c r="AW1770">
        <v>0</v>
      </c>
      <c r="AX1770">
        <v>0</v>
      </c>
      <c r="AY1770">
        <v>0</v>
      </c>
      <c r="AZ1770">
        <v>0</v>
      </c>
      <c r="BA1770">
        <v>0</v>
      </c>
      <c r="BB1770">
        <v>0</v>
      </c>
      <c r="BC1770">
        <v>0</v>
      </c>
      <c r="BD1770">
        <v>0</v>
      </c>
      <c r="BE1770">
        <v>0</v>
      </c>
      <c r="BF1770">
        <v>0</v>
      </c>
      <c r="BG1770">
        <v>0</v>
      </c>
      <c r="BH1770">
        <v>1</v>
      </c>
      <c r="BI1770">
        <v>1</v>
      </c>
      <c r="BJ1770">
        <v>0.2</v>
      </c>
      <c r="BK1770">
        <v>1</v>
      </c>
      <c r="BL1770">
        <v>138.88999999999999</v>
      </c>
      <c r="BM1770">
        <v>20.83</v>
      </c>
      <c r="BN1770">
        <v>159.72</v>
      </c>
      <c r="BO1770">
        <v>159.72</v>
      </c>
      <c r="BQ1770" t="s">
        <v>394</v>
      </c>
      <c r="BR1770" t="s">
        <v>84</v>
      </c>
      <c r="BS1770" s="3">
        <v>45883</v>
      </c>
      <c r="BT1770" s="4">
        <v>0.47569444444444442</v>
      </c>
      <c r="BU1770" t="s">
        <v>2244</v>
      </c>
      <c r="BV1770" t="s">
        <v>86</v>
      </c>
      <c r="BY1770">
        <v>1200</v>
      </c>
      <c r="CA1770" t="s">
        <v>1347</v>
      </c>
      <c r="CC1770" t="s">
        <v>392</v>
      </c>
      <c r="CD1770">
        <v>6715</v>
      </c>
      <c r="CE1770" t="s">
        <v>109</v>
      </c>
      <c r="CF1770" s="3">
        <v>45884</v>
      </c>
      <c r="CI1770">
        <v>2</v>
      </c>
      <c r="CJ1770">
        <v>1</v>
      </c>
      <c r="CK1770">
        <v>23</v>
      </c>
      <c r="CL1770" t="s">
        <v>90</v>
      </c>
    </row>
    <row r="1771" spans="1:90" x14ac:dyDescent="0.3">
      <c r="A1771" t="s">
        <v>72</v>
      </c>
      <c r="B1771" t="s">
        <v>73</v>
      </c>
      <c r="C1771" t="s">
        <v>74</v>
      </c>
      <c r="E1771" t="str">
        <f>"080067217590"</f>
        <v>080067217590</v>
      </c>
      <c r="F1771" s="3">
        <v>45882</v>
      </c>
      <c r="G1771">
        <v>202605</v>
      </c>
      <c r="H1771" t="s">
        <v>75</v>
      </c>
      <c r="I1771" t="s">
        <v>76</v>
      </c>
      <c r="J1771" t="s">
        <v>77</v>
      </c>
      <c r="K1771" t="s">
        <v>78</v>
      </c>
      <c r="L1771" t="s">
        <v>75</v>
      </c>
      <c r="M1771" t="s">
        <v>76</v>
      </c>
      <c r="N1771" t="s">
        <v>2418</v>
      </c>
      <c r="O1771" t="s">
        <v>82</v>
      </c>
      <c r="P1771" t="str">
        <f>"4170054551                    "</f>
        <v xml:space="preserve">4170054551                    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0</v>
      </c>
      <c r="AO1771">
        <v>0</v>
      </c>
      <c r="AP1771">
        <v>0</v>
      </c>
      <c r="AQ1771">
        <v>18.03</v>
      </c>
      <c r="AR1771">
        <v>0</v>
      </c>
      <c r="AS1771">
        <v>0</v>
      </c>
      <c r="AT1771">
        <v>0</v>
      </c>
      <c r="AU1771">
        <v>0</v>
      </c>
      <c r="AV1771">
        <v>0</v>
      </c>
      <c r="AW1771">
        <v>0</v>
      </c>
      <c r="AX1771">
        <v>0</v>
      </c>
      <c r="AY1771">
        <v>0</v>
      </c>
      <c r="AZ1771">
        <v>0</v>
      </c>
      <c r="BA1771">
        <v>0</v>
      </c>
      <c r="BB1771">
        <v>0</v>
      </c>
      <c r="BC1771">
        <v>0</v>
      </c>
      <c r="BD1771">
        <v>0</v>
      </c>
      <c r="BE1771">
        <v>0</v>
      </c>
      <c r="BF1771">
        <v>0</v>
      </c>
      <c r="BG1771">
        <v>0</v>
      </c>
      <c r="BH1771">
        <v>1</v>
      </c>
      <c r="BI1771">
        <v>1</v>
      </c>
      <c r="BJ1771">
        <v>0.2</v>
      </c>
      <c r="BK1771">
        <v>1</v>
      </c>
      <c r="BL1771">
        <v>55.99</v>
      </c>
      <c r="BM1771">
        <v>8.4</v>
      </c>
      <c r="BN1771">
        <v>64.39</v>
      </c>
      <c r="BO1771">
        <v>64.39</v>
      </c>
      <c r="BQ1771" t="s">
        <v>2419</v>
      </c>
      <c r="BR1771" t="s">
        <v>84</v>
      </c>
      <c r="BS1771" s="3">
        <v>45883</v>
      </c>
      <c r="BT1771" s="4">
        <v>0.3125</v>
      </c>
      <c r="BU1771" t="s">
        <v>2420</v>
      </c>
      <c r="BV1771" t="s">
        <v>86</v>
      </c>
      <c r="BY1771">
        <v>1200</v>
      </c>
      <c r="CA1771" t="s">
        <v>155</v>
      </c>
      <c r="CC1771" t="s">
        <v>76</v>
      </c>
      <c r="CD1771">
        <v>1600</v>
      </c>
      <c r="CE1771" t="s">
        <v>109</v>
      </c>
      <c r="CF1771" s="3">
        <v>45883</v>
      </c>
      <c r="CI1771">
        <v>1</v>
      </c>
      <c r="CJ1771">
        <v>1</v>
      </c>
      <c r="CK1771">
        <v>22</v>
      </c>
      <c r="CL1771" t="s">
        <v>90</v>
      </c>
    </row>
    <row r="1772" spans="1:90" x14ac:dyDescent="0.3">
      <c r="A1772" t="s">
        <v>72</v>
      </c>
      <c r="B1772" t="s">
        <v>73</v>
      </c>
      <c r="C1772" t="s">
        <v>74</v>
      </c>
      <c r="E1772" t="str">
        <f>"080067217536"</f>
        <v>080067217536</v>
      </c>
      <c r="F1772" s="3">
        <v>45882</v>
      </c>
      <c r="G1772">
        <v>202605</v>
      </c>
      <c r="H1772" t="s">
        <v>75</v>
      </c>
      <c r="I1772" t="s">
        <v>76</v>
      </c>
      <c r="J1772" t="s">
        <v>77</v>
      </c>
      <c r="K1772" t="s">
        <v>78</v>
      </c>
      <c r="L1772" t="s">
        <v>325</v>
      </c>
      <c r="M1772" t="s">
        <v>326</v>
      </c>
      <c r="N1772" t="s">
        <v>458</v>
      </c>
      <c r="O1772" t="s">
        <v>82</v>
      </c>
      <c r="P1772" t="str">
        <f>"4170054675                    "</f>
        <v xml:space="preserve">4170054675                    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>
        <v>0</v>
      </c>
      <c r="AQ1772">
        <v>18.03</v>
      </c>
      <c r="AR1772">
        <v>0</v>
      </c>
      <c r="AS1772">
        <v>0</v>
      </c>
      <c r="AT1772">
        <v>0</v>
      </c>
      <c r="AU1772">
        <v>0</v>
      </c>
      <c r="AV1772">
        <v>0</v>
      </c>
      <c r="AW1772">
        <v>0</v>
      </c>
      <c r="AX1772">
        <v>0</v>
      </c>
      <c r="AY1772">
        <v>0</v>
      </c>
      <c r="AZ1772">
        <v>0</v>
      </c>
      <c r="BA1772">
        <v>0</v>
      </c>
      <c r="BB1772">
        <v>0</v>
      </c>
      <c r="BC1772">
        <v>0</v>
      </c>
      <c r="BD1772">
        <v>0</v>
      </c>
      <c r="BE1772">
        <v>0</v>
      </c>
      <c r="BF1772">
        <v>0</v>
      </c>
      <c r="BG1772">
        <v>0</v>
      </c>
      <c r="BH1772">
        <v>1</v>
      </c>
      <c r="BI1772">
        <v>1</v>
      </c>
      <c r="BJ1772">
        <v>0.2</v>
      </c>
      <c r="BK1772">
        <v>1</v>
      </c>
      <c r="BL1772">
        <v>55.99</v>
      </c>
      <c r="BM1772">
        <v>8.4</v>
      </c>
      <c r="BN1772">
        <v>64.39</v>
      </c>
      <c r="BO1772">
        <v>64.39</v>
      </c>
      <c r="BQ1772" t="s">
        <v>459</v>
      </c>
      <c r="BR1772" t="s">
        <v>84</v>
      </c>
      <c r="BS1772" s="3">
        <v>45883</v>
      </c>
      <c r="BT1772" s="4">
        <v>0.40069444444444446</v>
      </c>
      <c r="BU1772" t="s">
        <v>2421</v>
      </c>
      <c r="BV1772" t="s">
        <v>86</v>
      </c>
      <c r="BY1772">
        <v>1200</v>
      </c>
      <c r="CC1772" t="s">
        <v>326</v>
      </c>
      <c r="CD1772">
        <v>2197</v>
      </c>
      <c r="CE1772" t="s">
        <v>109</v>
      </c>
      <c r="CF1772" s="3">
        <v>45883</v>
      </c>
      <c r="CI1772">
        <v>1</v>
      </c>
      <c r="CJ1772">
        <v>1</v>
      </c>
      <c r="CK1772">
        <v>22</v>
      </c>
      <c r="CL1772" t="s">
        <v>90</v>
      </c>
    </row>
    <row r="1773" spans="1:90" x14ac:dyDescent="0.3">
      <c r="A1773" t="s">
        <v>72</v>
      </c>
      <c r="B1773" t="s">
        <v>73</v>
      </c>
      <c r="C1773" t="s">
        <v>74</v>
      </c>
      <c r="E1773" t="str">
        <f>"080067217566"</f>
        <v>080067217566</v>
      </c>
      <c r="F1773" s="3">
        <v>45882</v>
      </c>
      <c r="G1773">
        <v>202605</v>
      </c>
      <c r="H1773" t="s">
        <v>75</v>
      </c>
      <c r="I1773" t="s">
        <v>76</v>
      </c>
      <c r="J1773" t="s">
        <v>77</v>
      </c>
      <c r="K1773" t="s">
        <v>78</v>
      </c>
      <c r="L1773" t="s">
        <v>118</v>
      </c>
      <c r="M1773" t="s">
        <v>118</v>
      </c>
      <c r="N1773" t="s">
        <v>466</v>
      </c>
      <c r="O1773" t="s">
        <v>82</v>
      </c>
      <c r="P1773" t="str">
        <f>"4170054661                    "</f>
        <v xml:space="preserve">4170054661                    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0</v>
      </c>
      <c r="AP1773">
        <v>0</v>
      </c>
      <c r="AQ1773">
        <v>44.73</v>
      </c>
      <c r="AR1773">
        <v>0</v>
      </c>
      <c r="AS1773">
        <v>0</v>
      </c>
      <c r="AT1773">
        <v>0</v>
      </c>
      <c r="AU1773">
        <v>0</v>
      </c>
      <c r="AV1773">
        <v>0</v>
      </c>
      <c r="AW1773">
        <v>0</v>
      </c>
      <c r="AX1773">
        <v>0</v>
      </c>
      <c r="AY1773">
        <v>0</v>
      </c>
      <c r="AZ1773">
        <v>0</v>
      </c>
      <c r="BA1773">
        <v>0</v>
      </c>
      <c r="BB1773">
        <v>0</v>
      </c>
      <c r="BC1773">
        <v>0</v>
      </c>
      <c r="BD1773">
        <v>0</v>
      </c>
      <c r="BE1773">
        <v>0</v>
      </c>
      <c r="BF1773">
        <v>0</v>
      </c>
      <c r="BG1773">
        <v>0</v>
      </c>
      <c r="BH1773">
        <v>1</v>
      </c>
      <c r="BI1773">
        <v>1</v>
      </c>
      <c r="BJ1773">
        <v>0.2</v>
      </c>
      <c r="BK1773">
        <v>1</v>
      </c>
      <c r="BL1773">
        <v>138.88999999999999</v>
      </c>
      <c r="BM1773">
        <v>20.83</v>
      </c>
      <c r="BN1773">
        <v>159.72</v>
      </c>
      <c r="BO1773">
        <v>159.72</v>
      </c>
      <c r="BQ1773" t="s">
        <v>467</v>
      </c>
      <c r="BR1773" t="s">
        <v>84</v>
      </c>
      <c r="BS1773" s="3">
        <v>45883</v>
      </c>
      <c r="BT1773" s="4">
        <v>0.52986111111111112</v>
      </c>
      <c r="BU1773" t="s">
        <v>2389</v>
      </c>
      <c r="BV1773" t="s">
        <v>86</v>
      </c>
      <c r="BY1773">
        <v>1200</v>
      </c>
      <c r="CA1773" t="s">
        <v>122</v>
      </c>
      <c r="CC1773" t="s">
        <v>118</v>
      </c>
      <c r="CD1773">
        <v>7646</v>
      </c>
      <c r="CE1773" t="s">
        <v>109</v>
      </c>
      <c r="CF1773" s="3">
        <v>45884</v>
      </c>
      <c r="CI1773">
        <v>1</v>
      </c>
      <c r="CJ1773">
        <v>1</v>
      </c>
      <c r="CK1773">
        <v>23</v>
      </c>
      <c r="CL1773" t="s">
        <v>90</v>
      </c>
    </row>
    <row r="1774" spans="1:90" x14ac:dyDescent="0.3">
      <c r="A1774" t="s">
        <v>72</v>
      </c>
      <c r="B1774" t="s">
        <v>73</v>
      </c>
      <c r="C1774" t="s">
        <v>74</v>
      </c>
      <c r="E1774" t="str">
        <f>"080067217589"</f>
        <v>080067217589</v>
      </c>
      <c r="F1774" s="3">
        <v>45882</v>
      </c>
      <c r="G1774">
        <v>202605</v>
      </c>
      <c r="H1774" t="s">
        <v>75</v>
      </c>
      <c r="I1774" t="s">
        <v>76</v>
      </c>
      <c r="J1774" t="s">
        <v>77</v>
      </c>
      <c r="K1774" t="s">
        <v>78</v>
      </c>
      <c r="L1774" t="s">
        <v>75</v>
      </c>
      <c r="M1774" t="s">
        <v>76</v>
      </c>
      <c r="N1774" t="s">
        <v>152</v>
      </c>
      <c r="O1774" t="s">
        <v>82</v>
      </c>
      <c r="P1774" t="str">
        <f>"4170054614                    "</f>
        <v xml:space="preserve">4170054614                    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0</v>
      </c>
      <c r="AQ1774">
        <v>18.03</v>
      </c>
      <c r="AR1774">
        <v>0</v>
      </c>
      <c r="AS1774">
        <v>0</v>
      </c>
      <c r="AT1774">
        <v>0</v>
      </c>
      <c r="AU1774">
        <v>0</v>
      </c>
      <c r="AV1774">
        <v>0</v>
      </c>
      <c r="AW1774">
        <v>0</v>
      </c>
      <c r="AX1774">
        <v>0</v>
      </c>
      <c r="AY1774">
        <v>0</v>
      </c>
      <c r="AZ1774">
        <v>0</v>
      </c>
      <c r="BA1774">
        <v>0</v>
      </c>
      <c r="BB1774">
        <v>0</v>
      </c>
      <c r="BC1774">
        <v>0</v>
      </c>
      <c r="BD1774">
        <v>0</v>
      </c>
      <c r="BE1774">
        <v>0</v>
      </c>
      <c r="BF1774">
        <v>0</v>
      </c>
      <c r="BG1774">
        <v>0</v>
      </c>
      <c r="BH1774">
        <v>1</v>
      </c>
      <c r="BI1774">
        <v>1</v>
      </c>
      <c r="BJ1774">
        <v>0.2</v>
      </c>
      <c r="BK1774">
        <v>1</v>
      </c>
      <c r="BL1774">
        <v>55.99</v>
      </c>
      <c r="BM1774">
        <v>8.4</v>
      </c>
      <c r="BN1774">
        <v>64.39</v>
      </c>
      <c r="BO1774">
        <v>64.39</v>
      </c>
      <c r="BQ1774" t="s">
        <v>153</v>
      </c>
      <c r="BR1774" t="s">
        <v>84</v>
      </c>
      <c r="BS1774" s="3">
        <v>45883</v>
      </c>
      <c r="BT1774" s="4">
        <v>0.3347222222222222</v>
      </c>
      <c r="BU1774" t="s">
        <v>995</v>
      </c>
      <c r="BV1774" t="s">
        <v>86</v>
      </c>
      <c r="BY1774">
        <v>1200</v>
      </c>
      <c r="CA1774" t="s">
        <v>155</v>
      </c>
      <c r="CC1774" t="s">
        <v>76</v>
      </c>
      <c r="CD1774">
        <v>1600</v>
      </c>
      <c r="CE1774" t="s">
        <v>109</v>
      </c>
      <c r="CF1774" s="3">
        <v>45883</v>
      </c>
      <c r="CI1774">
        <v>1</v>
      </c>
      <c r="CJ1774">
        <v>1</v>
      </c>
      <c r="CK1774">
        <v>22</v>
      </c>
      <c r="CL1774" t="s">
        <v>90</v>
      </c>
    </row>
    <row r="1775" spans="1:90" x14ac:dyDescent="0.3">
      <c r="A1775" t="s">
        <v>72</v>
      </c>
      <c r="B1775" t="s">
        <v>73</v>
      </c>
      <c r="C1775" t="s">
        <v>74</v>
      </c>
      <c r="E1775" t="str">
        <f>"080067217609"</f>
        <v>080067217609</v>
      </c>
      <c r="F1775" s="3">
        <v>45882</v>
      </c>
      <c r="G1775">
        <v>202605</v>
      </c>
      <c r="H1775" t="s">
        <v>75</v>
      </c>
      <c r="I1775" t="s">
        <v>76</v>
      </c>
      <c r="J1775" t="s">
        <v>77</v>
      </c>
      <c r="K1775" t="s">
        <v>78</v>
      </c>
      <c r="L1775" t="s">
        <v>2422</v>
      </c>
      <c r="M1775" t="s">
        <v>2423</v>
      </c>
      <c r="N1775" t="s">
        <v>2424</v>
      </c>
      <c r="O1775" t="s">
        <v>82</v>
      </c>
      <c r="P1775" t="str">
        <f>"4170054650                    "</f>
        <v xml:space="preserve">4170054650                    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0</v>
      </c>
      <c r="AP1775">
        <v>0</v>
      </c>
      <c r="AQ1775">
        <v>44.73</v>
      </c>
      <c r="AR1775">
        <v>0</v>
      </c>
      <c r="AS1775">
        <v>0</v>
      </c>
      <c r="AT1775">
        <v>0</v>
      </c>
      <c r="AU1775">
        <v>0</v>
      </c>
      <c r="AV1775">
        <v>0</v>
      </c>
      <c r="AW1775">
        <v>0</v>
      </c>
      <c r="AX1775">
        <v>0</v>
      </c>
      <c r="AY1775">
        <v>0</v>
      </c>
      <c r="AZ1775">
        <v>0</v>
      </c>
      <c r="BA1775">
        <v>0</v>
      </c>
      <c r="BB1775">
        <v>0</v>
      </c>
      <c r="BC1775">
        <v>0</v>
      </c>
      <c r="BD1775">
        <v>0</v>
      </c>
      <c r="BE1775">
        <v>0</v>
      </c>
      <c r="BF1775">
        <v>0</v>
      </c>
      <c r="BG1775">
        <v>0</v>
      </c>
      <c r="BH1775">
        <v>1</v>
      </c>
      <c r="BI1775">
        <v>1</v>
      </c>
      <c r="BJ1775">
        <v>0.2</v>
      </c>
      <c r="BK1775">
        <v>1</v>
      </c>
      <c r="BL1775">
        <v>138.88999999999999</v>
      </c>
      <c r="BM1775">
        <v>20.83</v>
      </c>
      <c r="BN1775">
        <v>159.72</v>
      </c>
      <c r="BO1775">
        <v>159.72</v>
      </c>
      <c r="BQ1775" t="s">
        <v>2425</v>
      </c>
      <c r="BR1775" t="s">
        <v>84</v>
      </c>
      <c r="BS1775" s="3">
        <v>45883</v>
      </c>
      <c r="BT1775" s="4">
        <v>0.72569444444444442</v>
      </c>
      <c r="BU1775" t="s">
        <v>2426</v>
      </c>
      <c r="BV1775" t="s">
        <v>86</v>
      </c>
      <c r="BY1775">
        <v>1200</v>
      </c>
      <c r="CA1775" t="s">
        <v>2427</v>
      </c>
      <c r="CC1775" t="s">
        <v>2423</v>
      </c>
      <c r="CD1775">
        <v>4449</v>
      </c>
      <c r="CE1775" t="s">
        <v>290</v>
      </c>
      <c r="CF1775" s="3">
        <v>45883</v>
      </c>
      <c r="CI1775">
        <v>1</v>
      </c>
      <c r="CJ1775">
        <v>1</v>
      </c>
      <c r="CK1775">
        <v>23</v>
      </c>
      <c r="CL1775" t="s">
        <v>90</v>
      </c>
    </row>
    <row r="1776" spans="1:90" x14ac:dyDescent="0.3">
      <c r="A1776" t="s">
        <v>72</v>
      </c>
      <c r="B1776" t="s">
        <v>73</v>
      </c>
      <c r="C1776" t="s">
        <v>74</v>
      </c>
      <c r="E1776" t="str">
        <f>"080067217611"</f>
        <v>080067217611</v>
      </c>
      <c r="F1776" s="3">
        <v>45882</v>
      </c>
      <c r="G1776">
        <v>202605</v>
      </c>
      <c r="H1776" t="s">
        <v>75</v>
      </c>
      <c r="I1776" t="s">
        <v>76</v>
      </c>
      <c r="J1776" t="s">
        <v>77</v>
      </c>
      <c r="K1776" t="s">
        <v>78</v>
      </c>
      <c r="L1776" t="s">
        <v>110</v>
      </c>
      <c r="M1776" t="s">
        <v>111</v>
      </c>
      <c r="N1776" t="s">
        <v>480</v>
      </c>
      <c r="O1776" t="s">
        <v>82</v>
      </c>
      <c r="P1776" t="str">
        <f>"4170054524                    "</f>
        <v xml:space="preserve">4170054524                    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Q1776">
        <v>18.03</v>
      </c>
      <c r="AR1776">
        <v>0</v>
      </c>
      <c r="AS1776">
        <v>0</v>
      </c>
      <c r="AT1776">
        <v>0</v>
      </c>
      <c r="AU1776">
        <v>0</v>
      </c>
      <c r="AV1776">
        <v>0</v>
      </c>
      <c r="AW1776">
        <v>0</v>
      </c>
      <c r="AX1776">
        <v>0</v>
      </c>
      <c r="AY1776">
        <v>0</v>
      </c>
      <c r="AZ1776">
        <v>0</v>
      </c>
      <c r="BA1776">
        <v>0</v>
      </c>
      <c r="BB1776">
        <v>0</v>
      </c>
      <c r="BC1776">
        <v>0</v>
      </c>
      <c r="BD1776">
        <v>0</v>
      </c>
      <c r="BE1776">
        <v>0</v>
      </c>
      <c r="BF1776">
        <v>0</v>
      </c>
      <c r="BG1776">
        <v>0</v>
      </c>
      <c r="BH1776">
        <v>1</v>
      </c>
      <c r="BI1776">
        <v>1</v>
      </c>
      <c r="BJ1776">
        <v>0.2</v>
      </c>
      <c r="BK1776">
        <v>1</v>
      </c>
      <c r="BL1776">
        <v>55.99</v>
      </c>
      <c r="BM1776">
        <v>8.4</v>
      </c>
      <c r="BN1776">
        <v>64.39</v>
      </c>
      <c r="BO1776">
        <v>64.39</v>
      </c>
      <c r="BQ1776" t="s">
        <v>481</v>
      </c>
      <c r="BR1776" t="s">
        <v>84</v>
      </c>
      <c r="BS1776" s="3">
        <v>45883</v>
      </c>
      <c r="BT1776" s="4">
        <v>0.40625</v>
      </c>
      <c r="BU1776" t="s">
        <v>2428</v>
      </c>
      <c r="BV1776" t="s">
        <v>86</v>
      </c>
      <c r="BY1776">
        <v>1200</v>
      </c>
      <c r="CA1776" t="s">
        <v>2429</v>
      </c>
      <c r="CC1776" t="s">
        <v>111</v>
      </c>
      <c r="CD1776">
        <v>2163</v>
      </c>
      <c r="CE1776" t="s">
        <v>109</v>
      </c>
      <c r="CF1776" s="3">
        <v>45883</v>
      </c>
      <c r="CI1776">
        <v>1</v>
      </c>
      <c r="CJ1776">
        <v>1</v>
      </c>
      <c r="CK1776">
        <v>22</v>
      </c>
      <c r="CL1776" t="s">
        <v>90</v>
      </c>
    </row>
    <row r="1777" spans="1:90" x14ac:dyDescent="0.3">
      <c r="A1777" t="s">
        <v>72</v>
      </c>
      <c r="B1777" t="s">
        <v>73</v>
      </c>
      <c r="C1777" t="s">
        <v>74</v>
      </c>
      <c r="E1777" t="str">
        <f>"080067217629"</f>
        <v>080067217629</v>
      </c>
      <c r="F1777" s="3">
        <v>45882</v>
      </c>
      <c r="G1777">
        <v>202605</v>
      </c>
      <c r="H1777" t="s">
        <v>75</v>
      </c>
      <c r="I1777" t="s">
        <v>76</v>
      </c>
      <c r="J1777" t="s">
        <v>77</v>
      </c>
      <c r="K1777" t="s">
        <v>78</v>
      </c>
      <c r="L1777" t="s">
        <v>2430</v>
      </c>
      <c r="M1777" t="s">
        <v>2431</v>
      </c>
      <c r="N1777" t="s">
        <v>2432</v>
      </c>
      <c r="O1777" t="s">
        <v>82</v>
      </c>
      <c r="P1777" t="str">
        <f>"4170054667                    "</f>
        <v xml:space="preserve">4170054667                    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0</v>
      </c>
      <c r="AO1777">
        <v>0</v>
      </c>
      <c r="AP1777">
        <v>0</v>
      </c>
      <c r="AQ1777">
        <v>32.47</v>
      </c>
      <c r="AR1777">
        <v>0</v>
      </c>
      <c r="AS1777">
        <v>0</v>
      </c>
      <c r="AT1777">
        <v>0</v>
      </c>
      <c r="AU1777">
        <v>0</v>
      </c>
      <c r="AV1777">
        <v>0</v>
      </c>
      <c r="AW1777">
        <v>0</v>
      </c>
      <c r="AX1777">
        <v>0</v>
      </c>
      <c r="AY1777">
        <v>0</v>
      </c>
      <c r="AZ1777">
        <v>0</v>
      </c>
      <c r="BA1777">
        <v>0</v>
      </c>
      <c r="BB1777">
        <v>0</v>
      </c>
      <c r="BC1777">
        <v>0</v>
      </c>
      <c r="BD1777">
        <v>0</v>
      </c>
      <c r="BE1777">
        <v>0</v>
      </c>
      <c r="BF1777">
        <v>0</v>
      </c>
      <c r="BG1777">
        <v>0</v>
      </c>
      <c r="BH1777">
        <v>1</v>
      </c>
      <c r="BI1777">
        <v>1</v>
      </c>
      <c r="BJ1777">
        <v>0.2</v>
      </c>
      <c r="BK1777">
        <v>1</v>
      </c>
      <c r="BL1777">
        <v>100.82</v>
      </c>
      <c r="BM1777">
        <v>15.12</v>
      </c>
      <c r="BN1777">
        <v>115.94</v>
      </c>
      <c r="BO1777">
        <v>115.94</v>
      </c>
      <c r="BQ1777" t="s">
        <v>2433</v>
      </c>
      <c r="BR1777" t="s">
        <v>84</v>
      </c>
      <c r="BS1777" s="3">
        <v>45883</v>
      </c>
      <c r="BT1777" s="4">
        <v>0.36736111111111114</v>
      </c>
      <c r="BU1777" t="s">
        <v>2434</v>
      </c>
      <c r="BV1777" t="s">
        <v>86</v>
      </c>
      <c r="BY1777">
        <v>1200</v>
      </c>
      <c r="CA1777" t="s">
        <v>2435</v>
      </c>
      <c r="CC1777" t="s">
        <v>2431</v>
      </c>
      <c r="CD1777">
        <v>2410</v>
      </c>
      <c r="CE1777" t="s">
        <v>109</v>
      </c>
      <c r="CF1777" s="3">
        <v>45883</v>
      </c>
      <c r="CI1777">
        <v>1</v>
      </c>
      <c r="CJ1777">
        <v>1</v>
      </c>
      <c r="CK1777">
        <v>24</v>
      </c>
      <c r="CL1777" t="s">
        <v>90</v>
      </c>
    </row>
    <row r="1778" spans="1:90" x14ac:dyDescent="0.3">
      <c r="A1778" t="s">
        <v>72</v>
      </c>
      <c r="B1778" t="s">
        <v>73</v>
      </c>
      <c r="C1778" t="s">
        <v>74</v>
      </c>
      <c r="E1778" t="str">
        <f>"080067217627"</f>
        <v>080067217627</v>
      </c>
      <c r="F1778" s="3">
        <v>45882</v>
      </c>
      <c r="G1778">
        <v>202605</v>
      </c>
      <c r="H1778" t="s">
        <v>75</v>
      </c>
      <c r="I1778" t="s">
        <v>76</v>
      </c>
      <c r="J1778" t="s">
        <v>77</v>
      </c>
      <c r="K1778" t="s">
        <v>78</v>
      </c>
      <c r="L1778" t="s">
        <v>297</v>
      </c>
      <c r="M1778" t="s">
        <v>298</v>
      </c>
      <c r="N1778" t="s">
        <v>2436</v>
      </c>
      <c r="O1778" t="s">
        <v>82</v>
      </c>
      <c r="P1778" t="str">
        <f>"4170054427                    "</f>
        <v xml:space="preserve">4170054427                    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>
        <v>23.09</v>
      </c>
      <c r="AR1778">
        <v>0</v>
      </c>
      <c r="AS1778">
        <v>0</v>
      </c>
      <c r="AT1778">
        <v>0</v>
      </c>
      <c r="AU1778">
        <v>0</v>
      </c>
      <c r="AV1778">
        <v>0</v>
      </c>
      <c r="AW1778">
        <v>0</v>
      </c>
      <c r="AX1778">
        <v>0</v>
      </c>
      <c r="AY1778">
        <v>0</v>
      </c>
      <c r="AZ1778">
        <v>0</v>
      </c>
      <c r="BA1778">
        <v>0</v>
      </c>
      <c r="BB1778">
        <v>0</v>
      </c>
      <c r="BC1778">
        <v>0</v>
      </c>
      <c r="BD1778">
        <v>0</v>
      </c>
      <c r="BE1778">
        <v>0</v>
      </c>
      <c r="BF1778">
        <v>0</v>
      </c>
      <c r="BG1778">
        <v>0</v>
      </c>
      <c r="BH1778">
        <v>1</v>
      </c>
      <c r="BI1778">
        <v>1</v>
      </c>
      <c r="BJ1778">
        <v>0.2</v>
      </c>
      <c r="BK1778">
        <v>1</v>
      </c>
      <c r="BL1778">
        <v>71.69</v>
      </c>
      <c r="BM1778">
        <v>10.75</v>
      </c>
      <c r="BN1778">
        <v>82.44</v>
      </c>
      <c r="BO1778">
        <v>82.44</v>
      </c>
      <c r="BQ1778" t="s">
        <v>2437</v>
      </c>
      <c r="BR1778" t="s">
        <v>84</v>
      </c>
      <c r="BS1778" s="3">
        <v>45883</v>
      </c>
      <c r="BT1778" s="4">
        <v>0.34375</v>
      </c>
      <c r="BU1778" t="s">
        <v>2438</v>
      </c>
      <c r="BV1778" t="s">
        <v>86</v>
      </c>
      <c r="BY1778">
        <v>1200</v>
      </c>
      <c r="CA1778" t="s">
        <v>2439</v>
      </c>
      <c r="CC1778" t="s">
        <v>298</v>
      </c>
      <c r="CD1778">
        <v>4319</v>
      </c>
      <c r="CE1778" t="s">
        <v>109</v>
      </c>
      <c r="CF1778" s="3">
        <v>45883</v>
      </c>
      <c r="CI1778">
        <v>1</v>
      </c>
      <c r="CJ1778">
        <v>1</v>
      </c>
      <c r="CK1778">
        <v>21</v>
      </c>
      <c r="CL1778" t="s">
        <v>90</v>
      </c>
    </row>
    <row r="1779" spans="1:90" x14ac:dyDescent="0.3">
      <c r="A1779" t="s">
        <v>72</v>
      </c>
      <c r="B1779" t="s">
        <v>73</v>
      </c>
      <c r="C1779" t="s">
        <v>74</v>
      </c>
      <c r="E1779" t="str">
        <f>"080067217651"</f>
        <v>080067217651</v>
      </c>
      <c r="F1779" s="3">
        <v>45882</v>
      </c>
      <c r="G1779">
        <v>202605</v>
      </c>
      <c r="H1779" t="s">
        <v>75</v>
      </c>
      <c r="I1779" t="s">
        <v>76</v>
      </c>
      <c r="J1779" t="s">
        <v>77</v>
      </c>
      <c r="K1779" t="s">
        <v>78</v>
      </c>
      <c r="L1779" t="s">
        <v>223</v>
      </c>
      <c r="M1779" t="s">
        <v>224</v>
      </c>
      <c r="N1779" t="s">
        <v>225</v>
      </c>
      <c r="O1779" t="s">
        <v>82</v>
      </c>
      <c r="P1779" t="str">
        <f>"4170054425                    "</f>
        <v xml:space="preserve">4170054425                    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>
        <v>23.09</v>
      </c>
      <c r="AR1779">
        <v>0</v>
      </c>
      <c r="AS1779">
        <v>0</v>
      </c>
      <c r="AT1779">
        <v>0</v>
      </c>
      <c r="AU1779">
        <v>0</v>
      </c>
      <c r="AV1779">
        <v>0</v>
      </c>
      <c r="AW1779">
        <v>0</v>
      </c>
      <c r="AX1779">
        <v>0</v>
      </c>
      <c r="AY1779">
        <v>0</v>
      </c>
      <c r="AZ1779">
        <v>0</v>
      </c>
      <c r="BA1779">
        <v>0</v>
      </c>
      <c r="BB1779">
        <v>0</v>
      </c>
      <c r="BC1779">
        <v>0</v>
      </c>
      <c r="BD1779">
        <v>0</v>
      </c>
      <c r="BE1779">
        <v>0</v>
      </c>
      <c r="BF1779">
        <v>0</v>
      </c>
      <c r="BG1779">
        <v>0</v>
      </c>
      <c r="BH1779">
        <v>1</v>
      </c>
      <c r="BI1779">
        <v>1</v>
      </c>
      <c r="BJ1779">
        <v>0.2</v>
      </c>
      <c r="BK1779">
        <v>1</v>
      </c>
      <c r="BL1779">
        <v>71.69</v>
      </c>
      <c r="BM1779">
        <v>10.75</v>
      </c>
      <c r="BN1779">
        <v>82.44</v>
      </c>
      <c r="BO1779">
        <v>82.44</v>
      </c>
      <c r="BQ1779" t="s">
        <v>226</v>
      </c>
      <c r="BR1779" t="s">
        <v>84</v>
      </c>
      <c r="BS1779" s="3">
        <v>45883</v>
      </c>
      <c r="BT1779" s="4">
        <v>0.46388888888888891</v>
      </c>
      <c r="BU1779" t="s">
        <v>2440</v>
      </c>
      <c r="BV1779" t="s">
        <v>90</v>
      </c>
      <c r="BY1779">
        <v>1200</v>
      </c>
      <c r="CA1779" t="s">
        <v>228</v>
      </c>
      <c r="CC1779" t="s">
        <v>224</v>
      </c>
      <c r="CD1779">
        <v>5201</v>
      </c>
      <c r="CE1779" t="s">
        <v>109</v>
      </c>
      <c r="CF1779" s="3">
        <v>45884</v>
      </c>
      <c r="CI1779">
        <v>1</v>
      </c>
      <c r="CJ1779">
        <v>1</v>
      </c>
      <c r="CK1779">
        <v>21</v>
      </c>
      <c r="CL1779" t="s">
        <v>90</v>
      </c>
    </row>
    <row r="1780" spans="1:90" x14ac:dyDescent="0.3">
      <c r="A1780" t="s">
        <v>72</v>
      </c>
      <c r="B1780" t="s">
        <v>73</v>
      </c>
      <c r="C1780" t="s">
        <v>74</v>
      </c>
      <c r="E1780" t="str">
        <f>"080067217668"</f>
        <v>080067217668</v>
      </c>
      <c r="F1780" s="3">
        <v>45882</v>
      </c>
      <c r="G1780">
        <v>202605</v>
      </c>
      <c r="H1780" t="s">
        <v>75</v>
      </c>
      <c r="I1780" t="s">
        <v>76</v>
      </c>
      <c r="J1780" t="s">
        <v>77</v>
      </c>
      <c r="K1780" t="s">
        <v>78</v>
      </c>
      <c r="L1780" t="s">
        <v>325</v>
      </c>
      <c r="M1780" t="s">
        <v>326</v>
      </c>
      <c r="N1780" t="s">
        <v>1940</v>
      </c>
      <c r="O1780" t="s">
        <v>82</v>
      </c>
      <c r="P1780" t="str">
        <f>"4170054671                    "</f>
        <v xml:space="preserve">4170054671                    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0</v>
      </c>
      <c r="AO1780">
        <v>0</v>
      </c>
      <c r="AP1780">
        <v>0</v>
      </c>
      <c r="AQ1780">
        <v>18.03</v>
      </c>
      <c r="AR1780">
        <v>0</v>
      </c>
      <c r="AS1780">
        <v>0</v>
      </c>
      <c r="AT1780">
        <v>0</v>
      </c>
      <c r="AU1780">
        <v>0</v>
      </c>
      <c r="AV1780">
        <v>0</v>
      </c>
      <c r="AW1780">
        <v>0</v>
      </c>
      <c r="AX1780">
        <v>0</v>
      </c>
      <c r="AY1780">
        <v>0</v>
      </c>
      <c r="AZ1780">
        <v>0</v>
      </c>
      <c r="BA1780">
        <v>0</v>
      </c>
      <c r="BB1780">
        <v>0</v>
      </c>
      <c r="BC1780">
        <v>0</v>
      </c>
      <c r="BD1780">
        <v>0</v>
      </c>
      <c r="BE1780">
        <v>0</v>
      </c>
      <c r="BF1780">
        <v>0</v>
      </c>
      <c r="BG1780">
        <v>0</v>
      </c>
      <c r="BH1780">
        <v>1</v>
      </c>
      <c r="BI1780">
        <v>1</v>
      </c>
      <c r="BJ1780">
        <v>0.2</v>
      </c>
      <c r="BK1780">
        <v>1</v>
      </c>
      <c r="BL1780">
        <v>55.99</v>
      </c>
      <c r="BM1780">
        <v>8.4</v>
      </c>
      <c r="BN1780">
        <v>64.39</v>
      </c>
      <c r="BO1780">
        <v>64.39</v>
      </c>
      <c r="BQ1780" t="s">
        <v>1941</v>
      </c>
      <c r="BR1780" t="s">
        <v>84</v>
      </c>
      <c r="BS1780" s="3">
        <v>45883</v>
      </c>
      <c r="BT1780" s="4">
        <v>0.375</v>
      </c>
      <c r="BU1780" t="s">
        <v>2256</v>
      </c>
      <c r="BV1780" t="s">
        <v>86</v>
      </c>
      <c r="BY1780">
        <v>1200</v>
      </c>
      <c r="CA1780" t="s">
        <v>331</v>
      </c>
      <c r="CC1780" t="s">
        <v>326</v>
      </c>
      <c r="CD1780">
        <v>2001</v>
      </c>
      <c r="CE1780" t="s">
        <v>290</v>
      </c>
      <c r="CF1780" s="3">
        <v>45884</v>
      </c>
      <c r="CI1780">
        <v>1</v>
      </c>
      <c r="CJ1780">
        <v>1</v>
      </c>
      <c r="CK1780">
        <v>22</v>
      </c>
      <c r="CL1780" t="s">
        <v>90</v>
      </c>
    </row>
    <row r="1781" spans="1:90" x14ac:dyDescent="0.3">
      <c r="A1781" t="s">
        <v>72</v>
      </c>
      <c r="B1781" t="s">
        <v>73</v>
      </c>
      <c r="C1781" t="s">
        <v>74</v>
      </c>
      <c r="E1781" t="str">
        <f>"080067217698"</f>
        <v>080067217698</v>
      </c>
      <c r="F1781" s="3">
        <v>45882</v>
      </c>
      <c r="G1781">
        <v>202605</v>
      </c>
      <c r="H1781" t="s">
        <v>75</v>
      </c>
      <c r="I1781" t="s">
        <v>76</v>
      </c>
      <c r="J1781" t="s">
        <v>77</v>
      </c>
      <c r="K1781" t="s">
        <v>78</v>
      </c>
      <c r="L1781" t="s">
        <v>291</v>
      </c>
      <c r="M1781" t="s">
        <v>292</v>
      </c>
      <c r="N1781" t="s">
        <v>131</v>
      </c>
      <c r="O1781" t="s">
        <v>82</v>
      </c>
      <c r="P1781" t="str">
        <f>"4170054662                    "</f>
        <v xml:space="preserve">4170054662                    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Q1781">
        <v>18.03</v>
      </c>
      <c r="AR1781">
        <v>0</v>
      </c>
      <c r="AS1781">
        <v>0</v>
      </c>
      <c r="AT1781">
        <v>0</v>
      </c>
      <c r="AU1781">
        <v>0</v>
      </c>
      <c r="AV1781">
        <v>0</v>
      </c>
      <c r="AW1781">
        <v>0</v>
      </c>
      <c r="AX1781">
        <v>0</v>
      </c>
      <c r="AY1781">
        <v>0</v>
      </c>
      <c r="AZ1781">
        <v>0</v>
      </c>
      <c r="BA1781">
        <v>0</v>
      </c>
      <c r="BB1781">
        <v>0</v>
      </c>
      <c r="BC1781">
        <v>0</v>
      </c>
      <c r="BD1781">
        <v>0</v>
      </c>
      <c r="BE1781">
        <v>0</v>
      </c>
      <c r="BF1781">
        <v>0</v>
      </c>
      <c r="BG1781">
        <v>0</v>
      </c>
      <c r="BH1781">
        <v>1</v>
      </c>
      <c r="BI1781">
        <v>1</v>
      </c>
      <c r="BJ1781">
        <v>0.2</v>
      </c>
      <c r="BK1781">
        <v>1</v>
      </c>
      <c r="BL1781">
        <v>55.99</v>
      </c>
      <c r="BM1781">
        <v>8.4</v>
      </c>
      <c r="BN1781">
        <v>64.39</v>
      </c>
      <c r="BO1781">
        <v>64.39</v>
      </c>
      <c r="BQ1781" t="s">
        <v>132</v>
      </c>
      <c r="BR1781" t="s">
        <v>84</v>
      </c>
      <c r="BS1781" s="3">
        <v>45883</v>
      </c>
      <c r="BT1781" s="4">
        <v>0.39305555555555555</v>
      </c>
      <c r="BU1781" t="s">
        <v>526</v>
      </c>
      <c r="BV1781" t="s">
        <v>86</v>
      </c>
      <c r="BY1781">
        <v>1200</v>
      </c>
      <c r="BZ1781" t="s">
        <v>330</v>
      </c>
      <c r="CA1781" t="s">
        <v>296</v>
      </c>
      <c r="CC1781" t="s">
        <v>292</v>
      </c>
      <c r="CD1781">
        <v>1451</v>
      </c>
      <c r="CE1781" t="s">
        <v>597</v>
      </c>
      <c r="CF1781" s="3">
        <v>45883</v>
      </c>
      <c r="CI1781">
        <v>1</v>
      </c>
      <c r="CJ1781">
        <v>1</v>
      </c>
      <c r="CK1781">
        <v>22</v>
      </c>
      <c r="CL1781" t="s">
        <v>90</v>
      </c>
    </row>
    <row r="1782" spans="1:90" x14ac:dyDescent="0.3">
      <c r="A1782" t="s">
        <v>72</v>
      </c>
      <c r="B1782" t="s">
        <v>73</v>
      </c>
      <c r="C1782" t="s">
        <v>74</v>
      </c>
      <c r="E1782" t="str">
        <f>"080067217738"</f>
        <v>080067217738</v>
      </c>
      <c r="F1782" s="3">
        <v>45882</v>
      </c>
      <c r="G1782">
        <v>202605</v>
      </c>
      <c r="H1782" t="s">
        <v>75</v>
      </c>
      <c r="I1782" t="s">
        <v>76</v>
      </c>
      <c r="J1782" t="s">
        <v>77</v>
      </c>
      <c r="K1782" t="s">
        <v>78</v>
      </c>
      <c r="L1782" t="s">
        <v>452</v>
      </c>
      <c r="M1782" t="s">
        <v>453</v>
      </c>
      <c r="N1782" t="s">
        <v>454</v>
      </c>
      <c r="O1782" t="s">
        <v>82</v>
      </c>
      <c r="P1782" t="str">
        <f>"4170054545                    "</f>
        <v xml:space="preserve">4170054545                    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Q1782">
        <v>44.73</v>
      </c>
      <c r="AR1782">
        <v>0</v>
      </c>
      <c r="AS1782">
        <v>0</v>
      </c>
      <c r="AT1782">
        <v>0</v>
      </c>
      <c r="AU1782">
        <v>0</v>
      </c>
      <c r="AV1782">
        <v>0</v>
      </c>
      <c r="AW1782">
        <v>0</v>
      </c>
      <c r="AX1782">
        <v>0</v>
      </c>
      <c r="AY1782">
        <v>0</v>
      </c>
      <c r="AZ1782">
        <v>0</v>
      </c>
      <c r="BA1782">
        <v>0</v>
      </c>
      <c r="BB1782">
        <v>0</v>
      </c>
      <c r="BC1782">
        <v>0</v>
      </c>
      <c r="BD1782">
        <v>0</v>
      </c>
      <c r="BE1782">
        <v>0</v>
      </c>
      <c r="BF1782">
        <v>0</v>
      </c>
      <c r="BG1782">
        <v>0</v>
      </c>
      <c r="BH1782">
        <v>1</v>
      </c>
      <c r="BI1782">
        <v>1</v>
      </c>
      <c r="BJ1782">
        <v>1.4</v>
      </c>
      <c r="BK1782">
        <v>1.5</v>
      </c>
      <c r="BL1782">
        <v>138.88999999999999</v>
      </c>
      <c r="BM1782">
        <v>20.83</v>
      </c>
      <c r="BN1782">
        <v>159.72</v>
      </c>
      <c r="BO1782">
        <v>159.72</v>
      </c>
      <c r="BQ1782" t="s">
        <v>455</v>
      </c>
      <c r="BR1782" t="s">
        <v>84</v>
      </c>
      <c r="BS1782" s="3">
        <v>45883</v>
      </c>
      <c r="BT1782" s="4">
        <v>0.38124999999999998</v>
      </c>
      <c r="BU1782" t="s">
        <v>483</v>
      </c>
      <c r="BV1782" t="s">
        <v>86</v>
      </c>
      <c r="BY1782">
        <v>7000</v>
      </c>
      <c r="BZ1782" t="s">
        <v>330</v>
      </c>
      <c r="CA1782" t="s">
        <v>1093</v>
      </c>
      <c r="CC1782" t="s">
        <v>453</v>
      </c>
      <c r="CD1782">
        <v>1947</v>
      </c>
      <c r="CE1782" t="s">
        <v>89</v>
      </c>
      <c r="CF1782" s="3">
        <v>45884</v>
      </c>
      <c r="CI1782">
        <v>1</v>
      </c>
      <c r="CJ1782">
        <v>1</v>
      </c>
      <c r="CK1782">
        <v>23</v>
      </c>
      <c r="CL1782" t="s">
        <v>90</v>
      </c>
    </row>
    <row r="1783" spans="1:90" x14ac:dyDescent="0.3">
      <c r="A1783" t="s">
        <v>72</v>
      </c>
      <c r="B1783" t="s">
        <v>73</v>
      </c>
      <c r="C1783" t="s">
        <v>74</v>
      </c>
      <c r="E1783" t="str">
        <f>"080067217765"</f>
        <v>080067217765</v>
      </c>
      <c r="F1783" s="3">
        <v>45882</v>
      </c>
      <c r="G1783">
        <v>202605</v>
      </c>
      <c r="H1783" t="s">
        <v>75</v>
      </c>
      <c r="I1783" t="s">
        <v>76</v>
      </c>
      <c r="J1783" t="s">
        <v>77</v>
      </c>
      <c r="K1783" t="s">
        <v>78</v>
      </c>
      <c r="L1783" t="s">
        <v>278</v>
      </c>
      <c r="M1783" t="s">
        <v>279</v>
      </c>
      <c r="N1783" t="s">
        <v>880</v>
      </c>
      <c r="O1783" t="s">
        <v>82</v>
      </c>
      <c r="P1783" t="str">
        <f>"4170054647                    "</f>
        <v xml:space="preserve">4170054647                    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>
        <v>23.09</v>
      </c>
      <c r="AR1783">
        <v>0</v>
      </c>
      <c r="AS1783">
        <v>0</v>
      </c>
      <c r="AT1783">
        <v>0</v>
      </c>
      <c r="AU1783">
        <v>0</v>
      </c>
      <c r="AV1783">
        <v>0</v>
      </c>
      <c r="AW1783">
        <v>0</v>
      </c>
      <c r="AX1783">
        <v>0</v>
      </c>
      <c r="AY1783">
        <v>0</v>
      </c>
      <c r="AZ1783">
        <v>0</v>
      </c>
      <c r="BA1783">
        <v>0</v>
      </c>
      <c r="BB1783">
        <v>0</v>
      </c>
      <c r="BC1783">
        <v>0</v>
      </c>
      <c r="BD1783">
        <v>0</v>
      </c>
      <c r="BE1783">
        <v>0</v>
      </c>
      <c r="BF1783">
        <v>0</v>
      </c>
      <c r="BG1783">
        <v>0</v>
      </c>
      <c r="BH1783">
        <v>1</v>
      </c>
      <c r="BI1783">
        <v>1</v>
      </c>
      <c r="BJ1783">
        <v>1.1000000000000001</v>
      </c>
      <c r="BK1783">
        <v>1.5</v>
      </c>
      <c r="BL1783">
        <v>71.69</v>
      </c>
      <c r="BM1783">
        <v>10.75</v>
      </c>
      <c r="BN1783">
        <v>82.44</v>
      </c>
      <c r="BO1783">
        <v>82.44</v>
      </c>
      <c r="BQ1783" t="s">
        <v>881</v>
      </c>
      <c r="BR1783" t="s">
        <v>84</v>
      </c>
      <c r="BS1783" s="3">
        <v>45883</v>
      </c>
      <c r="BT1783" s="4">
        <v>0.35069444444444442</v>
      </c>
      <c r="BU1783" t="s">
        <v>2103</v>
      </c>
      <c r="BV1783" t="s">
        <v>86</v>
      </c>
      <c r="BY1783">
        <v>5320</v>
      </c>
      <c r="BZ1783" t="s">
        <v>330</v>
      </c>
      <c r="CA1783" t="s">
        <v>2104</v>
      </c>
      <c r="CC1783" t="s">
        <v>279</v>
      </c>
      <c r="CD1783" s="5" t="s">
        <v>883</v>
      </c>
      <c r="CE1783" t="s">
        <v>89</v>
      </c>
      <c r="CF1783" s="3">
        <v>45883</v>
      </c>
      <c r="CI1783">
        <v>1</v>
      </c>
      <c r="CJ1783">
        <v>1</v>
      </c>
      <c r="CK1783">
        <v>21</v>
      </c>
      <c r="CL1783" t="s">
        <v>90</v>
      </c>
    </row>
    <row r="1784" spans="1:90" x14ac:dyDescent="0.3">
      <c r="A1784" t="s">
        <v>72</v>
      </c>
      <c r="B1784" t="s">
        <v>73</v>
      </c>
      <c r="C1784" t="s">
        <v>74</v>
      </c>
      <c r="E1784" t="str">
        <f>"080067218080"</f>
        <v>080067218080</v>
      </c>
      <c r="F1784" s="3">
        <v>45882</v>
      </c>
      <c r="G1784">
        <v>202605</v>
      </c>
      <c r="H1784" t="s">
        <v>75</v>
      </c>
      <c r="I1784" t="s">
        <v>76</v>
      </c>
      <c r="J1784" t="s">
        <v>77</v>
      </c>
      <c r="K1784" t="s">
        <v>78</v>
      </c>
      <c r="L1784" t="s">
        <v>241</v>
      </c>
      <c r="M1784" t="s">
        <v>242</v>
      </c>
      <c r="N1784" t="s">
        <v>1566</v>
      </c>
      <c r="O1784" t="s">
        <v>82</v>
      </c>
      <c r="P1784" t="str">
        <f>"4170054593                    "</f>
        <v xml:space="preserve">4170054593                    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Q1784">
        <v>18.03</v>
      </c>
      <c r="AR1784">
        <v>0</v>
      </c>
      <c r="AS1784">
        <v>0</v>
      </c>
      <c r="AT1784">
        <v>0</v>
      </c>
      <c r="AU1784">
        <v>0</v>
      </c>
      <c r="AV1784">
        <v>0</v>
      </c>
      <c r="AW1784">
        <v>0</v>
      </c>
      <c r="AX1784">
        <v>0</v>
      </c>
      <c r="AY1784">
        <v>0</v>
      </c>
      <c r="AZ1784">
        <v>0</v>
      </c>
      <c r="BA1784">
        <v>0</v>
      </c>
      <c r="BB1784">
        <v>0</v>
      </c>
      <c r="BC1784">
        <v>0</v>
      </c>
      <c r="BD1784">
        <v>0</v>
      </c>
      <c r="BE1784">
        <v>0</v>
      </c>
      <c r="BF1784">
        <v>0</v>
      </c>
      <c r="BG1784">
        <v>0</v>
      </c>
      <c r="BH1784">
        <v>1</v>
      </c>
      <c r="BI1784">
        <v>2</v>
      </c>
      <c r="BJ1784">
        <v>0.9</v>
      </c>
      <c r="BK1784">
        <v>2</v>
      </c>
      <c r="BL1784">
        <v>55.99</v>
      </c>
      <c r="BM1784">
        <v>8.4</v>
      </c>
      <c r="BN1784">
        <v>64.39</v>
      </c>
      <c r="BO1784">
        <v>64.39</v>
      </c>
      <c r="BQ1784" t="s">
        <v>1567</v>
      </c>
      <c r="BR1784" t="s">
        <v>84</v>
      </c>
      <c r="BS1784" s="3">
        <v>45883</v>
      </c>
      <c r="BT1784" s="4">
        <v>0.30138888888888887</v>
      </c>
      <c r="BU1784" t="s">
        <v>1568</v>
      </c>
      <c r="BV1784" t="s">
        <v>86</v>
      </c>
      <c r="BY1784">
        <v>4275</v>
      </c>
      <c r="CA1784" t="s">
        <v>720</v>
      </c>
      <c r="CC1784" t="s">
        <v>242</v>
      </c>
      <c r="CD1784">
        <v>1459</v>
      </c>
      <c r="CE1784" t="s">
        <v>147</v>
      </c>
      <c r="CF1784" s="3">
        <v>45883</v>
      </c>
      <c r="CI1784">
        <v>1</v>
      </c>
      <c r="CJ1784">
        <v>1</v>
      </c>
      <c r="CK1784">
        <v>22</v>
      </c>
      <c r="CL1784" t="s">
        <v>90</v>
      </c>
    </row>
    <row r="1785" spans="1:90" x14ac:dyDescent="0.3">
      <c r="A1785" t="s">
        <v>72</v>
      </c>
      <c r="B1785" t="s">
        <v>73</v>
      </c>
      <c r="C1785" t="s">
        <v>74</v>
      </c>
      <c r="E1785" t="str">
        <f>"080067218124"</f>
        <v>080067218124</v>
      </c>
      <c r="F1785" s="3">
        <v>45882</v>
      </c>
      <c r="G1785">
        <v>202605</v>
      </c>
      <c r="H1785" t="s">
        <v>75</v>
      </c>
      <c r="I1785" t="s">
        <v>76</v>
      </c>
      <c r="J1785" t="s">
        <v>77</v>
      </c>
      <c r="K1785" t="s">
        <v>78</v>
      </c>
      <c r="L1785" t="s">
        <v>255</v>
      </c>
      <c r="M1785" t="s">
        <v>256</v>
      </c>
      <c r="N1785" t="s">
        <v>884</v>
      </c>
      <c r="O1785" t="s">
        <v>113</v>
      </c>
      <c r="P1785" t="str">
        <f>"4170054608                    "</f>
        <v xml:space="preserve">4170054608                    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0</v>
      </c>
      <c r="AQ1785">
        <v>18.04</v>
      </c>
      <c r="AR1785">
        <v>0</v>
      </c>
      <c r="AS1785">
        <v>0</v>
      </c>
      <c r="AT1785">
        <v>0</v>
      </c>
      <c r="AU1785">
        <v>0</v>
      </c>
      <c r="AV1785">
        <v>0</v>
      </c>
      <c r="AW1785">
        <v>0</v>
      </c>
      <c r="AX1785">
        <v>0</v>
      </c>
      <c r="AY1785">
        <v>0</v>
      </c>
      <c r="AZ1785">
        <v>0</v>
      </c>
      <c r="BA1785">
        <v>0</v>
      </c>
      <c r="BB1785">
        <v>0</v>
      </c>
      <c r="BC1785">
        <v>0</v>
      </c>
      <c r="BD1785">
        <v>0</v>
      </c>
      <c r="BE1785">
        <v>0</v>
      </c>
      <c r="BF1785">
        <v>0</v>
      </c>
      <c r="BG1785">
        <v>0</v>
      </c>
      <c r="BH1785">
        <v>1</v>
      </c>
      <c r="BI1785">
        <v>6</v>
      </c>
      <c r="BJ1785">
        <v>1.7</v>
      </c>
      <c r="BK1785">
        <v>6</v>
      </c>
      <c r="BL1785">
        <v>56.01</v>
      </c>
      <c r="BM1785">
        <v>8.4</v>
      </c>
      <c r="BN1785">
        <v>64.41</v>
      </c>
      <c r="BO1785">
        <v>64.41</v>
      </c>
      <c r="BQ1785" t="s">
        <v>885</v>
      </c>
      <c r="BR1785" t="s">
        <v>84</v>
      </c>
      <c r="BS1785" s="3">
        <v>45883</v>
      </c>
      <c r="BT1785" s="4">
        <v>0.48194444444444445</v>
      </c>
      <c r="BU1785" t="s">
        <v>2441</v>
      </c>
      <c r="BV1785" t="s">
        <v>86</v>
      </c>
      <c r="BY1785">
        <v>8512</v>
      </c>
      <c r="CA1785" t="s">
        <v>260</v>
      </c>
      <c r="CC1785" t="s">
        <v>256</v>
      </c>
      <c r="CD1785">
        <v>1502</v>
      </c>
      <c r="CE1785" t="s">
        <v>147</v>
      </c>
      <c r="CF1785" s="3">
        <v>45883</v>
      </c>
      <c r="CI1785">
        <v>1</v>
      </c>
      <c r="CJ1785">
        <v>1</v>
      </c>
      <c r="CK1785">
        <v>32</v>
      </c>
      <c r="CL1785" t="s">
        <v>90</v>
      </c>
    </row>
    <row r="1786" spans="1:90" x14ac:dyDescent="0.3">
      <c r="A1786" t="s">
        <v>72</v>
      </c>
      <c r="B1786" t="s">
        <v>73</v>
      </c>
      <c r="C1786" t="s">
        <v>74</v>
      </c>
      <c r="E1786" t="str">
        <f>"080067218151"</f>
        <v>080067218151</v>
      </c>
      <c r="F1786" s="3">
        <v>45882</v>
      </c>
      <c r="G1786">
        <v>202605</v>
      </c>
      <c r="H1786" t="s">
        <v>75</v>
      </c>
      <c r="I1786" t="s">
        <v>76</v>
      </c>
      <c r="J1786" t="s">
        <v>77</v>
      </c>
      <c r="K1786" t="s">
        <v>78</v>
      </c>
      <c r="L1786" t="s">
        <v>349</v>
      </c>
      <c r="M1786" t="s">
        <v>350</v>
      </c>
      <c r="N1786" t="s">
        <v>476</v>
      </c>
      <c r="O1786" t="s">
        <v>82</v>
      </c>
      <c r="P1786" t="str">
        <f>"4170054619                    "</f>
        <v xml:space="preserve">4170054619                    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>
        <v>44.73</v>
      </c>
      <c r="AR1786">
        <v>0</v>
      </c>
      <c r="AS1786">
        <v>0</v>
      </c>
      <c r="AT1786">
        <v>0</v>
      </c>
      <c r="AU1786">
        <v>0</v>
      </c>
      <c r="AV1786">
        <v>0</v>
      </c>
      <c r="AW1786">
        <v>16.739999999999998</v>
      </c>
      <c r="AX1786">
        <v>0</v>
      </c>
      <c r="AY1786">
        <v>0</v>
      </c>
      <c r="AZ1786">
        <v>0</v>
      </c>
      <c r="BA1786">
        <v>0</v>
      </c>
      <c r="BB1786">
        <v>0</v>
      </c>
      <c r="BC1786">
        <v>0</v>
      </c>
      <c r="BD1786">
        <v>0</v>
      </c>
      <c r="BE1786">
        <v>0</v>
      </c>
      <c r="BF1786">
        <v>0</v>
      </c>
      <c r="BG1786">
        <v>0</v>
      </c>
      <c r="BH1786">
        <v>1</v>
      </c>
      <c r="BI1786">
        <v>2</v>
      </c>
      <c r="BJ1786">
        <v>1.1000000000000001</v>
      </c>
      <c r="BK1786">
        <v>2</v>
      </c>
      <c r="BL1786">
        <v>155.63</v>
      </c>
      <c r="BM1786">
        <v>23.34</v>
      </c>
      <c r="BN1786">
        <v>178.97</v>
      </c>
      <c r="BO1786">
        <v>178.97</v>
      </c>
      <c r="BQ1786" t="s">
        <v>477</v>
      </c>
      <c r="BR1786" t="s">
        <v>84</v>
      </c>
      <c r="BS1786" s="3">
        <v>45883</v>
      </c>
      <c r="BT1786" s="4">
        <v>0.48958333333333331</v>
      </c>
      <c r="BU1786" t="s">
        <v>631</v>
      </c>
      <c r="BV1786" t="s">
        <v>86</v>
      </c>
      <c r="BY1786">
        <v>5320</v>
      </c>
      <c r="BZ1786" t="s">
        <v>30</v>
      </c>
      <c r="CC1786" t="s">
        <v>350</v>
      </c>
      <c r="CD1786" s="5" t="s">
        <v>479</v>
      </c>
      <c r="CE1786" t="s">
        <v>147</v>
      </c>
      <c r="CF1786" s="3">
        <v>45884</v>
      </c>
      <c r="CI1786">
        <v>1</v>
      </c>
      <c r="CJ1786">
        <v>1</v>
      </c>
      <c r="CK1786">
        <v>23</v>
      </c>
      <c r="CL1786" t="s">
        <v>90</v>
      </c>
    </row>
    <row r="1787" spans="1:90" x14ac:dyDescent="0.3">
      <c r="A1787" t="s">
        <v>72</v>
      </c>
      <c r="B1787" t="s">
        <v>73</v>
      </c>
      <c r="C1787" t="s">
        <v>74</v>
      </c>
      <c r="E1787" t="str">
        <f>"080067218187"</f>
        <v>080067218187</v>
      </c>
      <c r="F1787" s="3">
        <v>45882</v>
      </c>
      <c r="G1787">
        <v>202605</v>
      </c>
      <c r="H1787" t="s">
        <v>75</v>
      </c>
      <c r="I1787" t="s">
        <v>76</v>
      </c>
      <c r="J1787" t="s">
        <v>77</v>
      </c>
      <c r="K1787" t="s">
        <v>78</v>
      </c>
      <c r="L1787" t="s">
        <v>385</v>
      </c>
      <c r="M1787" t="s">
        <v>386</v>
      </c>
      <c r="N1787" t="s">
        <v>2442</v>
      </c>
      <c r="O1787" t="s">
        <v>82</v>
      </c>
      <c r="P1787" t="str">
        <f>"4170054416                    "</f>
        <v xml:space="preserve">4170054416                    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Q1787">
        <v>18.03</v>
      </c>
      <c r="AR1787">
        <v>0</v>
      </c>
      <c r="AS1787">
        <v>0</v>
      </c>
      <c r="AT1787">
        <v>0</v>
      </c>
      <c r="AU1787">
        <v>0</v>
      </c>
      <c r="AV1787">
        <v>0</v>
      </c>
      <c r="AW1787">
        <v>0</v>
      </c>
      <c r="AX1787">
        <v>0</v>
      </c>
      <c r="AY1787">
        <v>0</v>
      </c>
      <c r="AZ1787">
        <v>0</v>
      </c>
      <c r="BA1787">
        <v>0</v>
      </c>
      <c r="BB1787">
        <v>0</v>
      </c>
      <c r="BC1787">
        <v>0</v>
      </c>
      <c r="BD1787">
        <v>0</v>
      </c>
      <c r="BE1787">
        <v>0</v>
      </c>
      <c r="BF1787">
        <v>0</v>
      </c>
      <c r="BG1787">
        <v>0</v>
      </c>
      <c r="BH1787">
        <v>1</v>
      </c>
      <c r="BI1787">
        <v>2</v>
      </c>
      <c r="BJ1787">
        <v>1.1000000000000001</v>
      </c>
      <c r="BK1787">
        <v>2</v>
      </c>
      <c r="BL1787">
        <v>55.99</v>
      </c>
      <c r="BM1787">
        <v>8.4</v>
      </c>
      <c r="BN1787">
        <v>64.39</v>
      </c>
      <c r="BO1787">
        <v>64.39</v>
      </c>
      <c r="BQ1787" t="s">
        <v>2443</v>
      </c>
      <c r="BR1787" t="s">
        <v>84</v>
      </c>
      <c r="BS1787" s="3">
        <v>45883</v>
      </c>
      <c r="BT1787" s="4">
        <v>0.32430555555555557</v>
      </c>
      <c r="BU1787" t="s">
        <v>2444</v>
      </c>
      <c r="BV1787" t="s">
        <v>86</v>
      </c>
      <c r="BY1787">
        <v>5320</v>
      </c>
      <c r="CA1787" t="s">
        <v>851</v>
      </c>
      <c r="CC1787" t="s">
        <v>386</v>
      </c>
      <c r="CD1787">
        <v>1559</v>
      </c>
      <c r="CE1787" t="s">
        <v>147</v>
      </c>
      <c r="CF1787" s="3">
        <v>45883</v>
      </c>
      <c r="CI1787">
        <v>1</v>
      </c>
      <c r="CJ1787">
        <v>1</v>
      </c>
      <c r="CK1787">
        <v>22</v>
      </c>
      <c r="CL1787" t="s">
        <v>90</v>
      </c>
    </row>
    <row r="1788" spans="1:90" x14ac:dyDescent="0.3">
      <c r="A1788" t="s">
        <v>72</v>
      </c>
      <c r="B1788" t="s">
        <v>73</v>
      </c>
      <c r="C1788" t="s">
        <v>74</v>
      </c>
      <c r="E1788" t="str">
        <f>"009944473733"</f>
        <v>009944473733</v>
      </c>
      <c r="F1788" s="3">
        <v>45882</v>
      </c>
      <c r="G1788">
        <v>202605</v>
      </c>
      <c r="H1788" t="s">
        <v>123</v>
      </c>
      <c r="I1788" t="s">
        <v>124</v>
      </c>
      <c r="J1788" t="s">
        <v>2029</v>
      </c>
      <c r="K1788" t="s">
        <v>78</v>
      </c>
      <c r="L1788" t="s">
        <v>75</v>
      </c>
      <c r="M1788" t="s">
        <v>76</v>
      </c>
      <c r="N1788" t="s">
        <v>94</v>
      </c>
      <c r="O1788" t="s">
        <v>82</v>
      </c>
      <c r="P1788" t="str">
        <f>"                              "</f>
        <v xml:space="preserve">                              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>
        <v>167.25</v>
      </c>
      <c r="AR1788">
        <v>0</v>
      </c>
      <c r="AS1788">
        <v>0</v>
      </c>
      <c r="AT1788">
        <v>0</v>
      </c>
      <c r="AU1788">
        <v>0</v>
      </c>
      <c r="AV1788">
        <v>0</v>
      </c>
      <c r="AW1788">
        <v>0</v>
      </c>
      <c r="AX1788">
        <v>0</v>
      </c>
      <c r="AY1788">
        <v>0</v>
      </c>
      <c r="AZ1788">
        <v>0</v>
      </c>
      <c r="BA1788">
        <v>0</v>
      </c>
      <c r="BB1788">
        <v>0</v>
      </c>
      <c r="BC1788">
        <v>0</v>
      </c>
      <c r="BD1788">
        <v>0</v>
      </c>
      <c r="BE1788">
        <v>0</v>
      </c>
      <c r="BF1788">
        <v>0</v>
      </c>
      <c r="BG1788">
        <v>0</v>
      </c>
      <c r="BH1788">
        <v>1</v>
      </c>
      <c r="BI1788">
        <v>14.1</v>
      </c>
      <c r="BJ1788">
        <v>10.3</v>
      </c>
      <c r="BK1788">
        <v>14.5</v>
      </c>
      <c r="BL1788">
        <v>519.35</v>
      </c>
      <c r="BM1788">
        <v>77.900000000000006</v>
      </c>
      <c r="BN1788">
        <v>597.25</v>
      </c>
      <c r="BO1788">
        <v>597.25</v>
      </c>
      <c r="BP1788" t="s">
        <v>2445</v>
      </c>
      <c r="BQ1788" t="s">
        <v>2030</v>
      </c>
      <c r="BS1788" s="3">
        <v>45883</v>
      </c>
      <c r="BT1788" s="4">
        <v>0.5</v>
      </c>
      <c r="BU1788" t="s">
        <v>588</v>
      </c>
      <c r="BV1788" t="s">
        <v>90</v>
      </c>
      <c r="BW1788" t="s">
        <v>380</v>
      </c>
      <c r="BX1788" t="s">
        <v>1132</v>
      </c>
      <c r="BY1788">
        <v>51529.5</v>
      </c>
      <c r="BZ1788" t="s">
        <v>330</v>
      </c>
      <c r="CA1788" t="s">
        <v>2446</v>
      </c>
      <c r="CC1788" t="s">
        <v>76</v>
      </c>
      <c r="CD1788">
        <v>1600</v>
      </c>
      <c r="CE1788" t="s">
        <v>178</v>
      </c>
      <c r="CF1788" s="3">
        <v>45883</v>
      </c>
      <c r="CI1788">
        <v>1</v>
      </c>
      <c r="CJ1788">
        <v>1</v>
      </c>
      <c r="CK1788">
        <v>21</v>
      </c>
      <c r="CL1788" t="s">
        <v>90</v>
      </c>
    </row>
    <row r="1789" spans="1:90" x14ac:dyDescent="0.3">
      <c r="A1789" t="s">
        <v>72</v>
      </c>
      <c r="B1789" t="s">
        <v>73</v>
      </c>
      <c r="C1789" t="s">
        <v>74</v>
      </c>
      <c r="E1789" t="str">
        <f>"080011594975"</f>
        <v>080011594975</v>
      </c>
      <c r="F1789" s="3">
        <v>45882</v>
      </c>
      <c r="G1789">
        <v>202605</v>
      </c>
      <c r="H1789" t="s">
        <v>198</v>
      </c>
      <c r="I1789" t="s">
        <v>199</v>
      </c>
      <c r="J1789" t="s">
        <v>2447</v>
      </c>
      <c r="K1789" t="s">
        <v>78</v>
      </c>
      <c r="L1789" t="s">
        <v>75</v>
      </c>
      <c r="M1789" t="s">
        <v>76</v>
      </c>
      <c r="N1789" t="s">
        <v>94</v>
      </c>
      <c r="O1789" t="s">
        <v>95</v>
      </c>
      <c r="P1789" t="str">
        <f>"ZA1001402692                  "</f>
        <v xml:space="preserve">ZA1001402692                  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0</v>
      </c>
      <c r="AQ1789">
        <v>44.64</v>
      </c>
      <c r="AR1789">
        <v>0</v>
      </c>
      <c r="AS1789">
        <v>0</v>
      </c>
      <c r="AT1789">
        <v>0</v>
      </c>
      <c r="AU1789">
        <v>0</v>
      </c>
      <c r="AV1789">
        <v>0</v>
      </c>
      <c r="AW1789">
        <v>0</v>
      </c>
      <c r="AX1789">
        <v>0</v>
      </c>
      <c r="AY1789">
        <v>0</v>
      </c>
      <c r="AZ1789">
        <v>0</v>
      </c>
      <c r="BA1789">
        <v>0</v>
      </c>
      <c r="BB1789">
        <v>0</v>
      </c>
      <c r="BC1789">
        <v>0</v>
      </c>
      <c r="BD1789">
        <v>0</v>
      </c>
      <c r="BE1789">
        <v>0</v>
      </c>
      <c r="BF1789">
        <v>0</v>
      </c>
      <c r="BG1789">
        <v>0</v>
      </c>
      <c r="BH1789">
        <v>1</v>
      </c>
      <c r="BI1789">
        <v>3</v>
      </c>
      <c r="BJ1789">
        <v>0.8</v>
      </c>
      <c r="BK1789">
        <v>3</v>
      </c>
      <c r="BL1789">
        <v>144.49</v>
      </c>
      <c r="BM1789">
        <v>21.67</v>
      </c>
      <c r="BN1789">
        <v>166.16</v>
      </c>
      <c r="BO1789">
        <v>166.16</v>
      </c>
      <c r="BP1789" t="s">
        <v>96</v>
      </c>
      <c r="BQ1789" t="s">
        <v>97</v>
      </c>
      <c r="BR1789" t="s">
        <v>2448</v>
      </c>
      <c r="BS1789" s="3">
        <v>45884</v>
      </c>
      <c r="BT1789" s="4">
        <v>0.73124999999999996</v>
      </c>
      <c r="BU1789" t="s">
        <v>588</v>
      </c>
      <c r="BV1789" t="s">
        <v>86</v>
      </c>
      <c r="BY1789">
        <v>4000</v>
      </c>
      <c r="BZ1789" t="s">
        <v>100</v>
      </c>
      <c r="CA1789" t="s">
        <v>2446</v>
      </c>
      <c r="CC1789" t="s">
        <v>76</v>
      </c>
      <c r="CD1789">
        <v>1619</v>
      </c>
      <c r="CE1789" t="s">
        <v>2449</v>
      </c>
      <c r="CF1789" s="3">
        <v>45885</v>
      </c>
      <c r="CI1789">
        <v>3</v>
      </c>
      <c r="CJ1789">
        <v>2</v>
      </c>
      <c r="CK1789">
        <v>41</v>
      </c>
      <c r="CL1789" t="s">
        <v>90</v>
      </c>
    </row>
    <row r="1790" spans="1:90" x14ac:dyDescent="0.3">
      <c r="A1790" t="s">
        <v>72</v>
      </c>
      <c r="B1790" t="s">
        <v>73</v>
      </c>
      <c r="C1790" t="s">
        <v>74</v>
      </c>
      <c r="E1790" t="str">
        <f>"080067218211"</f>
        <v>080067218211</v>
      </c>
      <c r="F1790" s="3">
        <v>45882</v>
      </c>
      <c r="G1790">
        <v>202605</v>
      </c>
      <c r="H1790" t="s">
        <v>75</v>
      </c>
      <c r="I1790" t="s">
        <v>76</v>
      </c>
      <c r="J1790" t="s">
        <v>77</v>
      </c>
      <c r="K1790" t="s">
        <v>78</v>
      </c>
      <c r="L1790" t="s">
        <v>123</v>
      </c>
      <c r="M1790" t="s">
        <v>124</v>
      </c>
      <c r="N1790" t="s">
        <v>406</v>
      </c>
      <c r="O1790" t="s">
        <v>82</v>
      </c>
      <c r="P1790" t="str">
        <f>"4170054419                    "</f>
        <v xml:space="preserve">4170054419                    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Q1790">
        <v>40.380000000000003</v>
      </c>
      <c r="AR1790">
        <v>0</v>
      </c>
      <c r="AS1790">
        <v>0</v>
      </c>
      <c r="AT1790">
        <v>0</v>
      </c>
      <c r="AU1790">
        <v>0</v>
      </c>
      <c r="AV1790">
        <v>0</v>
      </c>
      <c r="AW1790">
        <v>0</v>
      </c>
      <c r="AX1790">
        <v>0</v>
      </c>
      <c r="AY1790">
        <v>0</v>
      </c>
      <c r="AZ1790">
        <v>0</v>
      </c>
      <c r="BA1790">
        <v>0</v>
      </c>
      <c r="BB1790">
        <v>0</v>
      </c>
      <c r="BC1790">
        <v>0</v>
      </c>
      <c r="BD1790">
        <v>0</v>
      </c>
      <c r="BE1790">
        <v>0</v>
      </c>
      <c r="BF1790">
        <v>0</v>
      </c>
      <c r="BG1790">
        <v>0</v>
      </c>
      <c r="BH1790">
        <v>1</v>
      </c>
      <c r="BI1790">
        <v>2</v>
      </c>
      <c r="BJ1790">
        <v>3.4</v>
      </c>
      <c r="BK1790">
        <v>3.5</v>
      </c>
      <c r="BL1790">
        <v>125.4</v>
      </c>
      <c r="BM1790">
        <v>18.809999999999999</v>
      </c>
      <c r="BN1790">
        <v>144.21</v>
      </c>
      <c r="BO1790">
        <v>144.21</v>
      </c>
      <c r="BQ1790" t="s">
        <v>407</v>
      </c>
      <c r="BR1790" t="s">
        <v>84</v>
      </c>
      <c r="BS1790" s="3">
        <v>45883</v>
      </c>
      <c r="BT1790" s="4">
        <v>0.40486111111111112</v>
      </c>
      <c r="BU1790" t="s">
        <v>2360</v>
      </c>
      <c r="BV1790" t="s">
        <v>86</v>
      </c>
      <c r="BY1790">
        <v>16965</v>
      </c>
      <c r="CA1790" t="s">
        <v>2361</v>
      </c>
      <c r="CC1790" t="s">
        <v>124</v>
      </c>
      <c r="CD1790">
        <v>7441</v>
      </c>
      <c r="CE1790" t="s">
        <v>147</v>
      </c>
      <c r="CF1790" s="3">
        <v>45884</v>
      </c>
      <c r="CI1790">
        <v>1</v>
      </c>
      <c r="CJ1790">
        <v>1</v>
      </c>
      <c r="CK1790">
        <v>21</v>
      </c>
      <c r="CL1790" t="s">
        <v>90</v>
      </c>
    </row>
    <row r="1791" spans="1:90" x14ac:dyDescent="0.3">
      <c r="A1791" t="s">
        <v>72</v>
      </c>
      <c r="B1791" t="s">
        <v>73</v>
      </c>
      <c r="C1791" t="s">
        <v>74</v>
      </c>
      <c r="E1791" t="str">
        <f>"080067218259"</f>
        <v>080067218259</v>
      </c>
      <c r="F1791" s="3">
        <v>45882</v>
      </c>
      <c r="G1791">
        <v>202605</v>
      </c>
      <c r="H1791" t="s">
        <v>75</v>
      </c>
      <c r="I1791" t="s">
        <v>76</v>
      </c>
      <c r="J1791" t="s">
        <v>77</v>
      </c>
      <c r="K1791" t="s">
        <v>78</v>
      </c>
      <c r="L1791" t="s">
        <v>198</v>
      </c>
      <c r="M1791" t="s">
        <v>199</v>
      </c>
      <c r="N1791" t="s">
        <v>667</v>
      </c>
      <c r="O1791" t="s">
        <v>82</v>
      </c>
      <c r="P1791" t="str">
        <f>"4170054489                    "</f>
        <v xml:space="preserve">4170054489                    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0</v>
      </c>
      <c r="AO1791">
        <v>0</v>
      </c>
      <c r="AP1791">
        <v>0</v>
      </c>
      <c r="AQ1791">
        <v>23.09</v>
      </c>
      <c r="AR1791">
        <v>0</v>
      </c>
      <c r="AS1791">
        <v>0</v>
      </c>
      <c r="AT1791">
        <v>0</v>
      </c>
      <c r="AU1791">
        <v>0</v>
      </c>
      <c r="AV1791">
        <v>0</v>
      </c>
      <c r="AW1791">
        <v>0</v>
      </c>
      <c r="AX1791">
        <v>0</v>
      </c>
      <c r="AY1791">
        <v>0</v>
      </c>
      <c r="AZ1791">
        <v>0</v>
      </c>
      <c r="BA1791">
        <v>0</v>
      </c>
      <c r="BB1791">
        <v>0</v>
      </c>
      <c r="BC1791">
        <v>0</v>
      </c>
      <c r="BD1791">
        <v>0</v>
      </c>
      <c r="BE1791">
        <v>0</v>
      </c>
      <c r="BF1791">
        <v>0</v>
      </c>
      <c r="BG1791">
        <v>0</v>
      </c>
      <c r="BH1791">
        <v>1</v>
      </c>
      <c r="BI1791">
        <v>1</v>
      </c>
      <c r="BJ1791">
        <v>0.2</v>
      </c>
      <c r="BK1791">
        <v>1</v>
      </c>
      <c r="BL1791">
        <v>71.69</v>
      </c>
      <c r="BM1791">
        <v>10.75</v>
      </c>
      <c r="BN1791">
        <v>82.44</v>
      </c>
      <c r="BO1791">
        <v>82.44</v>
      </c>
      <c r="BQ1791" t="s">
        <v>668</v>
      </c>
      <c r="BR1791" t="s">
        <v>84</v>
      </c>
      <c r="BS1791" s="3">
        <v>45883</v>
      </c>
      <c r="BT1791" s="4">
        <v>0.33750000000000002</v>
      </c>
      <c r="BU1791" t="s">
        <v>2450</v>
      </c>
      <c r="BV1791" t="s">
        <v>86</v>
      </c>
      <c r="BY1791">
        <v>1200</v>
      </c>
      <c r="CA1791" t="s">
        <v>433</v>
      </c>
      <c r="CC1791" t="s">
        <v>199</v>
      </c>
      <c r="CD1791">
        <v>6001</v>
      </c>
      <c r="CE1791" t="s">
        <v>109</v>
      </c>
      <c r="CF1791" s="3">
        <v>45883</v>
      </c>
      <c r="CI1791">
        <v>1</v>
      </c>
      <c r="CJ1791">
        <v>1</v>
      </c>
      <c r="CK1791">
        <v>21</v>
      </c>
      <c r="CL1791" t="s">
        <v>90</v>
      </c>
    </row>
    <row r="1792" spans="1:90" x14ac:dyDescent="0.3">
      <c r="A1792" t="s">
        <v>72</v>
      </c>
      <c r="B1792" t="s">
        <v>73</v>
      </c>
      <c r="C1792" t="s">
        <v>74</v>
      </c>
      <c r="E1792" t="str">
        <f>"080067218279"</f>
        <v>080067218279</v>
      </c>
      <c r="F1792" s="3">
        <v>45882</v>
      </c>
      <c r="G1792">
        <v>202605</v>
      </c>
      <c r="H1792" t="s">
        <v>75</v>
      </c>
      <c r="I1792" t="s">
        <v>76</v>
      </c>
      <c r="J1792" t="s">
        <v>77</v>
      </c>
      <c r="K1792" t="s">
        <v>78</v>
      </c>
      <c r="L1792" t="s">
        <v>349</v>
      </c>
      <c r="M1792" t="s">
        <v>350</v>
      </c>
      <c r="N1792" t="s">
        <v>2451</v>
      </c>
      <c r="O1792" t="s">
        <v>82</v>
      </c>
      <c r="P1792" t="str">
        <f>"4170054412                    "</f>
        <v xml:space="preserve">4170054412                    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Q1792">
        <v>44.73</v>
      </c>
      <c r="AR1792">
        <v>0</v>
      </c>
      <c r="AS1792">
        <v>0</v>
      </c>
      <c r="AT1792">
        <v>0</v>
      </c>
      <c r="AU1792">
        <v>0</v>
      </c>
      <c r="AV1792">
        <v>0</v>
      </c>
      <c r="AW1792">
        <v>16.739999999999998</v>
      </c>
      <c r="AX1792">
        <v>0</v>
      </c>
      <c r="AY1792">
        <v>0</v>
      </c>
      <c r="AZ1792">
        <v>0</v>
      </c>
      <c r="BA1792">
        <v>0</v>
      </c>
      <c r="BB1792">
        <v>0</v>
      </c>
      <c r="BC1792">
        <v>0</v>
      </c>
      <c r="BD1792">
        <v>0</v>
      </c>
      <c r="BE1792">
        <v>0</v>
      </c>
      <c r="BF1792">
        <v>0</v>
      </c>
      <c r="BG1792">
        <v>0</v>
      </c>
      <c r="BH1792">
        <v>1</v>
      </c>
      <c r="BI1792">
        <v>1</v>
      </c>
      <c r="BJ1792">
        <v>0.2</v>
      </c>
      <c r="BK1792">
        <v>1</v>
      </c>
      <c r="BL1792">
        <v>155.63</v>
      </c>
      <c r="BM1792">
        <v>23.34</v>
      </c>
      <c r="BN1792">
        <v>178.97</v>
      </c>
      <c r="BO1792">
        <v>178.97</v>
      </c>
      <c r="BQ1792" t="s">
        <v>2452</v>
      </c>
      <c r="BR1792" t="s">
        <v>84</v>
      </c>
      <c r="BS1792" s="3">
        <v>45883</v>
      </c>
      <c r="BT1792" s="4">
        <v>0.5</v>
      </c>
      <c r="BU1792" t="s">
        <v>2453</v>
      </c>
      <c r="BV1792" t="s">
        <v>86</v>
      </c>
      <c r="BY1792">
        <v>1200</v>
      </c>
      <c r="BZ1792" t="s">
        <v>30</v>
      </c>
      <c r="CC1792" t="s">
        <v>350</v>
      </c>
      <c r="CD1792" s="5" t="s">
        <v>2454</v>
      </c>
      <c r="CE1792" t="s">
        <v>109</v>
      </c>
      <c r="CF1792" s="3">
        <v>45884</v>
      </c>
      <c r="CI1792">
        <v>1</v>
      </c>
      <c r="CJ1792">
        <v>1</v>
      </c>
      <c r="CK1792">
        <v>23</v>
      </c>
      <c r="CL1792" t="s">
        <v>90</v>
      </c>
    </row>
    <row r="1793" spans="1:90" x14ac:dyDescent="0.3">
      <c r="A1793" t="s">
        <v>72</v>
      </c>
      <c r="B1793" t="s">
        <v>73</v>
      </c>
      <c r="C1793" t="s">
        <v>74</v>
      </c>
      <c r="E1793" t="str">
        <f>"080067218307"</f>
        <v>080067218307</v>
      </c>
      <c r="F1793" s="3">
        <v>45882</v>
      </c>
      <c r="G1793">
        <v>202605</v>
      </c>
      <c r="H1793" t="s">
        <v>75</v>
      </c>
      <c r="I1793" t="s">
        <v>76</v>
      </c>
      <c r="J1793" t="s">
        <v>77</v>
      </c>
      <c r="K1793" t="s">
        <v>78</v>
      </c>
      <c r="L1793" t="s">
        <v>75</v>
      </c>
      <c r="M1793" t="s">
        <v>76</v>
      </c>
      <c r="N1793" t="s">
        <v>537</v>
      </c>
      <c r="O1793" t="s">
        <v>82</v>
      </c>
      <c r="P1793" t="str">
        <f>"4170054471                    "</f>
        <v xml:space="preserve">4170054471                    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0</v>
      </c>
      <c r="AQ1793">
        <v>18.03</v>
      </c>
      <c r="AR1793">
        <v>0</v>
      </c>
      <c r="AS1793">
        <v>0</v>
      </c>
      <c r="AT1793">
        <v>0</v>
      </c>
      <c r="AU1793">
        <v>0</v>
      </c>
      <c r="AV1793">
        <v>0</v>
      </c>
      <c r="AW1793">
        <v>0</v>
      </c>
      <c r="AX1793">
        <v>0</v>
      </c>
      <c r="AY1793">
        <v>0</v>
      </c>
      <c r="AZ1793">
        <v>0</v>
      </c>
      <c r="BA1793">
        <v>0</v>
      </c>
      <c r="BB1793">
        <v>0</v>
      </c>
      <c r="BC1793">
        <v>0</v>
      </c>
      <c r="BD1793">
        <v>0</v>
      </c>
      <c r="BE1793">
        <v>0</v>
      </c>
      <c r="BF1793">
        <v>0</v>
      </c>
      <c r="BG1793">
        <v>0</v>
      </c>
      <c r="BH1793">
        <v>1</v>
      </c>
      <c r="BI1793">
        <v>1</v>
      </c>
      <c r="BJ1793">
        <v>0.2</v>
      </c>
      <c r="BK1793">
        <v>1</v>
      </c>
      <c r="BL1793">
        <v>55.99</v>
      </c>
      <c r="BM1793">
        <v>8.4</v>
      </c>
      <c r="BN1793">
        <v>64.39</v>
      </c>
      <c r="BO1793">
        <v>64.39</v>
      </c>
      <c r="BQ1793" t="s">
        <v>538</v>
      </c>
      <c r="BR1793" t="s">
        <v>84</v>
      </c>
      <c r="BS1793" s="3">
        <v>45883</v>
      </c>
      <c r="BT1793" s="4">
        <v>0.38333333333333336</v>
      </c>
      <c r="BU1793" t="s">
        <v>2455</v>
      </c>
      <c r="BV1793" t="s">
        <v>86</v>
      </c>
      <c r="BY1793">
        <v>1200</v>
      </c>
      <c r="CA1793" t="s">
        <v>540</v>
      </c>
      <c r="CC1793" t="s">
        <v>76</v>
      </c>
      <c r="CD1793">
        <v>1619</v>
      </c>
      <c r="CE1793" t="s">
        <v>109</v>
      </c>
      <c r="CF1793" s="3">
        <v>45883</v>
      </c>
      <c r="CI1793">
        <v>1</v>
      </c>
      <c r="CJ1793">
        <v>1</v>
      </c>
      <c r="CK1793">
        <v>22</v>
      </c>
      <c r="CL1793" t="s">
        <v>90</v>
      </c>
    </row>
    <row r="1794" spans="1:90" x14ac:dyDescent="0.3">
      <c r="A1794" t="s">
        <v>72</v>
      </c>
      <c r="B1794" t="s">
        <v>73</v>
      </c>
      <c r="C1794" t="s">
        <v>74</v>
      </c>
      <c r="E1794" t="str">
        <f>"080067218332"</f>
        <v>080067218332</v>
      </c>
      <c r="F1794" s="3">
        <v>45882</v>
      </c>
      <c r="G1794">
        <v>202605</v>
      </c>
      <c r="H1794" t="s">
        <v>75</v>
      </c>
      <c r="I1794" t="s">
        <v>76</v>
      </c>
      <c r="J1794" t="s">
        <v>77</v>
      </c>
      <c r="K1794" t="s">
        <v>78</v>
      </c>
      <c r="L1794" t="s">
        <v>162</v>
      </c>
      <c r="M1794" t="s">
        <v>163</v>
      </c>
      <c r="N1794" t="s">
        <v>2132</v>
      </c>
      <c r="O1794" t="s">
        <v>82</v>
      </c>
      <c r="P1794" t="str">
        <f>"4170054414                    "</f>
        <v xml:space="preserve">4170054414                    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0</v>
      </c>
      <c r="AO1794">
        <v>0</v>
      </c>
      <c r="AP1794">
        <v>0</v>
      </c>
      <c r="AQ1794">
        <v>23.09</v>
      </c>
      <c r="AR1794">
        <v>0</v>
      </c>
      <c r="AS1794">
        <v>0</v>
      </c>
      <c r="AT1794">
        <v>0</v>
      </c>
      <c r="AU1794">
        <v>0</v>
      </c>
      <c r="AV1794">
        <v>0</v>
      </c>
      <c r="AW1794">
        <v>0</v>
      </c>
      <c r="AX1794">
        <v>0</v>
      </c>
      <c r="AY1794">
        <v>0</v>
      </c>
      <c r="AZ1794">
        <v>0</v>
      </c>
      <c r="BA1794">
        <v>0</v>
      </c>
      <c r="BB1794">
        <v>0</v>
      </c>
      <c r="BC1794">
        <v>0</v>
      </c>
      <c r="BD1794">
        <v>0</v>
      </c>
      <c r="BE1794">
        <v>0</v>
      </c>
      <c r="BF1794">
        <v>0</v>
      </c>
      <c r="BG1794">
        <v>0</v>
      </c>
      <c r="BH1794">
        <v>1</v>
      </c>
      <c r="BI1794">
        <v>1</v>
      </c>
      <c r="BJ1794">
        <v>0.2</v>
      </c>
      <c r="BK1794">
        <v>1</v>
      </c>
      <c r="BL1794">
        <v>71.69</v>
      </c>
      <c r="BM1794">
        <v>10.75</v>
      </c>
      <c r="BN1794">
        <v>82.44</v>
      </c>
      <c r="BO1794">
        <v>82.44</v>
      </c>
      <c r="BQ1794" t="s">
        <v>2133</v>
      </c>
      <c r="BR1794" t="s">
        <v>84</v>
      </c>
      <c r="BS1794" s="3">
        <v>45884</v>
      </c>
      <c r="BT1794" s="4">
        <v>0.41666666666666669</v>
      </c>
      <c r="BU1794" t="s">
        <v>2456</v>
      </c>
      <c r="BV1794" t="s">
        <v>90</v>
      </c>
      <c r="BY1794">
        <v>1200</v>
      </c>
      <c r="CC1794" t="s">
        <v>163</v>
      </c>
      <c r="CD1794">
        <v>3201</v>
      </c>
      <c r="CE1794" t="s">
        <v>109</v>
      </c>
      <c r="CF1794" s="3">
        <v>45885</v>
      </c>
      <c r="CI1794">
        <v>1</v>
      </c>
      <c r="CJ1794">
        <v>2</v>
      </c>
      <c r="CK1794">
        <v>21</v>
      </c>
      <c r="CL1794" t="s">
        <v>90</v>
      </c>
    </row>
    <row r="1795" spans="1:90" x14ac:dyDescent="0.3">
      <c r="A1795" t="s">
        <v>72</v>
      </c>
      <c r="B1795" t="s">
        <v>73</v>
      </c>
      <c r="C1795" t="s">
        <v>74</v>
      </c>
      <c r="E1795" t="str">
        <f>"080067218355"</f>
        <v>080067218355</v>
      </c>
      <c r="F1795" s="3">
        <v>45882</v>
      </c>
      <c r="G1795">
        <v>202605</v>
      </c>
      <c r="H1795" t="s">
        <v>75</v>
      </c>
      <c r="I1795" t="s">
        <v>76</v>
      </c>
      <c r="J1795" t="s">
        <v>77</v>
      </c>
      <c r="K1795" t="s">
        <v>78</v>
      </c>
      <c r="L1795" t="s">
        <v>452</v>
      </c>
      <c r="M1795" t="s">
        <v>453</v>
      </c>
      <c r="N1795" t="s">
        <v>1684</v>
      </c>
      <c r="O1795" t="s">
        <v>82</v>
      </c>
      <c r="P1795" t="str">
        <f>"4170054688                    "</f>
        <v xml:space="preserve">4170054688                    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0</v>
      </c>
      <c r="AQ1795">
        <v>44.73</v>
      </c>
      <c r="AR1795">
        <v>0</v>
      </c>
      <c r="AS1795">
        <v>0</v>
      </c>
      <c r="AT1795">
        <v>0</v>
      </c>
      <c r="AU1795">
        <v>0</v>
      </c>
      <c r="AV1795">
        <v>0</v>
      </c>
      <c r="AW1795">
        <v>0</v>
      </c>
      <c r="AX1795">
        <v>0</v>
      </c>
      <c r="AY1795">
        <v>0</v>
      </c>
      <c r="AZ1795">
        <v>0</v>
      </c>
      <c r="BA1795">
        <v>0</v>
      </c>
      <c r="BB1795">
        <v>0</v>
      </c>
      <c r="BC1795">
        <v>0</v>
      </c>
      <c r="BD1795">
        <v>0</v>
      </c>
      <c r="BE1795">
        <v>0</v>
      </c>
      <c r="BF1795">
        <v>0</v>
      </c>
      <c r="BG1795">
        <v>0</v>
      </c>
      <c r="BH1795">
        <v>1</v>
      </c>
      <c r="BI1795">
        <v>1</v>
      </c>
      <c r="BJ1795">
        <v>0.2</v>
      </c>
      <c r="BK1795">
        <v>1</v>
      </c>
      <c r="BL1795">
        <v>138.88999999999999</v>
      </c>
      <c r="BM1795">
        <v>20.83</v>
      </c>
      <c r="BN1795">
        <v>159.72</v>
      </c>
      <c r="BO1795">
        <v>159.72</v>
      </c>
      <c r="BQ1795" t="s">
        <v>1685</v>
      </c>
      <c r="BR1795" t="s">
        <v>84</v>
      </c>
      <c r="BS1795" s="3">
        <v>45883</v>
      </c>
      <c r="BT1795" s="4">
        <v>0.35347222222222224</v>
      </c>
      <c r="BU1795" t="s">
        <v>1686</v>
      </c>
      <c r="BV1795" t="s">
        <v>86</v>
      </c>
      <c r="BY1795">
        <v>1200</v>
      </c>
      <c r="CA1795" t="s">
        <v>484</v>
      </c>
      <c r="CC1795" t="s">
        <v>453</v>
      </c>
      <c r="CD1795">
        <v>1947</v>
      </c>
      <c r="CE1795" t="s">
        <v>109</v>
      </c>
      <c r="CF1795" s="3">
        <v>45884</v>
      </c>
      <c r="CI1795">
        <v>1</v>
      </c>
      <c r="CJ1795">
        <v>1</v>
      </c>
      <c r="CK1795">
        <v>23</v>
      </c>
      <c r="CL1795" t="s">
        <v>90</v>
      </c>
    </row>
    <row r="1796" spans="1:90" x14ac:dyDescent="0.3">
      <c r="A1796" t="s">
        <v>72</v>
      </c>
      <c r="B1796" t="s">
        <v>73</v>
      </c>
      <c r="C1796" t="s">
        <v>74</v>
      </c>
      <c r="E1796" t="str">
        <f>"080067218383"</f>
        <v>080067218383</v>
      </c>
      <c r="F1796" s="3">
        <v>45882</v>
      </c>
      <c r="G1796">
        <v>202605</v>
      </c>
      <c r="H1796" t="s">
        <v>75</v>
      </c>
      <c r="I1796" t="s">
        <v>76</v>
      </c>
      <c r="J1796" t="s">
        <v>77</v>
      </c>
      <c r="K1796" t="s">
        <v>78</v>
      </c>
      <c r="L1796" t="s">
        <v>75</v>
      </c>
      <c r="M1796" t="s">
        <v>76</v>
      </c>
      <c r="N1796" t="s">
        <v>1020</v>
      </c>
      <c r="O1796" t="s">
        <v>82</v>
      </c>
      <c r="P1796" t="str">
        <f>"4170054691                    "</f>
        <v xml:space="preserve">4170054691                    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0</v>
      </c>
      <c r="AP1796">
        <v>0</v>
      </c>
      <c r="AQ1796">
        <v>18.03</v>
      </c>
      <c r="AR1796">
        <v>0</v>
      </c>
      <c r="AS1796">
        <v>0</v>
      </c>
      <c r="AT1796">
        <v>0</v>
      </c>
      <c r="AU1796">
        <v>0</v>
      </c>
      <c r="AV1796">
        <v>0</v>
      </c>
      <c r="AW1796">
        <v>0</v>
      </c>
      <c r="AX1796">
        <v>0</v>
      </c>
      <c r="AY1796">
        <v>0</v>
      </c>
      <c r="AZ1796">
        <v>0</v>
      </c>
      <c r="BA1796">
        <v>0</v>
      </c>
      <c r="BB1796">
        <v>0</v>
      </c>
      <c r="BC1796">
        <v>0</v>
      </c>
      <c r="BD1796">
        <v>0</v>
      </c>
      <c r="BE1796">
        <v>0</v>
      </c>
      <c r="BF1796">
        <v>0</v>
      </c>
      <c r="BG1796">
        <v>0</v>
      </c>
      <c r="BH1796">
        <v>1</v>
      </c>
      <c r="BI1796">
        <v>1</v>
      </c>
      <c r="BJ1796">
        <v>0.2</v>
      </c>
      <c r="BK1796">
        <v>1</v>
      </c>
      <c r="BL1796">
        <v>55.99</v>
      </c>
      <c r="BM1796">
        <v>8.4</v>
      </c>
      <c r="BN1796">
        <v>64.39</v>
      </c>
      <c r="BO1796">
        <v>64.39</v>
      </c>
      <c r="BQ1796" t="s">
        <v>1021</v>
      </c>
      <c r="BR1796" t="s">
        <v>84</v>
      </c>
      <c r="BS1796" s="3">
        <v>45883</v>
      </c>
      <c r="BT1796" s="4">
        <v>0.41666666666666669</v>
      </c>
      <c r="BU1796" t="s">
        <v>2457</v>
      </c>
      <c r="BV1796" t="s">
        <v>86</v>
      </c>
      <c r="BY1796">
        <v>1200</v>
      </c>
      <c r="CC1796" t="s">
        <v>76</v>
      </c>
      <c r="CD1796">
        <v>1645</v>
      </c>
      <c r="CE1796" t="s">
        <v>109</v>
      </c>
      <c r="CF1796" s="3">
        <v>45883</v>
      </c>
      <c r="CI1796">
        <v>1</v>
      </c>
      <c r="CJ1796">
        <v>1</v>
      </c>
      <c r="CK1796">
        <v>22</v>
      </c>
      <c r="CL1796" t="s">
        <v>90</v>
      </c>
    </row>
    <row r="1797" spans="1:90" x14ac:dyDescent="0.3">
      <c r="A1797" t="s">
        <v>72</v>
      </c>
      <c r="B1797" t="s">
        <v>73</v>
      </c>
      <c r="C1797" t="s">
        <v>74</v>
      </c>
      <c r="E1797" t="str">
        <f>"080067218444"</f>
        <v>080067218444</v>
      </c>
      <c r="F1797" s="3">
        <v>45882</v>
      </c>
      <c r="G1797">
        <v>202605</v>
      </c>
      <c r="H1797" t="s">
        <v>75</v>
      </c>
      <c r="I1797" t="s">
        <v>76</v>
      </c>
      <c r="J1797" t="s">
        <v>77</v>
      </c>
      <c r="K1797" t="s">
        <v>78</v>
      </c>
      <c r="L1797" t="s">
        <v>278</v>
      </c>
      <c r="M1797" t="s">
        <v>279</v>
      </c>
      <c r="N1797" t="s">
        <v>285</v>
      </c>
      <c r="O1797" t="s">
        <v>82</v>
      </c>
      <c r="P1797" t="str">
        <f>"4170054655                    "</f>
        <v xml:space="preserve">4170054655                    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>
        <v>23.09</v>
      </c>
      <c r="AR1797">
        <v>0</v>
      </c>
      <c r="AS1797">
        <v>0</v>
      </c>
      <c r="AT1797">
        <v>0</v>
      </c>
      <c r="AU1797">
        <v>0</v>
      </c>
      <c r="AV1797">
        <v>0</v>
      </c>
      <c r="AW1797">
        <v>0</v>
      </c>
      <c r="AX1797">
        <v>0</v>
      </c>
      <c r="AY1797">
        <v>0</v>
      </c>
      <c r="AZ1797">
        <v>0</v>
      </c>
      <c r="BA1797">
        <v>0</v>
      </c>
      <c r="BB1797">
        <v>0</v>
      </c>
      <c r="BC1797">
        <v>0</v>
      </c>
      <c r="BD1797">
        <v>0</v>
      </c>
      <c r="BE1797">
        <v>0</v>
      </c>
      <c r="BF1797">
        <v>0</v>
      </c>
      <c r="BG1797">
        <v>0</v>
      </c>
      <c r="BH1797">
        <v>1</v>
      </c>
      <c r="BI1797">
        <v>1</v>
      </c>
      <c r="BJ1797">
        <v>0.2</v>
      </c>
      <c r="BK1797">
        <v>1</v>
      </c>
      <c r="BL1797">
        <v>71.69</v>
      </c>
      <c r="BM1797">
        <v>10.75</v>
      </c>
      <c r="BN1797">
        <v>82.44</v>
      </c>
      <c r="BO1797">
        <v>82.44</v>
      </c>
      <c r="BQ1797" t="s">
        <v>286</v>
      </c>
      <c r="BR1797" t="s">
        <v>84</v>
      </c>
      <c r="BS1797" s="3">
        <v>45883</v>
      </c>
      <c r="BT1797" s="4">
        <v>0.37083333333333335</v>
      </c>
      <c r="BU1797" t="s">
        <v>647</v>
      </c>
      <c r="BV1797" t="s">
        <v>86</v>
      </c>
      <c r="BY1797">
        <v>1200</v>
      </c>
      <c r="CA1797" t="s">
        <v>288</v>
      </c>
      <c r="CC1797" t="s">
        <v>279</v>
      </c>
      <c r="CD1797" s="5" t="s">
        <v>289</v>
      </c>
      <c r="CE1797" t="s">
        <v>109</v>
      </c>
      <c r="CF1797" s="3">
        <v>45883</v>
      </c>
      <c r="CI1797">
        <v>1</v>
      </c>
      <c r="CJ1797">
        <v>1</v>
      </c>
      <c r="CK1797">
        <v>21</v>
      </c>
      <c r="CL1797" t="s">
        <v>90</v>
      </c>
    </row>
    <row r="1798" spans="1:90" x14ac:dyDescent="0.3">
      <c r="A1798" t="s">
        <v>72</v>
      </c>
      <c r="B1798" t="s">
        <v>73</v>
      </c>
      <c r="C1798" t="s">
        <v>74</v>
      </c>
      <c r="E1798" t="str">
        <f>"080067218473"</f>
        <v>080067218473</v>
      </c>
      <c r="F1798" s="3">
        <v>45882</v>
      </c>
      <c r="G1798">
        <v>202605</v>
      </c>
      <c r="H1798" t="s">
        <v>75</v>
      </c>
      <c r="I1798" t="s">
        <v>76</v>
      </c>
      <c r="J1798" t="s">
        <v>77</v>
      </c>
      <c r="K1798" t="s">
        <v>78</v>
      </c>
      <c r="L1798" t="s">
        <v>349</v>
      </c>
      <c r="M1798" t="s">
        <v>350</v>
      </c>
      <c r="N1798" t="s">
        <v>1008</v>
      </c>
      <c r="O1798" t="s">
        <v>82</v>
      </c>
      <c r="P1798" t="str">
        <f>"4170054606                    "</f>
        <v xml:space="preserve">4170054606                    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Q1798">
        <v>44.73</v>
      </c>
      <c r="AR1798">
        <v>0</v>
      </c>
      <c r="AS1798">
        <v>0</v>
      </c>
      <c r="AT1798">
        <v>0</v>
      </c>
      <c r="AU1798">
        <v>0</v>
      </c>
      <c r="AV1798">
        <v>0</v>
      </c>
      <c r="AW1798">
        <v>16.739999999999998</v>
      </c>
      <c r="AX1798">
        <v>0</v>
      </c>
      <c r="AY1798">
        <v>0</v>
      </c>
      <c r="AZ1798">
        <v>0</v>
      </c>
      <c r="BA1798">
        <v>0</v>
      </c>
      <c r="BB1798">
        <v>0</v>
      </c>
      <c r="BC1798">
        <v>0</v>
      </c>
      <c r="BD1798">
        <v>0</v>
      </c>
      <c r="BE1798">
        <v>0</v>
      </c>
      <c r="BF1798">
        <v>0</v>
      </c>
      <c r="BG1798">
        <v>0</v>
      </c>
      <c r="BH1798">
        <v>1</v>
      </c>
      <c r="BI1798">
        <v>1</v>
      </c>
      <c r="BJ1798">
        <v>0.2</v>
      </c>
      <c r="BK1798">
        <v>1</v>
      </c>
      <c r="BL1798">
        <v>155.63</v>
      </c>
      <c r="BM1798">
        <v>23.34</v>
      </c>
      <c r="BN1798">
        <v>178.97</v>
      </c>
      <c r="BO1798">
        <v>178.97</v>
      </c>
      <c r="BQ1798" t="s">
        <v>1009</v>
      </c>
      <c r="BR1798" t="s">
        <v>84</v>
      </c>
      <c r="BS1798" s="3">
        <v>45883</v>
      </c>
      <c r="BT1798" s="4">
        <v>0.60833333333333328</v>
      </c>
      <c r="BU1798" t="s">
        <v>1010</v>
      </c>
      <c r="BV1798" t="s">
        <v>86</v>
      </c>
      <c r="BY1798">
        <v>1200</v>
      </c>
      <c r="BZ1798" t="s">
        <v>30</v>
      </c>
      <c r="CA1798" t="s">
        <v>651</v>
      </c>
      <c r="CC1798" t="s">
        <v>350</v>
      </c>
      <c r="CD1798" s="5" t="s">
        <v>1011</v>
      </c>
      <c r="CE1798" t="s">
        <v>109</v>
      </c>
      <c r="CF1798" s="3">
        <v>45883</v>
      </c>
      <c r="CI1798">
        <v>1</v>
      </c>
      <c r="CJ1798">
        <v>1</v>
      </c>
      <c r="CK1798">
        <v>23</v>
      </c>
      <c r="CL1798" t="s">
        <v>90</v>
      </c>
    </row>
    <row r="1799" spans="1:90" x14ac:dyDescent="0.3">
      <c r="A1799" t="s">
        <v>72</v>
      </c>
      <c r="B1799" t="s">
        <v>73</v>
      </c>
      <c r="C1799" t="s">
        <v>74</v>
      </c>
      <c r="E1799" t="str">
        <f>"080067218501"</f>
        <v>080067218501</v>
      </c>
      <c r="F1799" s="3">
        <v>45882</v>
      </c>
      <c r="G1799">
        <v>202605</v>
      </c>
      <c r="H1799" t="s">
        <v>75</v>
      </c>
      <c r="I1799" t="s">
        <v>76</v>
      </c>
      <c r="J1799" t="s">
        <v>77</v>
      </c>
      <c r="K1799" t="s">
        <v>78</v>
      </c>
      <c r="L1799" t="s">
        <v>400</v>
      </c>
      <c r="M1799" t="s">
        <v>401</v>
      </c>
      <c r="N1799" t="s">
        <v>788</v>
      </c>
      <c r="O1799" t="s">
        <v>82</v>
      </c>
      <c r="P1799" t="str">
        <f>"4170054430                    "</f>
        <v xml:space="preserve">4170054430                    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0</v>
      </c>
      <c r="AQ1799">
        <v>23.09</v>
      </c>
      <c r="AR1799">
        <v>0</v>
      </c>
      <c r="AS1799">
        <v>0</v>
      </c>
      <c r="AT1799">
        <v>0</v>
      </c>
      <c r="AU1799">
        <v>0</v>
      </c>
      <c r="AV1799">
        <v>0</v>
      </c>
      <c r="AW1799">
        <v>0</v>
      </c>
      <c r="AX1799">
        <v>0</v>
      </c>
      <c r="AY1799">
        <v>0</v>
      </c>
      <c r="AZ1799">
        <v>0</v>
      </c>
      <c r="BA1799">
        <v>0</v>
      </c>
      <c r="BB1799">
        <v>0</v>
      </c>
      <c r="BC1799">
        <v>0</v>
      </c>
      <c r="BD1799">
        <v>0</v>
      </c>
      <c r="BE1799">
        <v>0</v>
      </c>
      <c r="BF1799">
        <v>0</v>
      </c>
      <c r="BG1799">
        <v>0</v>
      </c>
      <c r="BH1799">
        <v>1</v>
      </c>
      <c r="BI1799">
        <v>1</v>
      </c>
      <c r="BJ1799">
        <v>0.2</v>
      </c>
      <c r="BK1799">
        <v>1</v>
      </c>
      <c r="BL1799">
        <v>71.69</v>
      </c>
      <c r="BM1799">
        <v>10.75</v>
      </c>
      <c r="BN1799">
        <v>82.44</v>
      </c>
      <c r="BO1799">
        <v>82.44</v>
      </c>
      <c r="BQ1799" t="s">
        <v>789</v>
      </c>
      <c r="BR1799" t="s">
        <v>84</v>
      </c>
      <c r="BS1799" s="3">
        <v>45883</v>
      </c>
      <c r="BT1799" s="4">
        <v>0.33333333333333331</v>
      </c>
      <c r="BU1799" t="s">
        <v>1926</v>
      </c>
      <c r="BV1799" t="s">
        <v>86</v>
      </c>
      <c r="BY1799">
        <v>1200</v>
      </c>
      <c r="CA1799" t="s">
        <v>405</v>
      </c>
      <c r="CC1799" t="s">
        <v>401</v>
      </c>
      <c r="CD1799">
        <v>6230</v>
      </c>
      <c r="CE1799" t="s">
        <v>109</v>
      </c>
      <c r="CF1799" s="3">
        <v>45883</v>
      </c>
      <c r="CI1799">
        <v>1</v>
      </c>
      <c r="CJ1799">
        <v>1</v>
      </c>
      <c r="CK1799">
        <v>21</v>
      </c>
      <c r="CL1799" t="s">
        <v>90</v>
      </c>
    </row>
    <row r="1800" spans="1:90" x14ac:dyDescent="0.3">
      <c r="A1800" t="s">
        <v>72</v>
      </c>
      <c r="B1800" t="s">
        <v>73</v>
      </c>
      <c r="C1800" t="s">
        <v>74</v>
      </c>
      <c r="E1800" t="str">
        <f>"080067218520"</f>
        <v>080067218520</v>
      </c>
      <c r="F1800" s="3">
        <v>45882</v>
      </c>
      <c r="G1800">
        <v>202605</v>
      </c>
      <c r="H1800" t="s">
        <v>75</v>
      </c>
      <c r="I1800" t="s">
        <v>76</v>
      </c>
      <c r="J1800" t="s">
        <v>77</v>
      </c>
      <c r="K1800" t="s">
        <v>78</v>
      </c>
      <c r="L1800" t="s">
        <v>452</v>
      </c>
      <c r="M1800" t="s">
        <v>453</v>
      </c>
      <c r="N1800" t="s">
        <v>454</v>
      </c>
      <c r="O1800" t="s">
        <v>82</v>
      </c>
      <c r="P1800" t="str">
        <f>"4170054651                    "</f>
        <v xml:space="preserve">4170054651                    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0</v>
      </c>
      <c r="AQ1800">
        <v>44.73</v>
      </c>
      <c r="AR1800">
        <v>0</v>
      </c>
      <c r="AS1800">
        <v>0</v>
      </c>
      <c r="AT1800">
        <v>0</v>
      </c>
      <c r="AU1800">
        <v>0</v>
      </c>
      <c r="AV1800">
        <v>0</v>
      </c>
      <c r="AW1800">
        <v>0</v>
      </c>
      <c r="AX1800">
        <v>0</v>
      </c>
      <c r="AY1800">
        <v>0</v>
      </c>
      <c r="AZ1800">
        <v>0</v>
      </c>
      <c r="BA1800">
        <v>0</v>
      </c>
      <c r="BB1800">
        <v>0</v>
      </c>
      <c r="BC1800">
        <v>0</v>
      </c>
      <c r="BD1800">
        <v>0</v>
      </c>
      <c r="BE1800">
        <v>0</v>
      </c>
      <c r="BF1800">
        <v>0</v>
      </c>
      <c r="BG1800">
        <v>0</v>
      </c>
      <c r="BH1800">
        <v>1</v>
      </c>
      <c r="BI1800">
        <v>1</v>
      </c>
      <c r="BJ1800">
        <v>0.2</v>
      </c>
      <c r="BK1800">
        <v>1</v>
      </c>
      <c r="BL1800">
        <v>138.88999999999999</v>
      </c>
      <c r="BM1800">
        <v>20.83</v>
      </c>
      <c r="BN1800">
        <v>159.72</v>
      </c>
      <c r="BO1800">
        <v>159.72</v>
      </c>
      <c r="BQ1800" t="s">
        <v>455</v>
      </c>
      <c r="BR1800" t="s">
        <v>84</v>
      </c>
      <c r="BS1800" s="3">
        <v>45883</v>
      </c>
      <c r="BT1800" s="4">
        <v>0.38055555555555554</v>
      </c>
      <c r="BU1800" t="s">
        <v>483</v>
      </c>
      <c r="BV1800" t="s">
        <v>86</v>
      </c>
      <c r="BY1800">
        <v>1230</v>
      </c>
      <c r="CA1800" t="s">
        <v>1093</v>
      </c>
      <c r="CC1800" t="s">
        <v>453</v>
      </c>
      <c r="CD1800">
        <v>1947</v>
      </c>
      <c r="CE1800" t="s">
        <v>109</v>
      </c>
      <c r="CF1800" s="3">
        <v>45884</v>
      </c>
      <c r="CI1800">
        <v>1</v>
      </c>
      <c r="CJ1800">
        <v>1</v>
      </c>
      <c r="CK1800">
        <v>23</v>
      </c>
      <c r="CL1800" t="s">
        <v>90</v>
      </c>
    </row>
    <row r="1801" spans="1:90" x14ac:dyDescent="0.3">
      <c r="A1801" t="s">
        <v>72</v>
      </c>
      <c r="B1801" t="s">
        <v>73</v>
      </c>
      <c r="C1801" t="s">
        <v>74</v>
      </c>
      <c r="E1801" t="str">
        <f>"080067218512"</f>
        <v>080067218512</v>
      </c>
      <c r="F1801" s="3">
        <v>45882</v>
      </c>
      <c r="G1801">
        <v>202605</v>
      </c>
      <c r="H1801" t="s">
        <v>75</v>
      </c>
      <c r="I1801" t="s">
        <v>76</v>
      </c>
      <c r="J1801" t="s">
        <v>77</v>
      </c>
      <c r="K1801" t="s">
        <v>78</v>
      </c>
      <c r="L1801" t="s">
        <v>278</v>
      </c>
      <c r="M1801" t="s">
        <v>279</v>
      </c>
      <c r="N1801" t="s">
        <v>749</v>
      </c>
      <c r="O1801" t="s">
        <v>82</v>
      </c>
      <c r="P1801" t="str">
        <f>"4170054534                    "</f>
        <v xml:space="preserve">4170054534                    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>
        <v>23.09</v>
      </c>
      <c r="AR1801">
        <v>0</v>
      </c>
      <c r="AS1801">
        <v>0</v>
      </c>
      <c r="AT1801">
        <v>0</v>
      </c>
      <c r="AU1801">
        <v>0</v>
      </c>
      <c r="AV1801">
        <v>0</v>
      </c>
      <c r="AW1801">
        <v>0</v>
      </c>
      <c r="AX1801">
        <v>0</v>
      </c>
      <c r="AY1801">
        <v>0</v>
      </c>
      <c r="AZ1801">
        <v>0</v>
      </c>
      <c r="BA1801">
        <v>0</v>
      </c>
      <c r="BB1801">
        <v>0</v>
      </c>
      <c r="BC1801">
        <v>0</v>
      </c>
      <c r="BD1801">
        <v>0</v>
      </c>
      <c r="BE1801">
        <v>0</v>
      </c>
      <c r="BF1801">
        <v>0</v>
      </c>
      <c r="BG1801">
        <v>0</v>
      </c>
      <c r="BH1801">
        <v>1</v>
      </c>
      <c r="BI1801">
        <v>1</v>
      </c>
      <c r="BJ1801">
        <v>0.2</v>
      </c>
      <c r="BK1801">
        <v>1</v>
      </c>
      <c r="BL1801">
        <v>71.69</v>
      </c>
      <c r="BM1801">
        <v>10.75</v>
      </c>
      <c r="BN1801">
        <v>82.44</v>
      </c>
      <c r="BO1801">
        <v>82.44</v>
      </c>
      <c r="BQ1801" t="s">
        <v>750</v>
      </c>
      <c r="BR1801" t="s">
        <v>84</v>
      </c>
      <c r="BS1801" s="3">
        <v>45883</v>
      </c>
      <c r="BT1801" s="4">
        <v>0.38333333333333336</v>
      </c>
      <c r="BU1801" t="s">
        <v>2458</v>
      </c>
      <c r="BV1801" t="s">
        <v>86</v>
      </c>
      <c r="BY1801">
        <v>1200</v>
      </c>
      <c r="CA1801" t="s">
        <v>283</v>
      </c>
      <c r="CC1801" t="s">
        <v>279</v>
      </c>
      <c r="CD1801" s="5" t="s">
        <v>753</v>
      </c>
      <c r="CE1801" t="s">
        <v>109</v>
      </c>
      <c r="CF1801" s="3">
        <v>45883</v>
      </c>
      <c r="CI1801">
        <v>1</v>
      </c>
      <c r="CJ1801">
        <v>1</v>
      </c>
      <c r="CK1801">
        <v>21</v>
      </c>
      <c r="CL1801" t="s">
        <v>90</v>
      </c>
    </row>
    <row r="1802" spans="1:90" x14ac:dyDescent="0.3">
      <c r="A1802" t="s">
        <v>72</v>
      </c>
      <c r="B1802" t="s">
        <v>73</v>
      </c>
      <c r="C1802" t="s">
        <v>74</v>
      </c>
      <c r="E1802" t="str">
        <f>"080067218552"</f>
        <v>080067218552</v>
      </c>
      <c r="F1802" s="3">
        <v>45882</v>
      </c>
      <c r="G1802">
        <v>202605</v>
      </c>
      <c r="H1802" t="s">
        <v>75</v>
      </c>
      <c r="I1802" t="s">
        <v>76</v>
      </c>
      <c r="J1802" t="s">
        <v>77</v>
      </c>
      <c r="K1802" t="s">
        <v>78</v>
      </c>
      <c r="L1802" t="s">
        <v>162</v>
      </c>
      <c r="M1802" t="s">
        <v>163</v>
      </c>
      <c r="N1802" t="s">
        <v>2202</v>
      </c>
      <c r="O1802" t="s">
        <v>82</v>
      </c>
      <c r="P1802" t="str">
        <f>"4170054584                    "</f>
        <v xml:space="preserve">4170054584                    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>
        <v>23.09</v>
      </c>
      <c r="AR1802">
        <v>0</v>
      </c>
      <c r="AS1802">
        <v>0</v>
      </c>
      <c r="AT1802">
        <v>0</v>
      </c>
      <c r="AU1802">
        <v>0</v>
      </c>
      <c r="AV1802">
        <v>0</v>
      </c>
      <c r="AW1802">
        <v>0</v>
      </c>
      <c r="AX1802">
        <v>0</v>
      </c>
      <c r="AY1802">
        <v>0</v>
      </c>
      <c r="AZ1802">
        <v>0</v>
      </c>
      <c r="BA1802">
        <v>0</v>
      </c>
      <c r="BB1802">
        <v>0</v>
      </c>
      <c r="BC1802">
        <v>0</v>
      </c>
      <c r="BD1802">
        <v>0</v>
      </c>
      <c r="BE1802">
        <v>0</v>
      </c>
      <c r="BF1802">
        <v>0</v>
      </c>
      <c r="BG1802">
        <v>0</v>
      </c>
      <c r="BH1802">
        <v>1</v>
      </c>
      <c r="BI1802">
        <v>1</v>
      </c>
      <c r="BJ1802">
        <v>0.2</v>
      </c>
      <c r="BK1802">
        <v>1</v>
      </c>
      <c r="BL1802">
        <v>71.69</v>
      </c>
      <c r="BM1802">
        <v>10.75</v>
      </c>
      <c r="BN1802">
        <v>82.44</v>
      </c>
      <c r="BO1802">
        <v>82.44</v>
      </c>
      <c r="BQ1802" t="s">
        <v>2203</v>
      </c>
      <c r="BR1802" t="s">
        <v>84</v>
      </c>
      <c r="BS1802" s="3">
        <v>45883</v>
      </c>
      <c r="BT1802" s="4">
        <v>0.41666666666666669</v>
      </c>
      <c r="BU1802" t="s">
        <v>2459</v>
      </c>
      <c r="BV1802" t="s">
        <v>86</v>
      </c>
      <c r="BY1802">
        <v>1200</v>
      </c>
      <c r="CA1802" t="s">
        <v>919</v>
      </c>
      <c r="CC1802" t="s">
        <v>163</v>
      </c>
      <c r="CD1802">
        <v>3201</v>
      </c>
      <c r="CE1802" t="s">
        <v>2460</v>
      </c>
      <c r="CF1802" s="3">
        <v>45884</v>
      </c>
      <c r="CI1802">
        <v>1</v>
      </c>
      <c r="CJ1802">
        <v>1</v>
      </c>
      <c r="CK1802">
        <v>21</v>
      </c>
      <c r="CL1802" t="s">
        <v>90</v>
      </c>
    </row>
    <row r="1803" spans="1:90" x14ac:dyDescent="0.3">
      <c r="A1803" t="s">
        <v>72</v>
      </c>
      <c r="B1803" t="s">
        <v>73</v>
      </c>
      <c r="C1803" t="s">
        <v>74</v>
      </c>
      <c r="E1803" t="str">
        <f>"080067218565"</f>
        <v>080067218565</v>
      </c>
      <c r="F1803" s="3">
        <v>45882</v>
      </c>
      <c r="G1803">
        <v>202605</v>
      </c>
      <c r="H1803" t="s">
        <v>75</v>
      </c>
      <c r="I1803" t="s">
        <v>76</v>
      </c>
      <c r="J1803" t="s">
        <v>77</v>
      </c>
      <c r="K1803" t="s">
        <v>78</v>
      </c>
      <c r="L1803" t="s">
        <v>1829</v>
      </c>
      <c r="M1803" t="s">
        <v>1830</v>
      </c>
      <c r="N1803" t="s">
        <v>1913</v>
      </c>
      <c r="O1803" t="s">
        <v>82</v>
      </c>
      <c r="P1803" t="str">
        <f>"4170054516                    "</f>
        <v xml:space="preserve">4170054516                    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0</v>
      </c>
      <c r="AQ1803">
        <v>23.09</v>
      </c>
      <c r="AR1803">
        <v>0</v>
      </c>
      <c r="AS1803">
        <v>0</v>
      </c>
      <c r="AT1803">
        <v>0</v>
      </c>
      <c r="AU1803">
        <v>0</v>
      </c>
      <c r="AV1803">
        <v>0</v>
      </c>
      <c r="AW1803">
        <v>0</v>
      </c>
      <c r="AX1803">
        <v>0</v>
      </c>
      <c r="AY1803">
        <v>0</v>
      </c>
      <c r="AZ1803">
        <v>0</v>
      </c>
      <c r="BA1803">
        <v>0</v>
      </c>
      <c r="BB1803">
        <v>0</v>
      </c>
      <c r="BC1803">
        <v>0</v>
      </c>
      <c r="BD1803">
        <v>0</v>
      </c>
      <c r="BE1803">
        <v>0</v>
      </c>
      <c r="BF1803">
        <v>0</v>
      </c>
      <c r="BG1803">
        <v>0</v>
      </c>
      <c r="BH1803">
        <v>1</v>
      </c>
      <c r="BI1803">
        <v>1</v>
      </c>
      <c r="BJ1803">
        <v>0.2</v>
      </c>
      <c r="BK1803">
        <v>1</v>
      </c>
      <c r="BL1803">
        <v>71.69</v>
      </c>
      <c r="BM1803">
        <v>10.75</v>
      </c>
      <c r="BN1803">
        <v>82.44</v>
      </c>
      <c r="BO1803">
        <v>82.44</v>
      </c>
      <c r="BQ1803" t="s">
        <v>1914</v>
      </c>
      <c r="BR1803" t="s">
        <v>84</v>
      </c>
      <c r="BS1803" s="3">
        <v>45883</v>
      </c>
      <c r="BT1803" s="4">
        <v>0.42430555555555555</v>
      </c>
      <c r="BU1803" t="s">
        <v>1915</v>
      </c>
      <c r="BV1803" t="s">
        <v>86</v>
      </c>
      <c r="BY1803">
        <v>1200</v>
      </c>
      <c r="CA1803" t="s">
        <v>1286</v>
      </c>
      <c r="CC1803" t="s">
        <v>1830</v>
      </c>
      <c r="CD1803">
        <v>4126</v>
      </c>
      <c r="CE1803" t="s">
        <v>109</v>
      </c>
      <c r="CF1803" s="3">
        <v>45884</v>
      </c>
      <c r="CI1803">
        <v>1</v>
      </c>
      <c r="CJ1803">
        <v>1</v>
      </c>
      <c r="CK1803">
        <v>21</v>
      </c>
      <c r="CL1803" t="s">
        <v>90</v>
      </c>
    </row>
    <row r="1804" spans="1:90" x14ac:dyDescent="0.3">
      <c r="A1804" t="s">
        <v>72</v>
      </c>
      <c r="B1804" t="s">
        <v>73</v>
      </c>
      <c r="C1804" t="s">
        <v>74</v>
      </c>
      <c r="E1804" t="str">
        <f>"080067218596"</f>
        <v>080067218596</v>
      </c>
      <c r="F1804" s="3">
        <v>45882</v>
      </c>
      <c r="G1804">
        <v>202605</v>
      </c>
      <c r="H1804" t="s">
        <v>75</v>
      </c>
      <c r="I1804" t="s">
        <v>76</v>
      </c>
      <c r="J1804" t="s">
        <v>77</v>
      </c>
      <c r="K1804" t="s">
        <v>78</v>
      </c>
      <c r="L1804" t="s">
        <v>229</v>
      </c>
      <c r="M1804" t="s">
        <v>230</v>
      </c>
      <c r="N1804" t="s">
        <v>231</v>
      </c>
      <c r="O1804" t="s">
        <v>82</v>
      </c>
      <c r="P1804" t="str">
        <f>"4170054541                    "</f>
        <v xml:space="preserve">4170054541                    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0</v>
      </c>
      <c r="AQ1804">
        <v>44.73</v>
      </c>
      <c r="AR1804">
        <v>0</v>
      </c>
      <c r="AS1804">
        <v>0</v>
      </c>
      <c r="AT1804">
        <v>0</v>
      </c>
      <c r="AU1804">
        <v>0</v>
      </c>
      <c r="AV1804">
        <v>0</v>
      </c>
      <c r="AW1804">
        <v>0</v>
      </c>
      <c r="AX1804">
        <v>0</v>
      </c>
      <c r="AY1804">
        <v>0</v>
      </c>
      <c r="AZ1804">
        <v>0</v>
      </c>
      <c r="BA1804">
        <v>0</v>
      </c>
      <c r="BB1804">
        <v>0</v>
      </c>
      <c r="BC1804">
        <v>0</v>
      </c>
      <c r="BD1804">
        <v>0</v>
      </c>
      <c r="BE1804">
        <v>0</v>
      </c>
      <c r="BF1804">
        <v>0</v>
      </c>
      <c r="BG1804">
        <v>0</v>
      </c>
      <c r="BH1804">
        <v>1</v>
      </c>
      <c r="BI1804">
        <v>1</v>
      </c>
      <c r="BJ1804">
        <v>0.2</v>
      </c>
      <c r="BK1804">
        <v>1</v>
      </c>
      <c r="BL1804">
        <v>138.88999999999999</v>
      </c>
      <c r="BM1804">
        <v>20.83</v>
      </c>
      <c r="BN1804">
        <v>159.72</v>
      </c>
      <c r="BO1804">
        <v>159.72</v>
      </c>
      <c r="BQ1804" t="s">
        <v>232</v>
      </c>
      <c r="BR1804" t="s">
        <v>84</v>
      </c>
      <c r="BS1804" s="3">
        <v>45883</v>
      </c>
      <c r="BT1804" s="4">
        <v>0.29166666666666669</v>
      </c>
      <c r="BU1804" t="s">
        <v>233</v>
      </c>
      <c r="BV1804" t="s">
        <v>86</v>
      </c>
      <c r="BY1804">
        <v>1200</v>
      </c>
      <c r="CC1804" t="s">
        <v>230</v>
      </c>
      <c r="CD1804">
        <v>2740</v>
      </c>
      <c r="CE1804" t="s">
        <v>109</v>
      </c>
      <c r="CF1804" s="3">
        <v>45884</v>
      </c>
      <c r="CI1804">
        <v>1</v>
      </c>
      <c r="CJ1804">
        <v>1</v>
      </c>
      <c r="CK1804">
        <v>23</v>
      </c>
      <c r="CL1804" t="s">
        <v>90</v>
      </c>
    </row>
    <row r="1805" spans="1:90" x14ac:dyDescent="0.3">
      <c r="A1805" t="s">
        <v>72</v>
      </c>
      <c r="B1805" t="s">
        <v>73</v>
      </c>
      <c r="C1805" t="s">
        <v>74</v>
      </c>
      <c r="E1805" t="str">
        <f>"080067218607"</f>
        <v>080067218607</v>
      </c>
      <c r="F1805" s="3">
        <v>45882</v>
      </c>
      <c r="G1805">
        <v>202605</v>
      </c>
      <c r="H1805" t="s">
        <v>75</v>
      </c>
      <c r="I1805" t="s">
        <v>76</v>
      </c>
      <c r="J1805" t="s">
        <v>77</v>
      </c>
      <c r="K1805" t="s">
        <v>78</v>
      </c>
      <c r="L1805" t="s">
        <v>325</v>
      </c>
      <c r="M1805" t="s">
        <v>326</v>
      </c>
      <c r="N1805" t="s">
        <v>458</v>
      </c>
      <c r="O1805" t="s">
        <v>82</v>
      </c>
      <c r="P1805" t="str">
        <f>"4170054583                    "</f>
        <v xml:space="preserve">4170054583                    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0</v>
      </c>
      <c r="AI1805">
        <v>0</v>
      </c>
      <c r="AJ1805">
        <v>0</v>
      </c>
      <c r="AK1805">
        <v>0</v>
      </c>
      <c r="AL1805">
        <v>0</v>
      </c>
      <c r="AM1805">
        <v>0</v>
      </c>
      <c r="AN1805">
        <v>0</v>
      </c>
      <c r="AO1805">
        <v>0</v>
      </c>
      <c r="AP1805">
        <v>0</v>
      </c>
      <c r="AQ1805">
        <v>18.03</v>
      </c>
      <c r="AR1805">
        <v>0</v>
      </c>
      <c r="AS1805">
        <v>0</v>
      </c>
      <c r="AT1805">
        <v>0</v>
      </c>
      <c r="AU1805">
        <v>0</v>
      </c>
      <c r="AV1805">
        <v>0</v>
      </c>
      <c r="AW1805">
        <v>0</v>
      </c>
      <c r="AX1805">
        <v>0</v>
      </c>
      <c r="AY1805">
        <v>0</v>
      </c>
      <c r="AZ1805">
        <v>0</v>
      </c>
      <c r="BA1805">
        <v>0</v>
      </c>
      <c r="BB1805">
        <v>0</v>
      </c>
      <c r="BC1805">
        <v>0</v>
      </c>
      <c r="BD1805">
        <v>0</v>
      </c>
      <c r="BE1805">
        <v>0</v>
      </c>
      <c r="BF1805">
        <v>0</v>
      </c>
      <c r="BG1805">
        <v>0</v>
      </c>
      <c r="BH1805">
        <v>1</v>
      </c>
      <c r="BI1805">
        <v>1</v>
      </c>
      <c r="BJ1805">
        <v>0.2</v>
      </c>
      <c r="BK1805">
        <v>1</v>
      </c>
      <c r="BL1805">
        <v>55.99</v>
      </c>
      <c r="BM1805">
        <v>8.4</v>
      </c>
      <c r="BN1805">
        <v>64.39</v>
      </c>
      <c r="BO1805">
        <v>64.39</v>
      </c>
      <c r="BQ1805" t="s">
        <v>459</v>
      </c>
      <c r="BR1805" t="s">
        <v>84</v>
      </c>
      <c r="BS1805" s="3">
        <v>45883</v>
      </c>
      <c r="BT1805" s="4">
        <v>0.4861111111111111</v>
      </c>
      <c r="BU1805" t="s">
        <v>460</v>
      </c>
      <c r="BV1805" t="s">
        <v>90</v>
      </c>
      <c r="BW1805" t="s">
        <v>380</v>
      </c>
      <c r="BX1805" t="s">
        <v>2461</v>
      </c>
      <c r="BY1805">
        <v>1200</v>
      </c>
      <c r="CA1805" t="s">
        <v>461</v>
      </c>
      <c r="CC1805" t="s">
        <v>326</v>
      </c>
      <c r="CD1805">
        <v>2197</v>
      </c>
      <c r="CE1805" t="s">
        <v>109</v>
      </c>
      <c r="CF1805" s="3">
        <v>45883</v>
      </c>
      <c r="CI1805">
        <v>1</v>
      </c>
      <c r="CJ1805">
        <v>1</v>
      </c>
      <c r="CK1805">
        <v>22</v>
      </c>
      <c r="CL1805" t="s">
        <v>90</v>
      </c>
    </row>
    <row r="1806" spans="1:90" x14ac:dyDescent="0.3">
      <c r="A1806" t="s">
        <v>72</v>
      </c>
      <c r="B1806" t="s">
        <v>73</v>
      </c>
      <c r="C1806" t="s">
        <v>74</v>
      </c>
      <c r="E1806" t="str">
        <f>"080067218631"</f>
        <v>080067218631</v>
      </c>
      <c r="F1806" s="3">
        <v>45882</v>
      </c>
      <c r="G1806">
        <v>202605</v>
      </c>
      <c r="H1806" t="s">
        <v>75</v>
      </c>
      <c r="I1806" t="s">
        <v>76</v>
      </c>
      <c r="J1806" t="s">
        <v>77</v>
      </c>
      <c r="K1806" t="s">
        <v>78</v>
      </c>
      <c r="L1806" t="s">
        <v>162</v>
      </c>
      <c r="M1806" t="s">
        <v>163</v>
      </c>
      <c r="N1806" t="s">
        <v>1064</v>
      </c>
      <c r="O1806" t="s">
        <v>82</v>
      </c>
      <c r="P1806" t="str">
        <f>"4170054572                    "</f>
        <v xml:space="preserve">4170054572                    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0</v>
      </c>
      <c r="AI1806">
        <v>0</v>
      </c>
      <c r="AJ1806">
        <v>0</v>
      </c>
      <c r="AK1806">
        <v>0</v>
      </c>
      <c r="AL1806">
        <v>0</v>
      </c>
      <c r="AM1806">
        <v>0</v>
      </c>
      <c r="AN1806">
        <v>0</v>
      </c>
      <c r="AO1806">
        <v>0</v>
      </c>
      <c r="AP1806">
        <v>0</v>
      </c>
      <c r="AQ1806">
        <v>23.09</v>
      </c>
      <c r="AR1806">
        <v>0</v>
      </c>
      <c r="AS1806">
        <v>0</v>
      </c>
      <c r="AT1806">
        <v>0</v>
      </c>
      <c r="AU1806">
        <v>0</v>
      </c>
      <c r="AV1806">
        <v>0</v>
      </c>
      <c r="AW1806">
        <v>0</v>
      </c>
      <c r="AX1806">
        <v>0</v>
      </c>
      <c r="AY1806">
        <v>0</v>
      </c>
      <c r="AZ1806">
        <v>0</v>
      </c>
      <c r="BA1806">
        <v>0</v>
      </c>
      <c r="BB1806">
        <v>0</v>
      </c>
      <c r="BC1806">
        <v>0</v>
      </c>
      <c r="BD1806">
        <v>0</v>
      </c>
      <c r="BE1806">
        <v>0</v>
      </c>
      <c r="BF1806">
        <v>0</v>
      </c>
      <c r="BG1806">
        <v>0</v>
      </c>
      <c r="BH1806">
        <v>1</v>
      </c>
      <c r="BI1806">
        <v>1</v>
      </c>
      <c r="BJ1806">
        <v>0.2</v>
      </c>
      <c r="BK1806">
        <v>1</v>
      </c>
      <c r="BL1806">
        <v>71.69</v>
      </c>
      <c r="BM1806">
        <v>10.75</v>
      </c>
      <c r="BN1806">
        <v>82.44</v>
      </c>
      <c r="BO1806">
        <v>82.44</v>
      </c>
      <c r="BQ1806" t="s">
        <v>1065</v>
      </c>
      <c r="BR1806" t="s">
        <v>84</v>
      </c>
      <c r="BS1806" s="3">
        <v>45883</v>
      </c>
      <c r="BT1806" s="4">
        <v>0.41666666666666669</v>
      </c>
      <c r="BU1806" t="s">
        <v>2462</v>
      </c>
      <c r="BV1806" t="s">
        <v>86</v>
      </c>
      <c r="BY1806">
        <v>1200</v>
      </c>
      <c r="CA1806" t="s">
        <v>919</v>
      </c>
      <c r="CC1806" t="s">
        <v>163</v>
      </c>
      <c r="CD1806">
        <v>3200</v>
      </c>
      <c r="CE1806" t="s">
        <v>109</v>
      </c>
      <c r="CF1806" s="3">
        <v>45884</v>
      </c>
      <c r="CI1806">
        <v>1</v>
      </c>
      <c r="CJ1806">
        <v>1</v>
      </c>
      <c r="CK1806">
        <v>21</v>
      </c>
      <c r="CL1806" t="s">
        <v>90</v>
      </c>
    </row>
    <row r="1807" spans="1:90" x14ac:dyDescent="0.3">
      <c r="A1807" t="s">
        <v>72</v>
      </c>
      <c r="B1807" t="s">
        <v>73</v>
      </c>
      <c r="C1807" t="s">
        <v>74</v>
      </c>
      <c r="E1807" t="str">
        <f>"080067218638"</f>
        <v>080067218638</v>
      </c>
      <c r="F1807" s="3">
        <v>45882</v>
      </c>
      <c r="G1807">
        <v>202605</v>
      </c>
      <c r="H1807" t="s">
        <v>75</v>
      </c>
      <c r="I1807" t="s">
        <v>76</v>
      </c>
      <c r="J1807" t="s">
        <v>77</v>
      </c>
      <c r="K1807" t="s">
        <v>78</v>
      </c>
      <c r="L1807" t="s">
        <v>234</v>
      </c>
      <c r="M1807" t="s">
        <v>235</v>
      </c>
      <c r="N1807" t="s">
        <v>821</v>
      </c>
      <c r="O1807" t="s">
        <v>82</v>
      </c>
      <c r="P1807" t="str">
        <f>"4170054439                    "</f>
        <v xml:space="preserve">4170054439                    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0</v>
      </c>
      <c r="AI1807">
        <v>0</v>
      </c>
      <c r="AJ1807">
        <v>0</v>
      </c>
      <c r="AK1807">
        <v>0</v>
      </c>
      <c r="AL1807">
        <v>0</v>
      </c>
      <c r="AM1807">
        <v>0</v>
      </c>
      <c r="AN1807">
        <v>0</v>
      </c>
      <c r="AO1807">
        <v>0</v>
      </c>
      <c r="AP1807">
        <v>0</v>
      </c>
      <c r="AQ1807">
        <v>23.09</v>
      </c>
      <c r="AR1807">
        <v>0</v>
      </c>
      <c r="AS1807">
        <v>0</v>
      </c>
      <c r="AT1807">
        <v>0</v>
      </c>
      <c r="AU1807">
        <v>0</v>
      </c>
      <c r="AV1807">
        <v>0</v>
      </c>
      <c r="AW1807">
        <v>0</v>
      </c>
      <c r="AX1807">
        <v>0</v>
      </c>
      <c r="AY1807">
        <v>0</v>
      </c>
      <c r="AZ1807">
        <v>0</v>
      </c>
      <c r="BA1807">
        <v>0</v>
      </c>
      <c r="BB1807">
        <v>0</v>
      </c>
      <c r="BC1807">
        <v>0</v>
      </c>
      <c r="BD1807">
        <v>0</v>
      </c>
      <c r="BE1807">
        <v>0</v>
      </c>
      <c r="BF1807">
        <v>0</v>
      </c>
      <c r="BG1807">
        <v>0</v>
      </c>
      <c r="BH1807">
        <v>1</v>
      </c>
      <c r="BI1807">
        <v>1</v>
      </c>
      <c r="BJ1807">
        <v>0.2</v>
      </c>
      <c r="BK1807">
        <v>1</v>
      </c>
      <c r="BL1807">
        <v>71.69</v>
      </c>
      <c r="BM1807">
        <v>10.75</v>
      </c>
      <c r="BN1807">
        <v>82.44</v>
      </c>
      <c r="BO1807">
        <v>82.44</v>
      </c>
      <c r="BQ1807" t="s">
        <v>822</v>
      </c>
      <c r="BR1807" t="s">
        <v>84</v>
      </c>
      <c r="BS1807" s="3">
        <v>45883</v>
      </c>
      <c r="BT1807" s="4">
        <v>0.36041666666666666</v>
      </c>
      <c r="BU1807" t="s">
        <v>2316</v>
      </c>
      <c r="BV1807" t="s">
        <v>86</v>
      </c>
      <c r="BY1807">
        <v>1230</v>
      </c>
      <c r="CA1807" t="s">
        <v>824</v>
      </c>
      <c r="CC1807" t="s">
        <v>235</v>
      </c>
      <c r="CD1807" s="5" t="s">
        <v>240</v>
      </c>
      <c r="CE1807" t="s">
        <v>109</v>
      </c>
      <c r="CF1807" s="3">
        <v>45883</v>
      </c>
      <c r="CI1807">
        <v>1</v>
      </c>
      <c r="CJ1807">
        <v>1</v>
      </c>
      <c r="CK1807">
        <v>21</v>
      </c>
      <c r="CL1807" t="s">
        <v>90</v>
      </c>
    </row>
    <row r="1808" spans="1:90" x14ac:dyDescent="0.3">
      <c r="A1808" t="s">
        <v>72</v>
      </c>
      <c r="B1808" t="s">
        <v>73</v>
      </c>
      <c r="C1808" t="s">
        <v>74</v>
      </c>
      <c r="E1808" t="str">
        <f>"080067218660"</f>
        <v>080067218660</v>
      </c>
      <c r="F1808" s="3">
        <v>45882</v>
      </c>
      <c r="G1808">
        <v>202605</v>
      </c>
      <c r="H1808" t="s">
        <v>75</v>
      </c>
      <c r="I1808" t="s">
        <v>76</v>
      </c>
      <c r="J1808" t="s">
        <v>77</v>
      </c>
      <c r="K1808" t="s">
        <v>78</v>
      </c>
      <c r="L1808" t="s">
        <v>1622</v>
      </c>
      <c r="M1808" t="s">
        <v>1623</v>
      </c>
      <c r="N1808" t="s">
        <v>1465</v>
      </c>
      <c r="O1808" t="s">
        <v>82</v>
      </c>
      <c r="P1808" t="str">
        <f>"4170054395                    "</f>
        <v xml:space="preserve">4170054395                    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0</v>
      </c>
      <c r="AI1808">
        <v>0</v>
      </c>
      <c r="AJ1808">
        <v>0</v>
      </c>
      <c r="AK1808">
        <v>0</v>
      </c>
      <c r="AL1808">
        <v>0</v>
      </c>
      <c r="AM1808">
        <v>0</v>
      </c>
      <c r="AN1808">
        <v>0</v>
      </c>
      <c r="AO1808">
        <v>0</v>
      </c>
      <c r="AP1808">
        <v>0</v>
      </c>
      <c r="AQ1808">
        <v>23.09</v>
      </c>
      <c r="AR1808">
        <v>0</v>
      </c>
      <c r="AS1808">
        <v>0</v>
      </c>
      <c r="AT1808">
        <v>0</v>
      </c>
      <c r="AU1808">
        <v>0</v>
      </c>
      <c r="AV1808">
        <v>0</v>
      </c>
      <c r="AW1808">
        <v>0</v>
      </c>
      <c r="AX1808">
        <v>0</v>
      </c>
      <c r="AY1808">
        <v>0</v>
      </c>
      <c r="AZ1808">
        <v>0</v>
      </c>
      <c r="BA1808">
        <v>0</v>
      </c>
      <c r="BB1808">
        <v>0</v>
      </c>
      <c r="BC1808">
        <v>0</v>
      </c>
      <c r="BD1808">
        <v>0</v>
      </c>
      <c r="BE1808">
        <v>0</v>
      </c>
      <c r="BF1808">
        <v>0</v>
      </c>
      <c r="BG1808">
        <v>0</v>
      </c>
      <c r="BH1808">
        <v>1</v>
      </c>
      <c r="BI1808">
        <v>1</v>
      </c>
      <c r="BJ1808">
        <v>0.2</v>
      </c>
      <c r="BK1808">
        <v>1</v>
      </c>
      <c r="BL1808">
        <v>71.69</v>
      </c>
      <c r="BM1808">
        <v>10.75</v>
      </c>
      <c r="BN1808">
        <v>82.44</v>
      </c>
      <c r="BO1808">
        <v>82.44</v>
      </c>
      <c r="BQ1808" t="s">
        <v>1466</v>
      </c>
      <c r="BR1808" t="s">
        <v>84</v>
      </c>
      <c r="BS1808" s="3">
        <v>45883</v>
      </c>
      <c r="BT1808" s="4">
        <v>0.37152777777777779</v>
      </c>
      <c r="BU1808" t="s">
        <v>738</v>
      </c>
      <c r="BV1808" t="s">
        <v>86</v>
      </c>
      <c r="BY1808">
        <v>1200</v>
      </c>
      <c r="CA1808" t="s">
        <v>1624</v>
      </c>
      <c r="CC1808" t="s">
        <v>1623</v>
      </c>
      <c r="CD1808" s="5" t="s">
        <v>1625</v>
      </c>
      <c r="CE1808" t="s">
        <v>109</v>
      </c>
      <c r="CF1808" s="3">
        <v>45883</v>
      </c>
      <c r="CI1808">
        <v>1</v>
      </c>
      <c r="CJ1808">
        <v>1</v>
      </c>
      <c r="CK1808">
        <v>21</v>
      </c>
      <c r="CL1808" t="s">
        <v>90</v>
      </c>
    </row>
    <row r="1809" spans="1:90" x14ac:dyDescent="0.3">
      <c r="A1809" t="s">
        <v>72</v>
      </c>
      <c r="B1809" t="s">
        <v>73</v>
      </c>
      <c r="C1809" t="s">
        <v>74</v>
      </c>
      <c r="E1809" t="str">
        <f>"080067218677"</f>
        <v>080067218677</v>
      </c>
      <c r="F1809" s="3">
        <v>45882</v>
      </c>
      <c r="G1809">
        <v>202605</v>
      </c>
      <c r="H1809" t="s">
        <v>75</v>
      </c>
      <c r="I1809" t="s">
        <v>76</v>
      </c>
      <c r="J1809" t="s">
        <v>77</v>
      </c>
      <c r="K1809" t="s">
        <v>78</v>
      </c>
      <c r="L1809" t="s">
        <v>234</v>
      </c>
      <c r="M1809" t="s">
        <v>235</v>
      </c>
      <c r="N1809" t="s">
        <v>683</v>
      </c>
      <c r="O1809" t="s">
        <v>82</v>
      </c>
      <c r="P1809" t="str">
        <f>"4170054440                    "</f>
        <v xml:space="preserve">4170054440                    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Q1809">
        <v>23.09</v>
      </c>
      <c r="AR1809">
        <v>0</v>
      </c>
      <c r="AS1809">
        <v>0</v>
      </c>
      <c r="AT1809">
        <v>0</v>
      </c>
      <c r="AU1809">
        <v>0</v>
      </c>
      <c r="AV1809">
        <v>0</v>
      </c>
      <c r="AW1809">
        <v>0</v>
      </c>
      <c r="AX1809">
        <v>0</v>
      </c>
      <c r="AY1809">
        <v>0</v>
      </c>
      <c r="AZ1809">
        <v>0</v>
      </c>
      <c r="BA1809">
        <v>0</v>
      </c>
      <c r="BB1809">
        <v>0</v>
      </c>
      <c r="BC1809">
        <v>0</v>
      </c>
      <c r="BD1809">
        <v>0</v>
      </c>
      <c r="BE1809">
        <v>0</v>
      </c>
      <c r="BF1809">
        <v>0</v>
      </c>
      <c r="BG1809">
        <v>0</v>
      </c>
      <c r="BH1809">
        <v>1</v>
      </c>
      <c r="BI1809">
        <v>1</v>
      </c>
      <c r="BJ1809">
        <v>0.2</v>
      </c>
      <c r="BK1809">
        <v>1</v>
      </c>
      <c r="BL1809">
        <v>71.69</v>
      </c>
      <c r="BM1809">
        <v>10.75</v>
      </c>
      <c r="BN1809">
        <v>82.44</v>
      </c>
      <c r="BO1809">
        <v>82.44</v>
      </c>
      <c r="BQ1809" t="s">
        <v>684</v>
      </c>
      <c r="BR1809" t="s">
        <v>84</v>
      </c>
      <c r="BS1809" s="3">
        <v>45883</v>
      </c>
      <c r="BT1809" s="4">
        <v>0.35416666666666669</v>
      </c>
      <c r="BU1809" t="s">
        <v>1418</v>
      </c>
      <c r="BV1809" t="s">
        <v>86</v>
      </c>
      <c r="BY1809">
        <v>1200</v>
      </c>
      <c r="CA1809" t="s">
        <v>239</v>
      </c>
      <c r="CC1809" t="s">
        <v>235</v>
      </c>
      <c r="CD1809" s="5" t="s">
        <v>240</v>
      </c>
      <c r="CE1809" t="s">
        <v>109</v>
      </c>
      <c r="CF1809" s="3">
        <v>45883</v>
      </c>
      <c r="CI1809">
        <v>1</v>
      </c>
      <c r="CJ1809">
        <v>1</v>
      </c>
      <c r="CK1809">
        <v>21</v>
      </c>
      <c r="CL1809" t="s">
        <v>90</v>
      </c>
    </row>
    <row r="1810" spans="1:90" x14ac:dyDescent="0.3">
      <c r="A1810" t="s">
        <v>72</v>
      </c>
      <c r="B1810" t="s">
        <v>73</v>
      </c>
      <c r="C1810" t="s">
        <v>74</v>
      </c>
      <c r="E1810" t="str">
        <f>"080067218669"</f>
        <v>080067218669</v>
      </c>
      <c r="F1810" s="3">
        <v>45882</v>
      </c>
      <c r="G1810">
        <v>202605</v>
      </c>
      <c r="H1810" t="s">
        <v>75</v>
      </c>
      <c r="I1810" t="s">
        <v>76</v>
      </c>
      <c r="J1810" t="s">
        <v>77</v>
      </c>
      <c r="K1810" t="s">
        <v>78</v>
      </c>
      <c r="L1810" t="s">
        <v>278</v>
      </c>
      <c r="M1810" t="s">
        <v>279</v>
      </c>
      <c r="N1810" t="s">
        <v>2463</v>
      </c>
      <c r="O1810" t="s">
        <v>82</v>
      </c>
      <c r="P1810" t="str">
        <f>"4170054413                    "</f>
        <v xml:space="preserve">4170054413                    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0</v>
      </c>
      <c r="AI1810">
        <v>0</v>
      </c>
      <c r="AJ1810">
        <v>0</v>
      </c>
      <c r="AK1810">
        <v>0</v>
      </c>
      <c r="AL1810">
        <v>0</v>
      </c>
      <c r="AM1810">
        <v>0</v>
      </c>
      <c r="AN1810">
        <v>0</v>
      </c>
      <c r="AO1810">
        <v>0</v>
      </c>
      <c r="AP1810">
        <v>0</v>
      </c>
      <c r="AQ1810">
        <v>23.09</v>
      </c>
      <c r="AR1810">
        <v>0</v>
      </c>
      <c r="AS1810">
        <v>0</v>
      </c>
      <c r="AT1810">
        <v>0</v>
      </c>
      <c r="AU1810">
        <v>0</v>
      </c>
      <c r="AV1810">
        <v>0</v>
      </c>
      <c r="AW1810">
        <v>0</v>
      </c>
      <c r="AX1810">
        <v>0</v>
      </c>
      <c r="AY1810">
        <v>0</v>
      </c>
      <c r="AZ1810">
        <v>0</v>
      </c>
      <c r="BA1810">
        <v>0</v>
      </c>
      <c r="BB1810">
        <v>0</v>
      </c>
      <c r="BC1810">
        <v>0</v>
      </c>
      <c r="BD1810">
        <v>0</v>
      </c>
      <c r="BE1810">
        <v>0</v>
      </c>
      <c r="BF1810">
        <v>0</v>
      </c>
      <c r="BG1810">
        <v>0</v>
      </c>
      <c r="BH1810">
        <v>1</v>
      </c>
      <c r="BI1810">
        <v>1</v>
      </c>
      <c r="BJ1810">
        <v>0.2</v>
      </c>
      <c r="BK1810">
        <v>1</v>
      </c>
      <c r="BL1810">
        <v>71.69</v>
      </c>
      <c r="BM1810">
        <v>10.75</v>
      </c>
      <c r="BN1810">
        <v>82.44</v>
      </c>
      <c r="BO1810">
        <v>82.44</v>
      </c>
      <c r="BQ1810" t="s">
        <v>2464</v>
      </c>
      <c r="BR1810" t="s">
        <v>84</v>
      </c>
      <c r="BS1810" s="3">
        <v>45883</v>
      </c>
      <c r="BT1810" s="4">
        <v>0.44444444444444442</v>
      </c>
      <c r="BU1810" t="s">
        <v>2465</v>
      </c>
      <c r="BV1810" t="s">
        <v>90</v>
      </c>
      <c r="BW1810" t="s">
        <v>380</v>
      </c>
      <c r="BX1810" t="s">
        <v>644</v>
      </c>
      <c r="BY1810">
        <v>1200</v>
      </c>
      <c r="CA1810" t="s">
        <v>532</v>
      </c>
      <c r="CC1810" t="s">
        <v>279</v>
      </c>
      <c r="CD1810" s="5" t="s">
        <v>533</v>
      </c>
      <c r="CE1810" t="s">
        <v>109</v>
      </c>
      <c r="CF1810" s="3">
        <v>45883</v>
      </c>
      <c r="CI1810">
        <v>1</v>
      </c>
      <c r="CJ1810">
        <v>1</v>
      </c>
      <c r="CK1810">
        <v>21</v>
      </c>
      <c r="CL1810" t="s">
        <v>90</v>
      </c>
    </row>
    <row r="1811" spans="1:90" x14ac:dyDescent="0.3">
      <c r="A1811" t="s">
        <v>72</v>
      </c>
      <c r="B1811" t="s">
        <v>73</v>
      </c>
      <c r="C1811" t="s">
        <v>74</v>
      </c>
      <c r="E1811" t="str">
        <f>"080067218711"</f>
        <v>080067218711</v>
      </c>
      <c r="F1811" s="3">
        <v>45882</v>
      </c>
      <c r="G1811">
        <v>202605</v>
      </c>
      <c r="H1811" t="s">
        <v>75</v>
      </c>
      <c r="I1811" t="s">
        <v>76</v>
      </c>
      <c r="J1811" t="s">
        <v>77</v>
      </c>
      <c r="K1811" t="s">
        <v>78</v>
      </c>
      <c r="L1811" t="s">
        <v>162</v>
      </c>
      <c r="M1811" t="s">
        <v>163</v>
      </c>
      <c r="N1811" t="s">
        <v>246</v>
      </c>
      <c r="O1811" t="s">
        <v>82</v>
      </c>
      <c r="P1811" t="str">
        <f>"4170054612                    "</f>
        <v xml:space="preserve">4170054612                    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>
        <v>0</v>
      </c>
      <c r="AQ1811">
        <v>23.09</v>
      </c>
      <c r="AR1811">
        <v>0</v>
      </c>
      <c r="AS1811">
        <v>0</v>
      </c>
      <c r="AT1811">
        <v>0</v>
      </c>
      <c r="AU1811">
        <v>0</v>
      </c>
      <c r="AV1811">
        <v>0</v>
      </c>
      <c r="AW1811">
        <v>0</v>
      </c>
      <c r="AX1811">
        <v>0</v>
      </c>
      <c r="AY1811">
        <v>0</v>
      </c>
      <c r="AZ1811">
        <v>0</v>
      </c>
      <c r="BA1811">
        <v>0</v>
      </c>
      <c r="BB1811">
        <v>0</v>
      </c>
      <c r="BC1811">
        <v>0</v>
      </c>
      <c r="BD1811">
        <v>0</v>
      </c>
      <c r="BE1811">
        <v>0</v>
      </c>
      <c r="BF1811">
        <v>0</v>
      </c>
      <c r="BG1811">
        <v>0</v>
      </c>
      <c r="BH1811">
        <v>1</v>
      </c>
      <c r="BI1811">
        <v>1</v>
      </c>
      <c r="BJ1811">
        <v>0.2</v>
      </c>
      <c r="BK1811">
        <v>1</v>
      </c>
      <c r="BL1811">
        <v>71.69</v>
      </c>
      <c r="BM1811">
        <v>10.75</v>
      </c>
      <c r="BN1811">
        <v>82.44</v>
      </c>
      <c r="BO1811">
        <v>82.44</v>
      </c>
      <c r="BQ1811" t="s">
        <v>247</v>
      </c>
      <c r="BR1811" t="s">
        <v>84</v>
      </c>
      <c r="BS1811" s="3">
        <v>45883</v>
      </c>
      <c r="BT1811" s="4">
        <v>0.41666666666666669</v>
      </c>
      <c r="BU1811" t="s">
        <v>485</v>
      </c>
      <c r="BV1811" t="s">
        <v>86</v>
      </c>
      <c r="BY1811">
        <v>1200</v>
      </c>
      <c r="CC1811" t="s">
        <v>163</v>
      </c>
      <c r="CD1811">
        <v>3201</v>
      </c>
      <c r="CE1811" t="s">
        <v>109</v>
      </c>
      <c r="CF1811" s="3">
        <v>45884</v>
      </c>
      <c r="CI1811">
        <v>1</v>
      </c>
      <c r="CJ1811">
        <v>1</v>
      </c>
      <c r="CK1811">
        <v>21</v>
      </c>
      <c r="CL1811" t="s">
        <v>90</v>
      </c>
    </row>
    <row r="1812" spans="1:90" x14ac:dyDescent="0.3">
      <c r="A1812" t="s">
        <v>72</v>
      </c>
      <c r="B1812" t="s">
        <v>73</v>
      </c>
      <c r="C1812" t="s">
        <v>74</v>
      </c>
      <c r="E1812" t="str">
        <f>"080067218718"</f>
        <v>080067218718</v>
      </c>
      <c r="F1812" s="3">
        <v>45882</v>
      </c>
      <c r="G1812">
        <v>202605</v>
      </c>
      <c r="H1812" t="s">
        <v>75</v>
      </c>
      <c r="I1812" t="s">
        <v>76</v>
      </c>
      <c r="J1812" t="s">
        <v>77</v>
      </c>
      <c r="K1812" t="s">
        <v>78</v>
      </c>
      <c r="L1812" t="s">
        <v>198</v>
      </c>
      <c r="M1812" t="s">
        <v>199</v>
      </c>
      <c r="N1812" t="s">
        <v>598</v>
      </c>
      <c r="O1812" t="s">
        <v>82</v>
      </c>
      <c r="P1812" t="str">
        <f>"4170054678                    "</f>
        <v xml:space="preserve">4170054678                    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N1812">
        <v>0</v>
      </c>
      <c r="AO1812">
        <v>0</v>
      </c>
      <c r="AP1812">
        <v>0</v>
      </c>
      <c r="AQ1812">
        <v>23.09</v>
      </c>
      <c r="AR1812">
        <v>0</v>
      </c>
      <c r="AS1812">
        <v>0</v>
      </c>
      <c r="AT1812">
        <v>0</v>
      </c>
      <c r="AU1812">
        <v>0</v>
      </c>
      <c r="AV1812">
        <v>0</v>
      </c>
      <c r="AW1812">
        <v>0</v>
      </c>
      <c r="AX1812">
        <v>0</v>
      </c>
      <c r="AY1812">
        <v>0</v>
      </c>
      <c r="AZ1812">
        <v>0</v>
      </c>
      <c r="BA1812">
        <v>0</v>
      </c>
      <c r="BB1812">
        <v>0</v>
      </c>
      <c r="BC1812">
        <v>0</v>
      </c>
      <c r="BD1812">
        <v>0</v>
      </c>
      <c r="BE1812">
        <v>0</v>
      </c>
      <c r="BF1812">
        <v>0</v>
      </c>
      <c r="BG1812">
        <v>0</v>
      </c>
      <c r="BH1812">
        <v>1</v>
      </c>
      <c r="BI1812">
        <v>1</v>
      </c>
      <c r="BJ1812">
        <v>0.2</v>
      </c>
      <c r="BK1812">
        <v>1</v>
      </c>
      <c r="BL1812">
        <v>71.69</v>
      </c>
      <c r="BM1812">
        <v>10.75</v>
      </c>
      <c r="BN1812">
        <v>82.44</v>
      </c>
      <c r="BO1812">
        <v>82.44</v>
      </c>
      <c r="BQ1812" t="s">
        <v>599</v>
      </c>
      <c r="BR1812" t="s">
        <v>84</v>
      </c>
      <c r="BS1812" s="3">
        <v>45883</v>
      </c>
      <c r="BT1812" s="4">
        <v>0.38055555555555554</v>
      </c>
      <c r="BU1812" t="s">
        <v>2466</v>
      </c>
      <c r="BV1812" t="s">
        <v>86</v>
      </c>
      <c r="BY1812">
        <v>1200</v>
      </c>
      <c r="CA1812" t="s">
        <v>601</v>
      </c>
      <c r="CC1812" t="s">
        <v>199</v>
      </c>
      <c r="CD1812">
        <v>6001</v>
      </c>
      <c r="CE1812" t="s">
        <v>109</v>
      </c>
      <c r="CF1812" s="3">
        <v>45883</v>
      </c>
      <c r="CI1812">
        <v>1</v>
      </c>
      <c r="CJ1812">
        <v>1</v>
      </c>
      <c r="CK1812">
        <v>21</v>
      </c>
      <c r="CL1812" t="s">
        <v>90</v>
      </c>
    </row>
    <row r="1813" spans="1:90" x14ac:dyDescent="0.3">
      <c r="A1813" t="s">
        <v>72</v>
      </c>
      <c r="B1813" t="s">
        <v>73</v>
      </c>
      <c r="C1813" t="s">
        <v>74</v>
      </c>
      <c r="E1813" t="str">
        <f>"080067218740"</f>
        <v>080067218740</v>
      </c>
      <c r="F1813" s="3">
        <v>45882</v>
      </c>
      <c r="G1813">
        <v>202605</v>
      </c>
      <c r="H1813" t="s">
        <v>75</v>
      </c>
      <c r="I1813" t="s">
        <v>76</v>
      </c>
      <c r="J1813" t="s">
        <v>77</v>
      </c>
      <c r="K1813" t="s">
        <v>78</v>
      </c>
      <c r="L1813" t="s">
        <v>198</v>
      </c>
      <c r="M1813" t="s">
        <v>199</v>
      </c>
      <c r="N1813" t="s">
        <v>2140</v>
      </c>
      <c r="O1813" t="s">
        <v>82</v>
      </c>
      <c r="P1813" t="str">
        <f>"4170054575                    "</f>
        <v xml:space="preserve">4170054575                    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0</v>
      </c>
      <c r="AL1813">
        <v>0</v>
      </c>
      <c r="AM1813">
        <v>0</v>
      </c>
      <c r="AN1813">
        <v>0</v>
      </c>
      <c r="AO1813">
        <v>0</v>
      </c>
      <c r="AP1813">
        <v>0</v>
      </c>
      <c r="AQ1813">
        <v>23.09</v>
      </c>
      <c r="AR1813">
        <v>0</v>
      </c>
      <c r="AS1813">
        <v>0</v>
      </c>
      <c r="AT1813">
        <v>0</v>
      </c>
      <c r="AU1813">
        <v>0</v>
      </c>
      <c r="AV1813">
        <v>0</v>
      </c>
      <c r="AW1813">
        <v>0</v>
      </c>
      <c r="AX1813">
        <v>0</v>
      </c>
      <c r="AY1813">
        <v>0</v>
      </c>
      <c r="AZ1813">
        <v>0</v>
      </c>
      <c r="BA1813">
        <v>0</v>
      </c>
      <c r="BB1813">
        <v>0</v>
      </c>
      <c r="BC1813">
        <v>0</v>
      </c>
      <c r="BD1813">
        <v>0</v>
      </c>
      <c r="BE1813">
        <v>0</v>
      </c>
      <c r="BF1813">
        <v>0</v>
      </c>
      <c r="BG1813">
        <v>0</v>
      </c>
      <c r="BH1813">
        <v>1</v>
      </c>
      <c r="BI1813">
        <v>1</v>
      </c>
      <c r="BJ1813">
        <v>0.2</v>
      </c>
      <c r="BK1813">
        <v>1</v>
      </c>
      <c r="BL1813">
        <v>71.69</v>
      </c>
      <c r="BM1813">
        <v>10.75</v>
      </c>
      <c r="BN1813">
        <v>82.44</v>
      </c>
      <c r="BO1813">
        <v>82.44</v>
      </c>
      <c r="BQ1813" t="s">
        <v>2141</v>
      </c>
      <c r="BR1813" t="s">
        <v>84</v>
      </c>
      <c r="BS1813" s="3">
        <v>45883</v>
      </c>
      <c r="BT1813" s="4">
        <v>0.38263888888888886</v>
      </c>
      <c r="BU1813" t="s">
        <v>2467</v>
      </c>
      <c r="BV1813" t="s">
        <v>86</v>
      </c>
      <c r="BY1813">
        <v>1200</v>
      </c>
      <c r="CA1813" t="s">
        <v>203</v>
      </c>
      <c r="CC1813" t="s">
        <v>199</v>
      </c>
      <c r="CD1813">
        <v>6001</v>
      </c>
      <c r="CE1813" t="s">
        <v>109</v>
      </c>
      <c r="CF1813" s="3">
        <v>45883</v>
      </c>
      <c r="CI1813">
        <v>1</v>
      </c>
      <c r="CJ1813">
        <v>1</v>
      </c>
      <c r="CK1813">
        <v>21</v>
      </c>
      <c r="CL1813" t="s">
        <v>90</v>
      </c>
    </row>
    <row r="1814" spans="1:90" x14ac:dyDescent="0.3">
      <c r="A1814" t="s">
        <v>72</v>
      </c>
      <c r="B1814" t="s">
        <v>73</v>
      </c>
      <c r="C1814" t="s">
        <v>74</v>
      </c>
      <c r="E1814" t="str">
        <f>"080067218775"</f>
        <v>080067218775</v>
      </c>
      <c r="F1814" s="3">
        <v>45882</v>
      </c>
      <c r="G1814">
        <v>202605</v>
      </c>
      <c r="H1814" t="s">
        <v>75</v>
      </c>
      <c r="I1814" t="s">
        <v>76</v>
      </c>
      <c r="J1814" t="s">
        <v>77</v>
      </c>
      <c r="K1814" t="s">
        <v>78</v>
      </c>
      <c r="L1814" t="s">
        <v>325</v>
      </c>
      <c r="M1814" t="s">
        <v>326</v>
      </c>
      <c r="N1814" t="s">
        <v>2468</v>
      </c>
      <c r="O1814" t="s">
        <v>82</v>
      </c>
      <c r="P1814" t="str">
        <f>"4170054669                    "</f>
        <v xml:space="preserve">4170054669                    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0</v>
      </c>
      <c r="AI1814">
        <v>0</v>
      </c>
      <c r="AJ1814">
        <v>0</v>
      </c>
      <c r="AK1814">
        <v>0</v>
      </c>
      <c r="AL1814">
        <v>0</v>
      </c>
      <c r="AM1814">
        <v>0</v>
      </c>
      <c r="AN1814">
        <v>0</v>
      </c>
      <c r="AO1814">
        <v>0</v>
      </c>
      <c r="AP1814">
        <v>0</v>
      </c>
      <c r="AQ1814">
        <v>18.03</v>
      </c>
      <c r="AR1814">
        <v>0</v>
      </c>
      <c r="AS1814">
        <v>0</v>
      </c>
      <c r="AT1814">
        <v>0</v>
      </c>
      <c r="AU1814">
        <v>0</v>
      </c>
      <c r="AV1814">
        <v>0</v>
      </c>
      <c r="AW1814">
        <v>0</v>
      </c>
      <c r="AX1814">
        <v>0</v>
      </c>
      <c r="AY1814">
        <v>0</v>
      </c>
      <c r="AZ1814">
        <v>0</v>
      </c>
      <c r="BA1814">
        <v>0</v>
      </c>
      <c r="BB1814">
        <v>0</v>
      </c>
      <c r="BC1814">
        <v>0</v>
      </c>
      <c r="BD1814">
        <v>0</v>
      </c>
      <c r="BE1814">
        <v>0</v>
      </c>
      <c r="BF1814">
        <v>0</v>
      </c>
      <c r="BG1814">
        <v>0</v>
      </c>
      <c r="BH1814">
        <v>1</v>
      </c>
      <c r="BI1814">
        <v>1</v>
      </c>
      <c r="BJ1814">
        <v>0.2</v>
      </c>
      <c r="BK1814">
        <v>1</v>
      </c>
      <c r="BL1814">
        <v>55.99</v>
      </c>
      <c r="BM1814">
        <v>8.4</v>
      </c>
      <c r="BN1814">
        <v>64.39</v>
      </c>
      <c r="BO1814">
        <v>64.39</v>
      </c>
      <c r="BQ1814" t="s">
        <v>2469</v>
      </c>
      <c r="BR1814" t="s">
        <v>84</v>
      </c>
      <c r="BS1814" s="3">
        <v>45883</v>
      </c>
      <c r="BT1814" s="4">
        <v>0.4152777777777778</v>
      </c>
      <c r="BU1814" t="s">
        <v>2470</v>
      </c>
      <c r="BV1814" t="s">
        <v>86</v>
      </c>
      <c r="BY1814">
        <v>1200</v>
      </c>
      <c r="CA1814" t="s">
        <v>2471</v>
      </c>
      <c r="CC1814" t="s">
        <v>326</v>
      </c>
      <c r="CD1814">
        <v>2001</v>
      </c>
      <c r="CE1814" t="s">
        <v>109</v>
      </c>
      <c r="CF1814" s="3">
        <v>45883</v>
      </c>
      <c r="CI1814">
        <v>1</v>
      </c>
      <c r="CJ1814">
        <v>1</v>
      </c>
      <c r="CK1814">
        <v>22</v>
      </c>
      <c r="CL1814" t="s">
        <v>90</v>
      </c>
    </row>
    <row r="1815" spans="1:90" x14ac:dyDescent="0.3">
      <c r="A1815" t="s">
        <v>72</v>
      </c>
      <c r="B1815" t="s">
        <v>73</v>
      </c>
      <c r="C1815" t="s">
        <v>74</v>
      </c>
      <c r="E1815" t="str">
        <f>"080067218800"</f>
        <v>080067218800</v>
      </c>
      <c r="F1815" s="3">
        <v>45882</v>
      </c>
      <c r="G1815">
        <v>202605</v>
      </c>
      <c r="H1815" t="s">
        <v>75</v>
      </c>
      <c r="I1815" t="s">
        <v>76</v>
      </c>
      <c r="J1815" t="s">
        <v>77</v>
      </c>
      <c r="K1815" t="s">
        <v>78</v>
      </c>
      <c r="L1815" t="s">
        <v>162</v>
      </c>
      <c r="M1815" t="s">
        <v>163</v>
      </c>
      <c r="N1815" t="s">
        <v>916</v>
      </c>
      <c r="O1815" t="s">
        <v>82</v>
      </c>
      <c r="P1815" t="str">
        <f>"4170054411                    "</f>
        <v xml:space="preserve">4170054411                    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0</v>
      </c>
      <c r="AQ1815">
        <v>23.09</v>
      </c>
      <c r="AR1815">
        <v>0</v>
      </c>
      <c r="AS1815">
        <v>0</v>
      </c>
      <c r="AT1815">
        <v>0</v>
      </c>
      <c r="AU1815">
        <v>0</v>
      </c>
      <c r="AV1815">
        <v>0</v>
      </c>
      <c r="AW1815">
        <v>0</v>
      </c>
      <c r="AX1815">
        <v>0</v>
      </c>
      <c r="AY1815">
        <v>0</v>
      </c>
      <c r="AZ1815">
        <v>0</v>
      </c>
      <c r="BA1815">
        <v>0</v>
      </c>
      <c r="BB1815">
        <v>0</v>
      </c>
      <c r="BC1815">
        <v>0</v>
      </c>
      <c r="BD1815">
        <v>0</v>
      </c>
      <c r="BE1815">
        <v>0</v>
      </c>
      <c r="BF1815">
        <v>0</v>
      </c>
      <c r="BG1815">
        <v>0</v>
      </c>
      <c r="BH1815">
        <v>1</v>
      </c>
      <c r="BI1815">
        <v>1</v>
      </c>
      <c r="BJ1815">
        <v>0.2</v>
      </c>
      <c r="BK1815">
        <v>1</v>
      </c>
      <c r="BL1815">
        <v>71.69</v>
      </c>
      <c r="BM1815">
        <v>10.75</v>
      </c>
      <c r="BN1815">
        <v>82.44</v>
      </c>
      <c r="BO1815">
        <v>82.44</v>
      </c>
      <c r="BQ1815" t="s">
        <v>917</v>
      </c>
      <c r="BR1815" t="s">
        <v>84</v>
      </c>
      <c r="BS1815" s="3">
        <v>45883</v>
      </c>
      <c r="BT1815" s="4">
        <v>0.41666666666666669</v>
      </c>
      <c r="BU1815" t="s">
        <v>918</v>
      </c>
      <c r="BV1815" t="s">
        <v>86</v>
      </c>
      <c r="BY1815">
        <v>1200</v>
      </c>
      <c r="CA1815" t="s">
        <v>919</v>
      </c>
      <c r="CC1815" t="s">
        <v>163</v>
      </c>
      <c r="CD1815">
        <v>3201</v>
      </c>
      <c r="CE1815" t="s">
        <v>178</v>
      </c>
      <c r="CF1815" s="3">
        <v>45884</v>
      </c>
      <c r="CI1815">
        <v>5</v>
      </c>
      <c r="CJ1815">
        <v>1</v>
      </c>
      <c r="CK1815">
        <v>21</v>
      </c>
      <c r="CL1815" t="s">
        <v>90</v>
      </c>
    </row>
    <row r="1816" spans="1:90" x14ac:dyDescent="0.3">
      <c r="A1816" t="s">
        <v>72</v>
      </c>
      <c r="B1816" t="s">
        <v>73</v>
      </c>
      <c r="C1816" t="s">
        <v>74</v>
      </c>
      <c r="E1816" t="str">
        <f>"080067218830"</f>
        <v>080067218830</v>
      </c>
      <c r="F1816" s="3">
        <v>45882</v>
      </c>
      <c r="G1816">
        <v>202605</v>
      </c>
      <c r="H1816" t="s">
        <v>75</v>
      </c>
      <c r="I1816" t="s">
        <v>76</v>
      </c>
      <c r="J1816" t="s">
        <v>77</v>
      </c>
      <c r="K1816" t="s">
        <v>78</v>
      </c>
      <c r="L1816" t="s">
        <v>278</v>
      </c>
      <c r="M1816" t="s">
        <v>279</v>
      </c>
      <c r="N1816" t="s">
        <v>2472</v>
      </c>
      <c r="O1816" t="s">
        <v>82</v>
      </c>
      <c r="P1816" t="str">
        <f>"4170054464                    "</f>
        <v xml:space="preserve">4170054464                    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>
        <v>23.09</v>
      </c>
      <c r="AR1816">
        <v>0</v>
      </c>
      <c r="AS1816">
        <v>0</v>
      </c>
      <c r="AT1816">
        <v>0</v>
      </c>
      <c r="AU1816">
        <v>0</v>
      </c>
      <c r="AV1816">
        <v>0</v>
      </c>
      <c r="AW1816">
        <v>0</v>
      </c>
      <c r="AX1816">
        <v>0</v>
      </c>
      <c r="AY1816">
        <v>0</v>
      </c>
      <c r="AZ1816">
        <v>0</v>
      </c>
      <c r="BA1816">
        <v>0</v>
      </c>
      <c r="BB1816">
        <v>0</v>
      </c>
      <c r="BC1816">
        <v>0</v>
      </c>
      <c r="BD1816">
        <v>0</v>
      </c>
      <c r="BE1816">
        <v>0</v>
      </c>
      <c r="BF1816">
        <v>0</v>
      </c>
      <c r="BG1816">
        <v>0</v>
      </c>
      <c r="BH1816">
        <v>1</v>
      </c>
      <c r="BI1816">
        <v>1</v>
      </c>
      <c r="BJ1816">
        <v>0.2</v>
      </c>
      <c r="BK1816">
        <v>1</v>
      </c>
      <c r="BL1816">
        <v>71.69</v>
      </c>
      <c r="BM1816">
        <v>10.75</v>
      </c>
      <c r="BN1816">
        <v>82.44</v>
      </c>
      <c r="BO1816">
        <v>82.44</v>
      </c>
      <c r="BQ1816" t="s">
        <v>2473</v>
      </c>
      <c r="BR1816" t="s">
        <v>84</v>
      </c>
      <c r="BS1816" s="3">
        <v>45883</v>
      </c>
      <c r="BT1816" s="4">
        <v>0.38541666666666669</v>
      </c>
      <c r="BU1816" t="s">
        <v>2474</v>
      </c>
      <c r="BV1816" t="s">
        <v>86</v>
      </c>
      <c r="BY1816">
        <v>1200</v>
      </c>
      <c r="CA1816" t="s">
        <v>288</v>
      </c>
      <c r="CC1816" t="s">
        <v>279</v>
      </c>
      <c r="CD1816" s="5" t="s">
        <v>753</v>
      </c>
      <c r="CE1816" t="s">
        <v>178</v>
      </c>
      <c r="CF1816" s="3">
        <v>45883</v>
      </c>
      <c r="CI1816">
        <v>1</v>
      </c>
      <c r="CJ1816">
        <v>1</v>
      </c>
      <c r="CK1816">
        <v>21</v>
      </c>
      <c r="CL1816" t="s">
        <v>90</v>
      </c>
    </row>
    <row r="1817" spans="1:90" x14ac:dyDescent="0.3">
      <c r="A1817" t="s">
        <v>72</v>
      </c>
      <c r="B1817" t="s">
        <v>73</v>
      </c>
      <c r="C1817" t="s">
        <v>74</v>
      </c>
      <c r="E1817" t="str">
        <f>"080067218892"</f>
        <v>080067218892</v>
      </c>
      <c r="F1817" s="3">
        <v>45882</v>
      </c>
      <c r="G1817">
        <v>202605</v>
      </c>
      <c r="H1817" t="s">
        <v>75</v>
      </c>
      <c r="I1817" t="s">
        <v>76</v>
      </c>
      <c r="J1817" t="s">
        <v>77</v>
      </c>
      <c r="K1817" t="s">
        <v>78</v>
      </c>
      <c r="L1817" t="s">
        <v>123</v>
      </c>
      <c r="M1817" t="s">
        <v>124</v>
      </c>
      <c r="N1817" t="s">
        <v>406</v>
      </c>
      <c r="O1817" t="s">
        <v>82</v>
      </c>
      <c r="P1817" t="str">
        <f>"4170054486                    "</f>
        <v xml:space="preserve">4170054486                    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0</v>
      </c>
      <c r="AQ1817">
        <v>23.09</v>
      </c>
      <c r="AR1817">
        <v>0</v>
      </c>
      <c r="AS1817">
        <v>0</v>
      </c>
      <c r="AT1817">
        <v>0</v>
      </c>
      <c r="AU1817">
        <v>0</v>
      </c>
      <c r="AV1817">
        <v>0</v>
      </c>
      <c r="AW1817">
        <v>0</v>
      </c>
      <c r="AX1817">
        <v>0</v>
      </c>
      <c r="AY1817">
        <v>0</v>
      </c>
      <c r="AZ1817">
        <v>0</v>
      </c>
      <c r="BA1817">
        <v>0</v>
      </c>
      <c r="BB1817">
        <v>0</v>
      </c>
      <c r="BC1817">
        <v>0</v>
      </c>
      <c r="BD1817">
        <v>0</v>
      </c>
      <c r="BE1817">
        <v>0</v>
      </c>
      <c r="BF1817">
        <v>0</v>
      </c>
      <c r="BG1817">
        <v>0</v>
      </c>
      <c r="BH1817">
        <v>1</v>
      </c>
      <c r="BI1817">
        <v>1</v>
      </c>
      <c r="BJ1817">
        <v>0.2</v>
      </c>
      <c r="BK1817">
        <v>1</v>
      </c>
      <c r="BL1817">
        <v>71.69</v>
      </c>
      <c r="BM1817">
        <v>10.75</v>
      </c>
      <c r="BN1817">
        <v>82.44</v>
      </c>
      <c r="BO1817">
        <v>82.44</v>
      </c>
      <c r="BQ1817" t="s">
        <v>407</v>
      </c>
      <c r="BR1817" t="s">
        <v>84</v>
      </c>
      <c r="BS1817" s="3">
        <v>45883</v>
      </c>
      <c r="BT1817" s="4">
        <v>0.40486111111111112</v>
      </c>
      <c r="BU1817" t="s">
        <v>2360</v>
      </c>
      <c r="BV1817" t="s">
        <v>86</v>
      </c>
      <c r="BY1817">
        <v>1200</v>
      </c>
      <c r="CA1817" t="s">
        <v>2361</v>
      </c>
      <c r="CC1817" t="s">
        <v>124</v>
      </c>
      <c r="CD1817">
        <v>7441</v>
      </c>
      <c r="CE1817" t="s">
        <v>2475</v>
      </c>
      <c r="CF1817" s="3">
        <v>45884</v>
      </c>
      <c r="CI1817">
        <v>1</v>
      </c>
      <c r="CJ1817">
        <v>1</v>
      </c>
      <c r="CK1817">
        <v>21</v>
      </c>
      <c r="CL1817" t="s">
        <v>90</v>
      </c>
    </row>
    <row r="1818" spans="1:90" x14ac:dyDescent="0.3">
      <c r="A1818" t="s">
        <v>72</v>
      </c>
      <c r="B1818" t="s">
        <v>73</v>
      </c>
      <c r="C1818" t="s">
        <v>74</v>
      </c>
      <c r="E1818" t="str">
        <f>"080067218924"</f>
        <v>080067218924</v>
      </c>
      <c r="F1818" s="3">
        <v>45882</v>
      </c>
      <c r="G1818">
        <v>202605</v>
      </c>
      <c r="H1818" t="s">
        <v>75</v>
      </c>
      <c r="I1818" t="s">
        <v>76</v>
      </c>
      <c r="J1818" t="s">
        <v>77</v>
      </c>
      <c r="K1818" t="s">
        <v>78</v>
      </c>
      <c r="L1818" t="s">
        <v>217</v>
      </c>
      <c r="M1818" t="s">
        <v>218</v>
      </c>
      <c r="N1818" t="s">
        <v>490</v>
      </c>
      <c r="O1818" t="s">
        <v>82</v>
      </c>
      <c r="P1818" t="str">
        <f>"4170054620                    "</f>
        <v xml:space="preserve">4170054620                    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0</v>
      </c>
      <c r="AQ1818">
        <v>138.41999999999999</v>
      </c>
      <c r="AR1818">
        <v>0</v>
      </c>
      <c r="AS1818">
        <v>0</v>
      </c>
      <c r="AT1818">
        <v>0</v>
      </c>
      <c r="AU1818">
        <v>0</v>
      </c>
      <c r="AV1818">
        <v>0</v>
      </c>
      <c r="AW1818">
        <v>0</v>
      </c>
      <c r="AX1818">
        <v>0</v>
      </c>
      <c r="AY1818">
        <v>0</v>
      </c>
      <c r="AZ1818">
        <v>0</v>
      </c>
      <c r="BA1818">
        <v>0</v>
      </c>
      <c r="BB1818">
        <v>0</v>
      </c>
      <c r="BC1818">
        <v>0</v>
      </c>
      <c r="BD1818">
        <v>0</v>
      </c>
      <c r="BE1818">
        <v>0</v>
      </c>
      <c r="BF1818">
        <v>0</v>
      </c>
      <c r="BG1818">
        <v>0</v>
      </c>
      <c r="BH1818">
        <v>1</v>
      </c>
      <c r="BI1818">
        <v>12</v>
      </c>
      <c r="BJ1818">
        <v>10.7</v>
      </c>
      <c r="BK1818">
        <v>12</v>
      </c>
      <c r="BL1818">
        <v>429.82</v>
      </c>
      <c r="BM1818">
        <v>64.47</v>
      </c>
      <c r="BN1818">
        <v>494.29</v>
      </c>
      <c r="BO1818">
        <v>494.29</v>
      </c>
      <c r="BQ1818" t="s">
        <v>491</v>
      </c>
      <c r="BR1818" t="s">
        <v>84</v>
      </c>
      <c r="BS1818" s="3">
        <v>45883</v>
      </c>
      <c r="BT1818" s="4">
        <v>0.42430555555555555</v>
      </c>
      <c r="BU1818" t="s">
        <v>2476</v>
      </c>
      <c r="BV1818" t="s">
        <v>86</v>
      </c>
      <c r="BY1818">
        <v>53728</v>
      </c>
      <c r="CA1818" t="s">
        <v>136</v>
      </c>
      <c r="CC1818" t="s">
        <v>218</v>
      </c>
      <c r="CD1818">
        <v>4052</v>
      </c>
      <c r="CE1818" t="s">
        <v>147</v>
      </c>
      <c r="CF1818" s="3">
        <v>45883</v>
      </c>
      <c r="CI1818">
        <v>1</v>
      </c>
      <c r="CJ1818">
        <v>1</v>
      </c>
      <c r="CK1818">
        <v>21</v>
      </c>
      <c r="CL1818" t="s">
        <v>90</v>
      </c>
    </row>
    <row r="1819" spans="1:90" x14ac:dyDescent="0.3">
      <c r="A1819" t="s">
        <v>72</v>
      </c>
      <c r="B1819" t="s">
        <v>73</v>
      </c>
      <c r="C1819" t="s">
        <v>74</v>
      </c>
      <c r="E1819" t="str">
        <f>"080067218981"</f>
        <v>080067218981</v>
      </c>
      <c r="F1819" s="3">
        <v>45882</v>
      </c>
      <c r="G1819">
        <v>202605</v>
      </c>
      <c r="H1819" t="s">
        <v>75</v>
      </c>
      <c r="I1819" t="s">
        <v>76</v>
      </c>
      <c r="J1819" t="s">
        <v>77</v>
      </c>
      <c r="K1819" t="s">
        <v>78</v>
      </c>
      <c r="L1819" t="s">
        <v>198</v>
      </c>
      <c r="M1819" t="s">
        <v>199</v>
      </c>
      <c r="N1819" t="s">
        <v>430</v>
      </c>
      <c r="O1819" t="s">
        <v>82</v>
      </c>
      <c r="P1819" t="str">
        <f>"4170054601                    "</f>
        <v xml:space="preserve">4170054601                    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Q1819">
        <v>23.09</v>
      </c>
      <c r="AR1819">
        <v>0</v>
      </c>
      <c r="AS1819">
        <v>0</v>
      </c>
      <c r="AT1819">
        <v>0</v>
      </c>
      <c r="AU1819">
        <v>0</v>
      </c>
      <c r="AV1819">
        <v>0</v>
      </c>
      <c r="AW1819">
        <v>0</v>
      </c>
      <c r="AX1819">
        <v>0</v>
      </c>
      <c r="AY1819">
        <v>0</v>
      </c>
      <c r="AZ1819">
        <v>0</v>
      </c>
      <c r="BA1819">
        <v>0</v>
      </c>
      <c r="BB1819">
        <v>0</v>
      </c>
      <c r="BC1819">
        <v>0</v>
      </c>
      <c r="BD1819">
        <v>0</v>
      </c>
      <c r="BE1819">
        <v>0</v>
      </c>
      <c r="BF1819">
        <v>0</v>
      </c>
      <c r="BG1819">
        <v>0</v>
      </c>
      <c r="BH1819">
        <v>1</v>
      </c>
      <c r="BI1819">
        <v>1</v>
      </c>
      <c r="BJ1819">
        <v>1.5</v>
      </c>
      <c r="BK1819">
        <v>1.5</v>
      </c>
      <c r="BL1819">
        <v>71.69</v>
      </c>
      <c r="BM1819">
        <v>10.75</v>
      </c>
      <c r="BN1819">
        <v>82.44</v>
      </c>
      <c r="BO1819">
        <v>82.44</v>
      </c>
      <c r="BQ1819" t="s">
        <v>431</v>
      </c>
      <c r="BR1819" t="s">
        <v>84</v>
      </c>
      <c r="BS1819" s="3">
        <v>45883</v>
      </c>
      <c r="BT1819" s="4">
        <v>0.46805555555555556</v>
      </c>
      <c r="BU1819" t="s">
        <v>1902</v>
      </c>
      <c r="BV1819" t="s">
        <v>90</v>
      </c>
      <c r="BW1819" t="s">
        <v>134</v>
      </c>
      <c r="BX1819" t="s">
        <v>1360</v>
      </c>
      <c r="BY1819">
        <v>7448</v>
      </c>
      <c r="CC1819" t="s">
        <v>199</v>
      </c>
      <c r="CD1819">
        <v>6001</v>
      </c>
      <c r="CE1819" t="s">
        <v>117</v>
      </c>
      <c r="CF1819" s="3">
        <v>45883</v>
      </c>
      <c r="CI1819">
        <v>1</v>
      </c>
      <c r="CJ1819">
        <v>1</v>
      </c>
      <c r="CK1819">
        <v>21</v>
      </c>
      <c r="CL1819" t="s">
        <v>90</v>
      </c>
    </row>
    <row r="1820" spans="1:90" x14ac:dyDescent="0.3">
      <c r="A1820" t="s">
        <v>72</v>
      </c>
      <c r="B1820" t="s">
        <v>73</v>
      </c>
      <c r="C1820" t="s">
        <v>74</v>
      </c>
      <c r="E1820" t="str">
        <f>"080067219036"</f>
        <v>080067219036</v>
      </c>
      <c r="F1820" s="3">
        <v>45882</v>
      </c>
      <c r="G1820">
        <v>202605</v>
      </c>
      <c r="H1820" t="s">
        <v>75</v>
      </c>
      <c r="I1820" t="s">
        <v>76</v>
      </c>
      <c r="J1820" t="s">
        <v>77</v>
      </c>
      <c r="K1820" t="s">
        <v>78</v>
      </c>
      <c r="L1820" t="s">
        <v>123</v>
      </c>
      <c r="M1820" t="s">
        <v>124</v>
      </c>
      <c r="N1820" t="s">
        <v>125</v>
      </c>
      <c r="O1820" t="s">
        <v>82</v>
      </c>
      <c r="P1820" t="str">
        <f>"4170054441                    "</f>
        <v xml:space="preserve">4170054441                    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0</v>
      </c>
      <c r="AQ1820">
        <v>23.09</v>
      </c>
      <c r="AR1820">
        <v>0</v>
      </c>
      <c r="AS1820">
        <v>0</v>
      </c>
      <c r="AT1820">
        <v>0</v>
      </c>
      <c r="AU1820">
        <v>0</v>
      </c>
      <c r="AV1820">
        <v>0</v>
      </c>
      <c r="AW1820">
        <v>0</v>
      </c>
      <c r="AX1820">
        <v>0</v>
      </c>
      <c r="AY1820">
        <v>0</v>
      </c>
      <c r="AZ1820">
        <v>0</v>
      </c>
      <c r="BA1820">
        <v>0</v>
      </c>
      <c r="BB1820">
        <v>0</v>
      </c>
      <c r="BC1820">
        <v>0</v>
      </c>
      <c r="BD1820">
        <v>0</v>
      </c>
      <c r="BE1820">
        <v>0</v>
      </c>
      <c r="BF1820">
        <v>0</v>
      </c>
      <c r="BG1820">
        <v>0</v>
      </c>
      <c r="BH1820">
        <v>1</v>
      </c>
      <c r="BI1820">
        <v>1</v>
      </c>
      <c r="BJ1820">
        <v>1.9</v>
      </c>
      <c r="BK1820">
        <v>2</v>
      </c>
      <c r="BL1820">
        <v>71.69</v>
      </c>
      <c r="BM1820">
        <v>10.75</v>
      </c>
      <c r="BN1820">
        <v>82.44</v>
      </c>
      <c r="BO1820">
        <v>82.44</v>
      </c>
      <c r="BQ1820" t="s">
        <v>126</v>
      </c>
      <c r="BR1820" t="s">
        <v>84</v>
      </c>
      <c r="BS1820" s="3">
        <v>45883</v>
      </c>
      <c r="BT1820" s="4">
        <v>0.33888888888888891</v>
      </c>
      <c r="BU1820" t="s">
        <v>605</v>
      </c>
      <c r="BV1820" t="s">
        <v>86</v>
      </c>
      <c r="BY1820">
        <v>9600</v>
      </c>
      <c r="CA1820" t="s">
        <v>128</v>
      </c>
      <c r="CC1820" t="s">
        <v>124</v>
      </c>
      <c r="CD1820">
        <v>7530</v>
      </c>
      <c r="CE1820" t="s">
        <v>147</v>
      </c>
      <c r="CF1820" s="3">
        <v>45884</v>
      </c>
      <c r="CI1820">
        <v>1</v>
      </c>
      <c r="CJ1820">
        <v>1</v>
      </c>
      <c r="CK1820">
        <v>21</v>
      </c>
      <c r="CL1820" t="s">
        <v>90</v>
      </c>
    </row>
    <row r="1821" spans="1:90" x14ac:dyDescent="0.3">
      <c r="A1821" t="s">
        <v>72</v>
      </c>
      <c r="B1821" t="s">
        <v>73</v>
      </c>
      <c r="C1821" t="s">
        <v>74</v>
      </c>
      <c r="E1821" t="str">
        <f>"080067219076"</f>
        <v>080067219076</v>
      </c>
      <c r="F1821" s="3">
        <v>45882</v>
      </c>
      <c r="G1821">
        <v>202605</v>
      </c>
      <c r="H1821" t="s">
        <v>75</v>
      </c>
      <c r="I1821" t="s">
        <v>76</v>
      </c>
      <c r="J1821" t="s">
        <v>77</v>
      </c>
      <c r="K1821" t="s">
        <v>78</v>
      </c>
      <c r="L1821" t="s">
        <v>325</v>
      </c>
      <c r="M1821" t="s">
        <v>326</v>
      </c>
      <c r="N1821" t="s">
        <v>1055</v>
      </c>
      <c r="O1821" t="s">
        <v>82</v>
      </c>
      <c r="P1821" t="str">
        <f>"4170054418                    "</f>
        <v xml:space="preserve">4170054418                    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0</v>
      </c>
      <c r="AQ1821">
        <v>18.03</v>
      </c>
      <c r="AR1821">
        <v>0</v>
      </c>
      <c r="AS1821">
        <v>0</v>
      </c>
      <c r="AT1821">
        <v>0</v>
      </c>
      <c r="AU1821">
        <v>0</v>
      </c>
      <c r="AV1821">
        <v>0</v>
      </c>
      <c r="AW1821">
        <v>0</v>
      </c>
      <c r="AX1821">
        <v>0</v>
      </c>
      <c r="AY1821">
        <v>0</v>
      </c>
      <c r="AZ1821">
        <v>0</v>
      </c>
      <c r="BA1821">
        <v>0</v>
      </c>
      <c r="BB1821">
        <v>0</v>
      </c>
      <c r="BC1821">
        <v>0</v>
      </c>
      <c r="BD1821">
        <v>0</v>
      </c>
      <c r="BE1821">
        <v>0</v>
      </c>
      <c r="BF1821">
        <v>0</v>
      </c>
      <c r="BG1821">
        <v>0</v>
      </c>
      <c r="BH1821">
        <v>1</v>
      </c>
      <c r="BI1821">
        <v>3</v>
      </c>
      <c r="BJ1821">
        <v>1.4</v>
      </c>
      <c r="BK1821">
        <v>3</v>
      </c>
      <c r="BL1821">
        <v>55.99</v>
      </c>
      <c r="BM1821">
        <v>8.4</v>
      </c>
      <c r="BN1821">
        <v>64.39</v>
      </c>
      <c r="BO1821">
        <v>64.39</v>
      </c>
      <c r="BQ1821" t="s">
        <v>1056</v>
      </c>
      <c r="BR1821" t="s">
        <v>84</v>
      </c>
      <c r="BS1821" s="3">
        <v>45883</v>
      </c>
      <c r="BT1821" s="4">
        <v>0.38124999999999998</v>
      </c>
      <c r="BU1821" t="s">
        <v>2477</v>
      </c>
      <c r="BV1821" t="s">
        <v>86</v>
      </c>
      <c r="BY1821">
        <v>7000</v>
      </c>
      <c r="CA1821" t="s">
        <v>461</v>
      </c>
      <c r="CC1821" t="s">
        <v>326</v>
      </c>
      <c r="CD1821">
        <v>2094</v>
      </c>
      <c r="CE1821" t="s">
        <v>147</v>
      </c>
      <c r="CF1821" s="3">
        <v>45883</v>
      </c>
      <c r="CI1821">
        <v>1</v>
      </c>
      <c r="CJ1821">
        <v>1</v>
      </c>
      <c r="CK1821">
        <v>22</v>
      </c>
      <c r="CL1821" t="s">
        <v>90</v>
      </c>
    </row>
    <row r="1822" spans="1:90" x14ac:dyDescent="0.3">
      <c r="A1822" t="s">
        <v>72</v>
      </c>
      <c r="B1822" t="s">
        <v>73</v>
      </c>
      <c r="C1822" t="s">
        <v>74</v>
      </c>
      <c r="E1822" t="str">
        <f>"080067219105"</f>
        <v>080067219105</v>
      </c>
      <c r="F1822" s="3">
        <v>45882</v>
      </c>
      <c r="G1822">
        <v>202605</v>
      </c>
      <c r="H1822" t="s">
        <v>75</v>
      </c>
      <c r="I1822" t="s">
        <v>76</v>
      </c>
      <c r="J1822" t="s">
        <v>77</v>
      </c>
      <c r="K1822" t="s">
        <v>78</v>
      </c>
      <c r="L1822" t="s">
        <v>1087</v>
      </c>
      <c r="M1822" t="s">
        <v>1088</v>
      </c>
      <c r="N1822" t="s">
        <v>1089</v>
      </c>
      <c r="O1822" t="s">
        <v>82</v>
      </c>
      <c r="P1822" t="str">
        <f>"4170054540                    "</f>
        <v xml:space="preserve">4170054540                    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0</v>
      </c>
      <c r="AQ1822">
        <v>44.73</v>
      </c>
      <c r="AR1822">
        <v>0</v>
      </c>
      <c r="AS1822">
        <v>0</v>
      </c>
      <c r="AT1822">
        <v>0</v>
      </c>
      <c r="AU1822">
        <v>0</v>
      </c>
      <c r="AV1822">
        <v>0</v>
      </c>
      <c r="AW1822">
        <v>0</v>
      </c>
      <c r="AX1822">
        <v>0</v>
      </c>
      <c r="AY1822">
        <v>0</v>
      </c>
      <c r="AZ1822">
        <v>0</v>
      </c>
      <c r="BA1822">
        <v>0</v>
      </c>
      <c r="BB1822">
        <v>0</v>
      </c>
      <c r="BC1822">
        <v>0</v>
      </c>
      <c r="BD1822">
        <v>0</v>
      </c>
      <c r="BE1822">
        <v>0</v>
      </c>
      <c r="BF1822">
        <v>0</v>
      </c>
      <c r="BG1822">
        <v>0</v>
      </c>
      <c r="BH1822">
        <v>1</v>
      </c>
      <c r="BI1822">
        <v>1</v>
      </c>
      <c r="BJ1822">
        <v>1.1000000000000001</v>
      </c>
      <c r="BK1822">
        <v>1.5</v>
      </c>
      <c r="BL1822">
        <v>138.88999999999999</v>
      </c>
      <c r="BM1822">
        <v>20.83</v>
      </c>
      <c r="BN1822">
        <v>159.72</v>
      </c>
      <c r="BO1822">
        <v>159.72</v>
      </c>
      <c r="BQ1822" t="s">
        <v>1090</v>
      </c>
      <c r="BR1822" t="s">
        <v>84</v>
      </c>
      <c r="BS1822" s="3">
        <v>45883</v>
      </c>
      <c r="BT1822" s="4">
        <v>0.59027777777777779</v>
      </c>
      <c r="BU1822" t="s">
        <v>1091</v>
      </c>
      <c r="BV1822" t="s">
        <v>86</v>
      </c>
      <c r="BY1822">
        <v>5320</v>
      </c>
      <c r="CA1822" t="s">
        <v>1092</v>
      </c>
      <c r="CC1822" t="s">
        <v>1088</v>
      </c>
      <c r="CD1822">
        <v>6500</v>
      </c>
      <c r="CE1822" t="s">
        <v>147</v>
      </c>
      <c r="CF1822" s="3">
        <v>45883</v>
      </c>
      <c r="CI1822">
        <v>1</v>
      </c>
      <c r="CJ1822">
        <v>1</v>
      </c>
      <c r="CK1822">
        <v>23</v>
      </c>
      <c r="CL1822" t="s">
        <v>90</v>
      </c>
    </row>
    <row r="1823" spans="1:90" x14ac:dyDescent="0.3">
      <c r="A1823" t="s">
        <v>72</v>
      </c>
      <c r="B1823" t="s">
        <v>73</v>
      </c>
      <c r="C1823" t="s">
        <v>74</v>
      </c>
      <c r="E1823" t="str">
        <f>"080067219156"</f>
        <v>080067219156</v>
      </c>
      <c r="F1823" s="3">
        <v>45882</v>
      </c>
      <c r="G1823">
        <v>202605</v>
      </c>
      <c r="H1823" t="s">
        <v>75</v>
      </c>
      <c r="I1823" t="s">
        <v>76</v>
      </c>
      <c r="J1823" t="s">
        <v>77</v>
      </c>
      <c r="K1823" t="s">
        <v>78</v>
      </c>
      <c r="L1823" t="s">
        <v>1157</v>
      </c>
      <c r="M1823" t="s">
        <v>1158</v>
      </c>
      <c r="N1823" t="s">
        <v>1159</v>
      </c>
      <c r="O1823" t="s">
        <v>82</v>
      </c>
      <c r="P1823" t="str">
        <f>"4170054512                    "</f>
        <v xml:space="preserve">4170054512                    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0</v>
      </c>
      <c r="AQ1823">
        <v>64.92</v>
      </c>
      <c r="AR1823">
        <v>0</v>
      </c>
      <c r="AS1823">
        <v>0</v>
      </c>
      <c r="AT1823">
        <v>0</v>
      </c>
      <c r="AU1823">
        <v>0</v>
      </c>
      <c r="AV1823">
        <v>0</v>
      </c>
      <c r="AW1823">
        <v>0</v>
      </c>
      <c r="AX1823">
        <v>0</v>
      </c>
      <c r="AY1823">
        <v>0</v>
      </c>
      <c r="AZ1823">
        <v>0</v>
      </c>
      <c r="BA1823">
        <v>0</v>
      </c>
      <c r="BB1823">
        <v>0</v>
      </c>
      <c r="BC1823">
        <v>0</v>
      </c>
      <c r="BD1823">
        <v>0</v>
      </c>
      <c r="BE1823">
        <v>0</v>
      </c>
      <c r="BF1823">
        <v>0</v>
      </c>
      <c r="BG1823">
        <v>0</v>
      </c>
      <c r="BH1823">
        <v>1</v>
      </c>
      <c r="BI1823">
        <v>3</v>
      </c>
      <c r="BJ1823">
        <v>1.7</v>
      </c>
      <c r="BK1823">
        <v>3</v>
      </c>
      <c r="BL1823">
        <v>201.6</v>
      </c>
      <c r="BM1823">
        <v>30.24</v>
      </c>
      <c r="BN1823">
        <v>231.84</v>
      </c>
      <c r="BO1823">
        <v>231.84</v>
      </c>
      <c r="BQ1823" t="s">
        <v>1160</v>
      </c>
      <c r="BR1823" t="s">
        <v>84</v>
      </c>
      <c r="BS1823" s="3">
        <v>45883</v>
      </c>
      <c r="BT1823" s="4">
        <v>0.43402777777777779</v>
      </c>
      <c r="BU1823" t="s">
        <v>1161</v>
      </c>
      <c r="BV1823" t="s">
        <v>86</v>
      </c>
      <c r="BY1823">
        <v>8512</v>
      </c>
      <c r="CA1823" t="s">
        <v>1654</v>
      </c>
      <c r="CC1823" t="s">
        <v>1158</v>
      </c>
      <c r="CD1823">
        <v>2302</v>
      </c>
      <c r="CE1823" t="s">
        <v>147</v>
      </c>
      <c r="CF1823" s="3">
        <v>45884</v>
      </c>
      <c r="CI1823">
        <v>1</v>
      </c>
      <c r="CJ1823">
        <v>1</v>
      </c>
      <c r="CK1823">
        <v>23</v>
      </c>
      <c r="CL1823" t="s">
        <v>90</v>
      </c>
    </row>
    <row r="1824" spans="1:90" x14ac:dyDescent="0.3">
      <c r="A1824" t="s">
        <v>72</v>
      </c>
      <c r="B1824" t="s">
        <v>73</v>
      </c>
      <c r="C1824" t="s">
        <v>74</v>
      </c>
      <c r="E1824" t="str">
        <f>"080067219212"</f>
        <v>080067219212</v>
      </c>
      <c r="F1824" s="3">
        <v>45882</v>
      </c>
      <c r="G1824">
        <v>202605</v>
      </c>
      <c r="H1824" t="s">
        <v>75</v>
      </c>
      <c r="I1824" t="s">
        <v>76</v>
      </c>
      <c r="J1824" t="s">
        <v>77</v>
      </c>
      <c r="K1824" t="s">
        <v>78</v>
      </c>
      <c r="L1824" t="s">
        <v>234</v>
      </c>
      <c r="M1824" t="s">
        <v>235</v>
      </c>
      <c r="N1824" t="s">
        <v>821</v>
      </c>
      <c r="O1824" t="s">
        <v>82</v>
      </c>
      <c r="P1824" t="str">
        <f>"4170054646                    "</f>
        <v xml:space="preserve">4170054646                    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0</v>
      </c>
      <c r="AQ1824">
        <v>23.09</v>
      </c>
      <c r="AR1824">
        <v>0</v>
      </c>
      <c r="AS1824">
        <v>0</v>
      </c>
      <c r="AT1824">
        <v>0</v>
      </c>
      <c r="AU1824">
        <v>0</v>
      </c>
      <c r="AV1824">
        <v>0</v>
      </c>
      <c r="AW1824">
        <v>0</v>
      </c>
      <c r="AX1824">
        <v>0</v>
      </c>
      <c r="AY1824">
        <v>0</v>
      </c>
      <c r="AZ1824">
        <v>0</v>
      </c>
      <c r="BA1824">
        <v>0</v>
      </c>
      <c r="BB1824">
        <v>0</v>
      </c>
      <c r="BC1824">
        <v>0</v>
      </c>
      <c r="BD1824">
        <v>0</v>
      </c>
      <c r="BE1824">
        <v>0</v>
      </c>
      <c r="BF1824">
        <v>0</v>
      </c>
      <c r="BG1824">
        <v>0</v>
      </c>
      <c r="BH1824">
        <v>1</v>
      </c>
      <c r="BI1824">
        <v>1</v>
      </c>
      <c r="BJ1824">
        <v>1.1000000000000001</v>
      </c>
      <c r="BK1824">
        <v>1.5</v>
      </c>
      <c r="BL1824">
        <v>71.69</v>
      </c>
      <c r="BM1824">
        <v>10.75</v>
      </c>
      <c r="BN1824">
        <v>82.44</v>
      </c>
      <c r="BO1824">
        <v>82.44</v>
      </c>
      <c r="BQ1824" t="s">
        <v>822</v>
      </c>
      <c r="BR1824" t="s">
        <v>84</v>
      </c>
      <c r="BS1824" s="3">
        <v>45883</v>
      </c>
      <c r="BT1824" s="4">
        <v>0.36041666666666666</v>
      </c>
      <c r="BU1824" t="s">
        <v>2316</v>
      </c>
      <c r="BV1824" t="s">
        <v>86</v>
      </c>
      <c r="BY1824">
        <v>5320</v>
      </c>
      <c r="CA1824" t="s">
        <v>824</v>
      </c>
      <c r="CC1824" t="s">
        <v>235</v>
      </c>
      <c r="CD1824" s="5" t="s">
        <v>240</v>
      </c>
      <c r="CE1824" t="s">
        <v>147</v>
      </c>
      <c r="CF1824" s="3">
        <v>45883</v>
      </c>
      <c r="CI1824">
        <v>1</v>
      </c>
      <c r="CJ1824">
        <v>1</v>
      </c>
      <c r="CK1824">
        <v>21</v>
      </c>
      <c r="CL1824" t="s">
        <v>90</v>
      </c>
    </row>
    <row r="1825" spans="1:90" x14ac:dyDescent="0.3">
      <c r="A1825" t="s">
        <v>72</v>
      </c>
      <c r="B1825" t="s">
        <v>73</v>
      </c>
      <c r="C1825" t="s">
        <v>74</v>
      </c>
      <c r="E1825" t="str">
        <f>"080067219214"</f>
        <v>080067219214</v>
      </c>
      <c r="F1825" s="3">
        <v>45882</v>
      </c>
      <c r="G1825">
        <v>202605</v>
      </c>
      <c r="H1825" t="s">
        <v>75</v>
      </c>
      <c r="I1825" t="s">
        <v>76</v>
      </c>
      <c r="J1825" t="s">
        <v>77</v>
      </c>
      <c r="K1825" t="s">
        <v>78</v>
      </c>
      <c r="L1825" t="s">
        <v>452</v>
      </c>
      <c r="M1825" t="s">
        <v>453</v>
      </c>
      <c r="N1825" t="s">
        <v>454</v>
      </c>
      <c r="O1825" t="s">
        <v>82</v>
      </c>
      <c r="P1825" t="str">
        <f>"4170054630                    "</f>
        <v xml:space="preserve">4170054630                    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Q1825">
        <v>44.73</v>
      </c>
      <c r="AR1825">
        <v>0</v>
      </c>
      <c r="AS1825">
        <v>0</v>
      </c>
      <c r="AT1825">
        <v>0</v>
      </c>
      <c r="AU1825">
        <v>0</v>
      </c>
      <c r="AV1825">
        <v>0</v>
      </c>
      <c r="AW1825">
        <v>0</v>
      </c>
      <c r="AX1825">
        <v>0</v>
      </c>
      <c r="AY1825">
        <v>0</v>
      </c>
      <c r="AZ1825">
        <v>0</v>
      </c>
      <c r="BA1825">
        <v>0</v>
      </c>
      <c r="BB1825">
        <v>0</v>
      </c>
      <c r="BC1825">
        <v>0</v>
      </c>
      <c r="BD1825">
        <v>0</v>
      </c>
      <c r="BE1825">
        <v>0</v>
      </c>
      <c r="BF1825">
        <v>0</v>
      </c>
      <c r="BG1825">
        <v>0</v>
      </c>
      <c r="BH1825">
        <v>1</v>
      </c>
      <c r="BI1825">
        <v>2</v>
      </c>
      <c r="BJ1825">
        <v>1.1000000000000001</v>
      </c>
      <c r="BK1825">
        <v>2</v>
      </c>
      <c r="BL1825">
        <v>138.88999999999999</v>
      </c>
      <c r="BM1825">
        <v>20.83</v>
      </c>
      <c r="BN1825">
        <v>159.72</v>
      </c>
      <c r="BO1825">
        <v>159.72</v>
      </c>
      <c r="BQ1825" t="s">
        <v>455</v>
      </c>
      <c r="BR1825" t="s">
        <v>84</v>
      </c>
      <c r="BS1825" s="3">
        <v>45883</v>
      </c>
      <c r="BT1825" s="4">
        <v>0.37986111111111109</v>
      </c>
      <c r="BU1825" t="s">
        <v>483</v>
      </c>
      <c r="BV1825" t="s">
        <v>86</v>
      </c>
      <c r="BY1825">
        <v>5320</v>
      </c>
      <c r="CA1825" t="s">
        <v>1093</v>
      </c>
      <c r="CC1825" t="s">
        <v>453</v>
      </c>
      <c r="CD1825">
        <v>1947</v>
      </c>
      <c r="CE1825" t="s">
        <v>147</v>
      </c>
      <c r="CF1825" s="3">
        <v>45884</v>
      </c>
      <c r="CI1825">
        <v>1</v>
      </c>
      <c r="CJ1825">
        <v>1</v>
      </c>
      <c r="CK1825">
        <v>23</v>
      </c>
      <c r="CL1825" t="s">
        <v>90</v>
      </c>
    </row>
    <row r="1826" spans="1:90" x14ac:dyDescent="0.3">
      <c r="A1826" t="s">
        <v>72</v>
      </c>
      <c r="B1826" t="s">
        <v>73</v>
      </c>
      <c r="C1826" t="s">
        <v>74</v>
      </c>
      <c r="E1826" t="str">
        <f>"080067219237"</f>
        <v>080067219237</v>
      </c>
      <c r="F1826" s="3">
        <v>45882</v>
      </c>
      <c r="G1826">
        <v>202605</v>
      </c>
      <c r="H1826" t="s">
        <v>75</v>
      </c>
      <c r="I1826" t="s">
        <v>76</v>
      </c>
      <c r="J1826" t="s">
        <v>77</v>
      </c>
      <c r="K1826" t="s">
        <v>78</v>
      </c>
      <c r="L1826" t="s">
        <v>223</v>
      </c>
      <c r="M1826" t="s">
        <v>224</v>
      </c>
      <c r="N1826" t="s">
        <v>939</v>
      </c>
      <c r="O1826" t="s">
        <v>82</v>
      </c>
      <c r="P1826" t="str">
        <f>"4170054618                    "</f>
        <v xml:space="preserve">4170054618                    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Q1826">
        <v>23.09</v>
      </c>
      <c r="AR1826">
        <v>0</v>
      </c>
      <c r="AS1826">
        <v>0</v>
      </c>
      <c r="AT1826">
        <v>0</v>
      </c>
      <c r="AU1826">
        <v>0</v>
      </c>
      <c r="AV1826">
        <v>0</v>
      </c>
      <c r="AW1826">
        <v>0</v>
      </c>
      <c r="AX1826">
        <v>0</v>
      </c>
      <c r="AY1826">
        <v>0</v>
      </c>
      <c r="AZ1826">
        <v>0</v>
      </c>
      <c r="BA1826">
        <v>0</v>
      </c>
      <c r="BB1826">
        <v>0</v>
      </c>
      <c r="BC1826">
        <v>0</v>
      </c>
      <c r="BD1826">
        <v>0</v>
      </c>
      <c r="BE1826">
        <v>0</v>
      </c>
      <c r="BF1826">
        <v>0</v>
      </c>
      <c r="BG1826">
        <v>0</v>
      </c>
      <c r="BH1826">
        <v>1</v>
      </c>
      <c r="BI1826">
        <v>1</v>
      </c>
      <c r="BJ1826">
        <v>0.2</v>
      </c>
      <c r="BK1826">
        <v>1</v>
      </c>
      <c r="BL1826">
        <v>71.69</v>
      </c>
      <c r="BM1826">
        <v>10.75</v>
      </c>
      <c r="BN1826">
        <v>82.44</v>
      </c>
      <c r="BO1826">
        <v>82.44</v>
      </c>
      <c r="BQ1826" t="s">
        <v>940</v>
      </c>
      <c r="BR1826" t="s">
        <v>84</v>
      </c>
      <c r="BS1826" s="3">
        <v>45883</v>
      </c>
      <c r="BT1826" s="4">
        <v>0.47569444444444442</v>
      </c>
      <c r="BU1826" t="s">
        <v>2478</v>
      </c>
      <c r="BV1826" t="s">
        <v>90</v>
      </c>
      <c r="BY1826">
        <v>1200</v>
      </c>
      <c r="CA1826" t="s">
        <v>228</v>
      </c>
      <c r="CC1826" t="s">
        <v>224</v>
      </c>
      <c r="CD1826">
        <v>5201</v>
      </c>
      <c r="CE1826" t="s">
        <v>290</v>
      </c>
      <c r="CF1826" s="3">
        <v>45884</v>
      </c>
      <c r="CI1826">
        <v>1</v>
      </c>
      <c r="CJ1826">
        <v>1</v>
      </c>
      <c r="CK1826">
        <v>21</v>
      </c>
      <c r="CL1826" t="s">
        <v>90</v>
      </c>
    </row>
    <row r="1827" spans="1:90" x14ac:dyDescent="0.3">
      <c r="A1827" t="s">
        <v>72</v>
      </c>
      <c r="B1827" t="s">
        <v>73</v>
      </c>
      <c r="C1827" t="s">
        <v>74</v>
      </c>
      <c r="E1827" t="str">
        <f>"080067219241"</f>
        <v>080067219241</v>
      </c>
      <c r="F1827" s="3">
        <v>45882</v>
      </c>
      <c r="G1827">
        <v>202605</v>
      </c>
      <c r="H1827" t="s">
        <v>75</v>
      </c>
      <c r="I1827" t="s">
        <v>76</v>
      </c>
      <c r="J1827" t="s">
        <v>77</v>
      </c>
      <c r="K1827" t="s">
        <v>78</v>
      </c>
      <c r="L1827" t="s">
        <v>325</v>
      </c>
      <c r="M1827" t="s">
        <v>326</v>
      </c>
      <c r="N1827" t="s">
        <v>1055</v>
      </c>
      <c r="O1827" t="s">
        <v>82</v>
      </c>
      <c r="P1827" t="str">
        <f>"4170054681                    "</f>
        <v xml:space="preserve">4170054681                    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  <c r="AL1827">
        <v>0</v>
      </c>
      <c r="AM1827">
        <v>0</v>
      </c>
      <c r="AN1827">
        <v>0</v>
      </c>
      <c r="AO1827">
        <v>0</v>
      </c>
      <c r="AP1827">
        <v>0</v>
      </c>
      <c r="AQ1827">
        <v>18.03</v>
      </c>
      <c r="AR1827">
        <v>0</v>
      </c>
      <c r="AS1827">
        <v>0</v>
      </c>
      <c r="AT1827">
        <v>0</v>
      </c>
      <c r="AU1827">
        <v>0</v>
      </c>
      <c r="AV1827">
        <v>0</v>
      </c>
      <c r="AW1827">
        <v>0</v>
      </c>
      <c r="AX1827">
        <v>0</v>
      </c>
      <c r="AY1827">
        <v>0</v>
      </c>
      <c r="AZ1827">
        <v>0</v>
      </c>
      <c r="BA1827">
        <v>0</v>
      </c>
      <c r="BB1827">
        <v>0</v>
      </c>
      <c r="BC1827">
        <v>0</v>
      </c>
      <c r="BD1827">
        <v>0</v>
      </c>
      <c r="BE1827">
        <v>0</v>
      </c>
      <c r="BF1827">
        <v>0</v>
      </c>
      <c r="BG1827">
        <v>0</v>
      </c>
      <c r="BH1827">
        <v>1</v>
      </c>
      <c r="BI1827">
        <v>1</v>
      </c>
      <c r="BJ1827">
        <v>1.1000000000000001</v>
      </c>
      <c r="BK1827">
        <v>2</v>
      </c>
      <c r="BL1827">
        <v>55.99</v>
      </c>
      <c r="BM1827">
        <v>8.4</v>
      </c>
      <c r="BN1827">
        <v>64.39</v>
      </c>
      <c r="BO1827">
        <v>64.39</v>
      </c>
      <c r="BQ1827" t="s">
        <v>1056</v>
      </c>
      <c r="BR1827" t="s">
        <v>84</v>
      </c>
      <c r="BS1827" s="3">
        <v>45883</v>
      </c>
      <c r="BT1827" s="4">
        <v>0.38124999999999998</v>
      </c>
      <c r="BU1827" t="s">
        <v>2477</v>
      </c>
      <c r="BV1827" t="s">
        <v>86</v>
      </c>
      <c r="BY1827">
        <v>5320</v>
      </c>
      <c r="CA1827" t="s">
        <v>461</v>
      </c>
      <c r="CC1827" t="s">
        <v>326</v>
      </c>
      <c r="CD1827">
        <v>2094</v>
      </c>
      <c r="CE1827" t="s">
        <v>147</v>
      </c>
      <c r="CF1827" s="3">
        <v>45883</v>
      </c>
      <c r="CI1827">
        <v>1</v>
      </c>
      <c r="CJ1827">
        <v>1</v>
      </c>
      <c r="CK1827">
        <v>22</v>
      </c>
      <c r="CL1827" t="s">
        <v>90</v>
      </c>
    </row>
    <row r="1828" spans="1:90" x14ac:dyDescent="0.3">
      <c r="A1828" t="s">
        <v>72</v>
      </c>
      <c r="B1828" t="s">
        <v>73</v>
      </c>
      <c r="C1828" t="s">
        <v>74</v>
      </c>
      <c r="E1828" t="str">
        <f>"080067219305"</f>
        <v>080067219305</v>
      </c>
      <c r="F1828" s="3">
        <v>45882</v>
      </c>
      <c r="G1828">
        <v>202605</v>
      </c>
      <c r="H1828" t="s">
        <v>75</v>
      </c>
      <c r="I1828" t="s">
        <v>76</v>
      </c>
      <c r="J1828" t="s">
        <v>77</v>
      </c>
      <c r="K1828" t="s">
        <v>78</v>
      </c>
      <c r="L1828" t="s">
        <v>79</v>
      </c>
      <c r="M1828" t="s">
        <v>80</v>
      </c>
      <c r="N1828" t="s">
        <v>2479</v>
      </c>
      <c r="O1828" t="s">
        <v>82</v>
      </c>
      <c r="P1828" t="str">
        <f>"4170054500                    "</f>
        <v xml:space="preserve">4170054500                    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Q1828">
        <v>18.03</v>
      </c>
      <c r="AR1828">
        <v>0</v>
      </c>
      <c r="AS1828">
        <v>0</v>
      </c>
      <c r="AT1828">
        <v>0</v>
      </c>
      <c r="AU1828">
        <v>0</v>
      </c>
      <c r="AV1828">
        <v>0</v>
      </c>
      <c r="AW1828">
        <v>0</v>
      </c>
      <c r="AX1828">
        <v>0</v>
      </c>
      <c r="AY1828">
        <v>0</v>
      </c>
      <c r="AZ1828">
        <v>0</v>
      </c>
      <c r="BA1828">
        <v>0</v>
      </c>
      <c r="BB1828">
        <v>0</v>
      </c>
      <c r="BC1828">
        <v>0</v>
      </c>
      <c r="BD1828">
        <v>0</v>
      </c>
      <c r="BE1828">
        <v>0</v>
      </c>
      <c r="BF1828">
        <v>0</v>
      </c>
      <c r="BG1828">
        <v>0</v>
      </c>
      <c r="BH1828">
        <v>1</v>
      </c>
      <c r="BI1828">
        <v>4</v>
      </c>
      <c r="BJ1828">
        <v>5.2</v>
      </c>
      <c r="BK1828">
        <v>6</v>
      </c>
      <c r="BL1828">
        <v>55.99</v>
      </c>
      <c r="BM1828">
        <v>8.4</v>
      </c>
      <c r="BN1828">
        <v>64.39</v>
      </c>
      <c r="BO1828">
        <v>64.39</v>
      </c>
      <c r="BQ1828" t="s">
        <v>2480</v>
      </c>
      <c r="BR1828" t="s">
        <v>84</v>
      </c>
      <c r="BS1828" s="3">
        <v>45883</v>
      </c>
      <c r="BT1828" s="4">
        <v>0.31666666666666665</v>
      </c>
      <c r="BU1828" t="s">
        <v>2481</v>
      </c>
      <c r="BV1828" t="s">
        <v>86</v>
      </c>
      <c r="BY1828">
        <v>26013</v>
      </c>
      <c r="CA1828" t="s">
        <v>2482</v>
      </c>
      <c r="CC1828" t="s">
        <v>80</v>
      </c>
      <c r="CD1828">
        <v>1401</v>
      </c>
      <c r="CE1828" t="s">
        <v>147</v>
      </c>
      <c r="CF1828" s="3">
        <v>45883</v>
      </c>
      <c r="CI1828">
        <v>1</v>
      </c>
      <c r="CJ1828">
        <v>1</v>
      </c>
      <c r="CK1828">
        <v>22</v>
      </c>
      <c r="CL1828" t="s">
        <v>90</v>
      </c>
    </row>
    <row r="1829" spans="1:90" x14ac:dyDescent="0.3">
      <c r="A1829" t="s">
        <v>72</v>
      </c>
      <c r="B1829" t="s">
        <v>73</v>
      </c>
      <c r="C1829" t="s">
        <v>74</v>
      </c>
      <c r="E1829" t="str">
        <f>"080067219308"</f>
        <v>080067219308</v>
      </c>
      <c r="F1829" s="3">
        <v>45882</v>
      </c>
      <c r="G1829">
        <v>202605</v>
      </c>
      <c r="H1829" t="s">
        <v>75</v>
      </c>
      <c r="I1829" t="s">
        <v>76</v>
      </c>
      <c r="J1829" t="s">
        <v>77</v>
      </c>
      <c r="K1829" t="s">
        <v>78</v>
      </c>
      <c r="L1829" t="s">
        <v>278</v>
      </c>
      <c r="M1829" t="s">
        <v>279</v>
      </c>
      <c r="N1829" t="s">
        <v>2483</v>
      </c>
      <c r="O1829" t="s">
        <v>82</v>
      </c>
      <c r="P1829" t="str">
        <f>"4170054602                    "</f>
        <v xml:space="preserve">4170054602                    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0</v>
      </c>
      <c r="AN1829">
        <v>0</v>
      </c>
      <c r="AO1829">
        <v>0</v>
      </c>
      <c r="AP1829">
        <v>0</v>
      </c>
      <c r="AQ1829">
        <v>23.09</v>
      </c>
      <c r="AR1829">
        <v>0</v>
      </c>
      <c r="AS1829">
        <v>0</v>
      </c>
      <c r="AT1829">
        <v>0</v>
      </c>
      <c r="AU1829">
        <v>0</v>
      </c>
      <c r="AV1829">
        <v>0</v>
      </c>
      <c r="AW1829">
        <v>0</v>
      </c>
      <c r="AX1829">
        <v>0</v>
      </c>
      <c r="AY1829">
        <v>0</v>
      </c>
      <c r="AZ1829">
        <v>0</v>
      </c>
      <c r="BA1829">
        <v>0</v>
      </c>
      <c r="BB1829">
        <v>0</v>
      </c>
      <c r="BC1829">
        <v>0</v>
      </c>
      <c r="BD1829">
        <v>0</v>
      </c>
      <c r="BE1829">
        <v>0</v>
      </c>
      <c r="BF1829">
        <v>0</v>
      </c>
      <c r="BG1829">
        <v>0</v>
      </c>
      <c r="BH1829">
        <v>1</v>
      </c>
      <c r="BI1829">
        <v>1</v>
      </c>
      <c r="BJ1829">
        <v>0.2</v>
      </c>
      <c r="BK1829">
        <v>1</v>
      </c>
      <c r="BL1829">
        <v>71.69</v>
      </c>
      <c r="BM1829">
        <v>10.75</v>
      </c>
      <c r="BN1829">
        <v>82.44</v>
      </c>
      <c r="BO1829">
        <v>82.44</v>
      </c>
      <c r="BQ1829" t="s">
        <v>2484</v>
      </c>
      <c r="BR1829" t="s">
        <v>84</v>
      </c>
      <c r="BS1829" s="3">
        <v>45883</v>
      </c>
      <c r="BT1829" s="4">
        <v>0.45208333333333334</v>
      </c>
      <c r="BU1829" t="s">
        <v>2485</v>
      </c>
      <c r="BV1829" t="s">
        <v>90</v>
      </c>
      <c r="BW1829" t="s">
        <v>380</v>
      </c>
      <c r="BX1829" t="s">
        <v>644</v>
      </c>
      <c r="BY1829">
        <v>1200</v>
      </c>
      <c r="CA1829" t="s">
        <v>532</v>
      </c>
      <c r="CC1829" t="s">
        <v>279</v>
      </c>
      <c r="CD1829" s="5" t="s">
        <v>533</v>
      </c>
      <c r="CE1829" t="s">
        <v>290</v>
      </c>
      <c r="CF1829" s="3">
        <v>45883</v>
      </c>
      <c r="CI1829">
        <v>1</v>
      </c>
      <c r="CJ1829">
        <v>1</v>
      </c>
      <c r="CK1829">
        <v>21</v>
      </c>
      <c r="CL1829" t="s">
        <v>90</v>
      </c>
    </row>
    <row r="1830" spans="1:90" x14ac:dyDescent="0.3">
      <c r="A1830" t="s">
        <v>72</v>
      </c>
      <c r="B1830" t="s">
        <v>73</v>
      </c>
      <c r="C1830" t="s">
        <v>74</v>
      </c>
      <c r="E1830" t="str">
        <f>"080067219362"</f>
        <v>080067219362</v>
      </c>
      <c r="F1830" s="3">
        <v>45882</v>
      </c>
      <c r="G1830">
        <v>202605</v>
      </c>
      <c r="H1830" t="s">
        <v>75</v>
      </c>
      <c r="I1830" t="s">
        <v>76</v>
      </c>
      <c r="J1830" t="s">
        <v>77</v>
      </c>
      <c r="K1830" t="s">
        <v>78</v>
      </c>
      <c r="L1830" t="s">
        <v>162</v>
      </c>
      <c r="M1830" t="s">
        <v>163</v>
      </c>
      <c r="N1830" t="s">
        <v>2486</v>
      </c>
      <c r="O1830" t="s">
        <v>82</v>
      </c>
      <c r="P1830" t="str">
        <f>"4170054582                    "</f>
        <v xml:space="preserve">4170054582                    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Q1830">
        <v>149.94999999999999</v>
      </c>
      <c r="AR1830">
        <v>0</v>
      </c>
      <c r="AS1830">
        <v>0</v>
      </c>
      <c r="AT1830">
        <v>0</v>
      </c>
      <c r="AU1830">
        <v>0</v>
      </c>
      <c r="AV1830">
        <v>0</v>
      </c>
      <c r="AW1830">
        <v>0</v>
      </c>
      <c r="AX1830">
        <v>0</v>
      </c>
      <c r="AY1830">
        <v>0</v>
      </c>
      <c r="AZ1830">
        <v>0</v>
      </c>
      <c r="BA1830">
        <v>0</v>
      </c>
      <c r="BB1830">
        <v>0</v>
      </c>
      <c r="BC1830">
        <v>0</v>
      </c>
      <c r="BD1830">
        <v>0</v>
      </c>
      <c r="BE1830">
        <v>0</v>
      </c>
      <c r="BF1830">
        <v>0</v>
      </c>
      <c r="BG1830">
        <v>0</v>
      </c>
      <c r="BH1830">
        <v>1</v>
      </c>
      <c r="BI1830">
        <v>13</v>
      </c>
      <c r="BJ1830">
        <v>9.1</v>
      </c>
      <c r="BK1830">
        <v>13</v>
      </c>
      <c r="BL1830">
        <v>465.63</v>
      </c>
      <c r="BM1830">
        <v>69.84</v>
      </c>
      <c r="BN1830">
        <v>535.47</v>
      </c>
      <c r="BO1830">
        <v>535.47</v>
      </c>
      <c r="BQ1830" t="s">
        <v>2487</v>
      </c>
      <c r="BR1830" t="s">
        <v>84</v>
      </c>
      <c r="BS1830" s="3">
        <v>45883</v>
      </c>
      <c r="BT1830" s="4">
        <v>0.41666666666666669</v>
      </c>
      <c r="BU1830" t="s">
        <v>2456</v>
      </c>
      <c r="BV1830" t="s">
        <v>86</v>
      </c>
      <c r="BY1830">
        <v>45632</v>
      </c>
      <c r="CC1830" t="s">
        <v>163</v>
      </c>
      <c r="CD1830">
        <v>3201</v>
      </c>
      <c r="CE1830" t="s">
        <v>147</v>
      </c>
      <c r="CF1830" s="3">
        <v>45884</v>
      </c>
      <c r="CI1830">
        <v>1</v>
      </c>
      <c r="CJ1830">
        <v>1</v>
      </c>
      <c r="CK1830">
        <v>21</v>
      </c>
      <c r="CL1830" t="s">
        <v>90</v>
      </c>
    </row>
    <row r="1831" spans="1:90" x14ac:dyDescent="0.3">
      <c r="A1831" t="s">
        <v>72</v>
      </c>
      <c r="B1831" t="s">
        <v>73</v>
      </c>
      <c r="C1831" t="s">
        <v>74</v>
      </c>
      <c r="E1831" t="str">
        <f>"080067219360"</f>
        <v>080067219360</v>
      </c>
      <c r="F1831" s="3">
        <v>45882</v>
      </c>
      <c r="G1831">
        <v>202605</v>
      </c>
      <c r="H1831" t="s">
        <v>75</v>
      </c>
      <c r="I1831" t="s">
        <v>76</v>
      </c>
      <c r="J1831" t="s">
        <v>77</v>
      </c>
      <c r="K1831" t="s">
        <v>78</v>
      </c>
      <c r="L1831" t="s">
        <v>198</v>
      </c>
      <c r="M1831" t="s">
        <v>199</v>
      </c>
      <c r="N1831" t="s">
        <v>1933</v>
      </c>
      <c r="O1831" t="s">
        <v>82</v>
      </c>
      <c r="P1831" t="str">
        <f>"4170054555                    "</f>
        <v xml:space="preserve">4170054555                    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  <c r="AL1831">
        <v>0</v>
      </c>
      <c r="AM1831">
        <v>0</v>
      </c>
      <c r="AN1831">
        <v>0</v>
      </c>
      <c r="AO1831">
        <v>0</v>
      </c>
      <c r="AP1831">
        <v>0</v>
      </c>
      <c r="AQ1831">
        <v>23.09</v>
      </c>
      <c r="AR1831">
        <v>0</v>
      </c>
      <c r="AS1831">
        <v>0</v>
      </c>
      <c r="AT1831">
        <v>0</v>
      </c>
      <c r="AU1831">
        <v>0</v>
      </c>
      <c r="AV1831">
        <v>0</v>
      </c>
      <c r="AW1831">
        <v>0</v>
      </c>
      <c r="AX1831">
        <v>0</v>
      </c>
      <c r="AY1831">
        <v>0</v>
      </c>
      <c r="AZ1831">
        <v>0</v>
      </c>
      <c r="BA1831">
        <v>0</v>
      </c>
      <c r="BB1831">
        <v>0</v>
      </c>
      <c r="BC1831">
        <v>0</v>
      </c>
      <c r="BD1831">
        <v>0</v>
      </c>
      <c r="BE1831">
        <v>0</v>
      </c>
      <c r="BF1831">
        <v>0</v>
      </c>
      <c r="BG1831">
        <v>0</v>
      </c>
      <c r="BH1831">
        <v>1</v>
      </c>
      <c r="BI1831">
        <v>1</v>
      </c>
      <c r="BJ1831">
        <v>0.2</v>
      </c>
      <c r="BK1831">
        <v>1</v>
      </c>
      <c r="BL1831">
        <v>71.69</v>
      </c>
      <c r="BM1831">
        <v>10.75</v>
      </c>
      <c r="BN1831">
        <v>82.44</v>
      </c>
      <c r="BO1831">
        <v>82.44</v>
      </c>
      <c r="BQ1831" t="s">
        <v>1934</v>
      </c>
      <c r="BR1831" t="s">
        <v>84</v>
      </c>
      <c r="BS1831" s="3">
        <v>45883</v>
      </c>
      <c r="BT1831" s="4">
        <v>0.39166666666666666</v>
      </c>
      <c r="BU1831" t="s">
        <v>2488</v>
      </c>
      <c r="BV1831" t="s">
        <v>86</v>
      </c>
      <c r="BY1831">
        <v>1200</v>
      </c>
      <c r="CA1831" t="s">
        <v>1570</v>
      </c>
      <c r="CC1831" t="s">
        <v>199</v>
      </c>
      <c r="CD1831">
        <v>6001</v>
      </c>
      <c r="CE1831" t="s">
        <v>109</v>
      </c>
      <c r="CF1831" s="3">
        <v>45883</v>
      </c>
      <c r="CI1831">
        <v>1</v>
      </c>
      <c r="CJ1831">
        <v>1</v>
      </c>
      <c r="CK1831">
        <v>21</v>
      </c>
      <c r="CL1831" t="s">
        <v>90</v>
      </c>
    </row>
    <row r="1832" spans="1:90" x14ac:dyDescent="0.3">
      <c r="A1832" t="s">
        <v>72</v>
      </c>
      <c r="B1832" t="s">
        <v>73</v>
      </c>
      <c r="C1832" t="s">
        <v>74</v>
      </c>
      <c r="E1832" t="str">
        <f>"080067219403"</f>
        <v>080067219403</v>
      </c>
      <c r="F1832" s="3">
        <v>45882</v>
      </c>
      <c r="G1832">
        <v>202605</v>
      </c>
      <c r="H1832" t="s">
        <v>75</v>
      </c>
      <c r="I1832" t="s">
        <v>76</v>
      </c>
      <c r="J1832" t="s">
        <v>77</v>
      </c>
      <c r="K1832" t="s">
        <v>78</v>
      </c>
      <c r="L1832" t="s">
        <v>373</v>
      </c>
      <c r="M1832" t="s">
        <v>374</v>
      </c>
      <c r="N1832" t="s">
        <v>1084</v>
      </c>
      <c r="O1832" t="s">
        <v>82</v>
      </c>
      <c r="P1832" t="str">
        <f>"4170054558                    "</f>
        <v xml:space="preserve">4170054558                    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0</v>
      </c>
      <c r="AQ1832">
        <v>23.09</v>
      </c>
      <c r="AR1832">
        <v>0</v>
      </c>
      <c r="AS1832">
        <v>0</v>
      </c>
      <c r="AT1832">
        <v>0</v>
      </c>
      <c r="AU1832">
        <v>0</v>
      </c>
      <c r="AV1832">
        <v>0</v>
      </c>
      <c r="AW1832">
        <v>0</v>
      </c>
      <c r="AX1832">
        <v>0</v>
      </c>
      <c r="AY1832">
        <v>0</v>
      </c>
      <c r="AZ1832">
        <v>0</v>
      </c>
      <c r="BA1832">
        <v>0</v>
      </c>
      <c r="BB1832">
        <v>0</v>
      </c>
      <c r="BC1832">
        <v>0</v>
      </c>
      <c r="BD1832">
        <v>0</v>
      </c>
      <c r="BE1832">
        <v>0</v>
      </c>
      <c r="BF1832">
        <v>0</v>
      </c>
      <c r="BG1832">
        <v>0</v>
      </c>
      <c r="BH1832">
        <v>1</v>
      </c>
      <c r="BI1832">
        <v>1</v>
      </c>
      <c r="BJ1832">
        <v>0.2</v>
      </c>
      <c r="BK1832">
        <v>1</v>
      </c>
      <c r="BL1832">
        <v>71.69</v>
      </c>
      <c r="BM1832">
        <v>10.75</v>
      </c>
      <c r="BN1832">
        <v>82.44</v>
      </c>
      <c r="BO1832">
        <v>82.44</v>
      </c>
      <c r="BQ1832" t="s">
        <v>1085</v>
      </c>
      <c r="BR1832" t="s">
        <v>84</v>
      </c>
      <c r="BS1832" s="3">
        <v>45883</v>
      </c>
      <c r="BT1832" s="4">
        <v>0.40625</v>
      </c>
      <c r="BU1832" t="s">
        <v>1312</v>
      </c>
      <c r="BV1832" t="s">
        <v>86</v>
      </c>
      <c r="BY1832">
        <v>1200</v>
      </c>
      <c r="CA1832" t="s">
        <v>203</v>
      </c>
      <c r="CC1832" t="s">
        <v>374</v>
      </c>
      <c r="CD1832">
        <v>6220</v>
      </c>
      <c r="CE1832" t="s">
        <v>109</v>
      </c>
      <c r="CF1832" s="3">
        <v>45883</v>
      </c>
      <c r="CI1832">
        <v>1</v>
      </c>
      <c r="CJ1832">
        <v>1</v>
      </c>
      <c r="CK1832">
        <v>21</v>
      </c>
      <c r="CL1832" t="s">
        <v>90</v>
      </c>
    </row>
    <row r="1833" spans="1:90" x14ac:dyDescent="0.3">
      <c r="A1833" t="s">
        <v>72</v>
      </c>
      <c r="B1833" t="s">
        <v>73</v>
      </c>
      <c r="C1833" t="s">
        <v>74</v>
      </c>
      <c r="E1833" t="str">
        <f>"080067219443"</f>
        <v>080067219443</v>
      </c>
      <c r="F1833" s="3">
        <v>45882</v>
      </c>
      <c r="G1833">
        <v>202605</v>
      </c>
      <c r="H1833" t="s">
        <v>75</v>
      </c>
      <c r="I1833" t="s">
        <v>76</v>
      </c>
      <c r="J1833" t="s">
        <v>77</v>
      </c>
      <c r="K1833" t="s">
        <v>78</v>
      </c>
      <c r="L1833" t="s">
        <v>373</v>
      </c>
      <c r="M1833" t="s">
        <v>374</v>
      </c>
      <c r="N1833" t="s">
        <v>1084</v>
      </c>
      <c r="O1833" t="s">
        <v>82</v>
      </c>
      <c r="P1833" t="str">
        <f>"4170054505                    "</f>
        <v xml:space="preserve">4170054505                    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0</v>
      </c>
      <c r="AI1833">
        <v>0</v>
      </c>
      <c r="AJ1833"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0</v>
      </c>
      <c r="AQ1833">
        <v>23.09</v>
      </c>
      <c r="AR1833">
        <v>0</v>
      </c>
      <c r="AS1833">
        <v>0</v>
      </c>
      <c r="AT1833">
        <v>0</v>
      </c>
      <c r="AU1833">
        <v>0</v>
      </c>
      <c r="AV1833">
        <v>0</v>
      </c>
      <c r="AW1833">
        <v>0</v>
      </c>
      <c r="AX1833">
        <v>0</v>
      </c>
      <c r="AY1833">
        <v>0</v>
      </c>
      <c r="AZ1833">
        <v>0</v>
      </c>
      <c r="BA1833">
        <v>0</v>
      </c>
      <c r="BB1833">
        <v>0</v>
      </c>
      <c r="BC1833">
        <v>0</v>
      </c>
      <c r="BD1833">
        <v>0</v>
      </c>
      <c r="BE1833">
        <v>0</v>
      </c>
      <c r="BF1833">
        <v>0</v>
      </c>
      <c r="BG1833">
        <v>0</v>
      </c>
      <c r="BH1833">
        <v>1</v>
      </c>
      <c r="BI1833">
        <v>1</v>
      </c>
      <c r="BJ1833">
        <v>0.2</v>
      </c>
      <c r="BK1833">
        <v>1</v>
      </c>
      <c r="BL1833">
        <v>71.69</v>
      </c>
      <c r="BM1833">
        <v>10.75</v>
      </c>
      <c r="BN1833">
        <v>82.44</v>
      </c>
      <c r="BO1833">
        <v>82.44</v>
      </c>
      <c r="BQ1833" t="s">
        <v>1085</v>
      </c>
      <c r="BR1833" t="s">
        <v>84</v>
      </c>
      <c r="BS1833" s="3">
        <v>45883</v>
      </c>
      <c r="BT1833" s="4">
        <v>0.40625</v>
      </c>
      <c r="BU1833" t="s">
        <v>1312</v>
      </c>
      <c r="BV1833" t="s">
        <v>86</v>
      </c>
      <c r="BY1833">
        <v>1200</v>
      </c>
      <c r="CA1833" t="s">
        <v>203</v>
      </c>
      <c r="CC1833" t="s">
        <v>374</v>
      </c>
      <c r="CD1833">
        <v>6220</v>
      </c>
      <c r="CE1833" t="s">
        <v>290</v>
      </c>
      <c r="CF1833" s="3">
        <v>45883</v>
      </c>
      <c r="CI1833">
        <v>1</v>
      </c>
      <c r="CJ1833">
        <v>1</v>
      </c>
      <c r="CK1833">
        <v>21</v>
      </c>
      <c r="CL1833" t="s">
        <v>90</v>
      </c>
    </row>
    <row r="1834" spans="1:90" x14ac:dyDescent="0.3">
      <c r="A1834" t="s">
        <v>72</v>
      </c>
      <c r="B1834" t="s">
        <v>73</v>
      </c>
      <c r="C1834" t="s">
        <v>74</v>
      </c>
      <c r="E1834" t="str">
        <f>"080067219441"</f>
        <v>080067219441</v>
      </c>
      <c r="F1834" s="3">
        <v>45882</v>
      </c>
      <c r="G1834">
        <v>202605</v>
      </c>
      <c r="H1834" t="s">
        <v>75</v>
      </c>
      <c r="I1834" t="s">
        <v>76</v>
      </c>
      <c r="J1834" t="s">
        <v>77</v>
      </c>
      <c r="K1834" t="s">
        <v>78</v>
      </c>
      <c r="L1834" t="s">
        <v>452</v>
      </c>
      <c r="M1834" t="s">
        <v>453</v>
      </c>
      <c r="N1834" t="s">
        <v>454</v>
      </c>
      <c r="O1834" t="s">
        <v>95</v>
      </c>
      <c r="P1834" t="str">
        <f>"4170054553                    "</f>
        <v xml:space="preserve">4170054553                    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0</v>
      </c>
      <c r="AQ1834">
        <v>62.96</v>
      </c>
      <c r="AR1834">
        <v>0</v>
      </c>
      <c r="AS1834">
        <v>0</v>
      </c>
      <c r="AT1834">
        <v>0</v>
      </c>
      <c r="AU1834">
        <v>0</v>
      </c>
      <c r="AV1834">
        <v>0</v>
      </c>
      <c r="AW1834">
        <v>0</v>
      </c>
      <c r="AX1834">
        <v>0</v>
      </c>
      <c r="AY1834">
        <v>0</v>
      </c>
      <c r="AZ1834">
        <v>0</v>
      </c>
      <c r="BA1834">
        <v>0</v>
      </c>
      <c r="BB1834">
        <v>0</v>
      </c>
      <c r="BC1834">
        <v>0</v>
      </c>
      <c r="BD1834">
        <v>0</v>
      </c>
      <c r="BE1834">
        <v>0</v>
      </c>
      <c r="BF1834">
        <v>0</v>
      </c>
      <c r="BG1834">
        <v>0</v>
      </c>
      <c r="BH1834">
        <v>1</v>
      </c>
      <c r="BI1834">
        <v>8</v>
      </c>
      <c r="BJ1834">
        <v>4.0999999999999996</v>
      </c>
      <c r="BK1834">
        <v>8</v>
      </c>
      <c r="BL1834">
        <v>201.38</v>
      </c>
      <c r="BM1834">
        <v>30.21</v>
      </c>
      <c r="BN1834">
        <v>231.59</v>
      </c>
      <c r="BO1834">
        <v>231.59</v>
      </c>
      <c r="BQ1834" t="s">
        <v>455</v>
      </c>
      <c r="BR1834" t="s">
        <v>84</v>
      </c>
      <c r="BS1834" s="3">
        <v>45883</v>
      </c>
      <c r="BT1834" s="4">
        <v>0.38124999999999998</v>
      </c>
      <c r="BU1834" t="s">
        <v>483</v>
      </c>
      <c r="BV1834" t="s">
        <v>86</v>
      </c>
      <c r="BY1834">
        <v>20358</v>
      </c>
      <c r="CA1834" t="s">
        <v>1093</v>
      </c>
      <c r="CC1834" t="s">
        <v>453</v>
      </c>
      <c r="CD1834">
        <v>1947</v>
      </c>
      <c r="CE1834" t="s">
        <v>147</v>
      </c>
      <c r="CF1834" s="3">
        <v>45884</v>
      </c>
      <c r="CI1834">
        <v>1</v>
      </c>
      <c r="CJ1834">
        <v>1</v>
      </c>
      <c r="CK1834">
        <v>43</v>
      </c>
      <c r="CL1834" t="s">
        <v>90</v>
      </c>
    </row>
    <row r="1835" spans="1:90" x14ac:dyDescent="0.3">
      <c r="A1835" t="s">
        <v>72</v>
      </c>
      <c r="B1835" t="s">
        <v>73</v>
      </c>
      <c r="C1835" t="s">
        <v>74</v>
      </c>
      <c r="E1835" t="str">
        <f>"080067219490"</f>
        <v>080067219490</v>
      </c>
      <c r="F1835" s="3">
        <v>45882</v>
      </c>
      <c r="G1835">
        <v>202605</v>
      </c>
      <c r="H1835" t="s">
        <v>75</v>
      </c>
      <c r="I1835" t="s">
        <v>76</v>
      </c>
      <c r="J1835" t="s">
        <v>77</v>
      </c>
      <c r="K1835" t="s">
        <v>78</v>
      </c>
      <c r="L1835" t="s">
        <v>198</v>
      </c>
      <c r="M1835" t="s">
        <v>199</v>
      </c>
      <c r="N1835" t="s">
        <v>342</v>
      </c>
      <c r="O1835" t="s">
        <v>82</v>
      </c>
      <c r="P1835" t="str">
        <f>"4170054528                    "</f>
        <v xml:space="preserve">4170054528                    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0</v>
      </c>
      <c r="AI1835">
        <v>0</v>
      </c>
      <c r="AJ1835"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0</v>
      </c>
      <c r="AQ1835">
        <v>23.09</v>
      </c>
      <c r="AR1835">
        <v>0</v>
      </c>
      <c r="AS1835">
        <v>0</v>
      </c>
      <c r="AT1835">
        <v>0</v>
      </c>
      <c r="AU1835">
        <v>0</v>
      </c>
      <c r="AV1835">
        <v>0</v>
      </c>
      <c r="AW1835">
        <v>0</v>
      </c>
      <c r="AX1835">
        <v>0</v>
      </c>
      <c r="AY1835">
        <v>0</v>
      </c>
      <c r="AZ1835">
        <v>0</v>
      </c>
      <c r="BA1835">
        <v>0</v>
      </c>
      <c r="BB1835">
        <v>0</v>
      </c>
      <c r="BC1835">
        <v>0</v>
      </c>
      <c r="BD1835">
        <v>0</v>
      </c>
      <c r="BE1835">
        <v>0</v>
      </c>
      <c r="BF1835">
        <v>0</v>
      </c>
      <c r="BG1835">
        <v>0</v>
      </c>
      <c r="BH1835">
        <v>1</v>
      </c>
      <c r="BI1835">
        <v>1</v>
      </c>
      <c r="BJ1835">
        <v>0.2</v>
      </c>
      <c r="BK1835">
        <v>1</v>
      </c>
      <c r="BL1835">
        <v>71.69</v>
      </c>
      <c r="BM1835">
        <v>10.75</v>
      </c>
      <c r="BN1835">
        <v>82.44</v>
      </c>
      <c r="BO1835">
        <v>82.44</v>
      </c>
      <c r="BQ1835" t="s">
        <v>343</v>
      </c>
      <c r="BR1835" t="s">
        <v>84</v>
      </c>
      <c r="BS1835" s="3">
        <v>45883</v>
      </c>
      <c r="BT1835" s="4">
        <v>0.40277777777777779</v>
      </c>
      <c r="BU1835" t="s">
        <v>1968</v>
      </c>
      <c r="BV1835" t="s">
        <v>86</v>
      </c>
      <c r="BY1835">
        <v>1200</v>
      </c>
      <c r="CA1835" t="s">
        <v>1570</v>
      </c>
      <c r="CC1835" t="s">
        <v>199</v>
      </c>
      <c r="CD1835">
        <v>6001</v>
      </c>
      <c r="CE1835" t="s">
        <v>109</v>
      </c>
      <c r="CF1835" s="3">
        <v>45883</v>
      </c>
      <c r="CI1835">
        <v>1</v>
      </c>
      <c r="CJ1835">
        <v>1</v>
      </c>
      <c r="CK1835">
        <v>21</v>
      </c>
      <c r="CL1835" t="s">
        <v>90</v>
      </c>
    </row>
    <row r="1836" spans="1:90" x14ac:dyDescent="0.3">
      <c r="A1836" t="s">
        <v>72</v>
      </c>
      <c r="B1836" t="s">
        <v>73</v>
      </c>
      <c r="C1836" t="s">
        <v>74</v>
      </c>
      <c r="E1836" t="str">
        <f>"080067219500"</f>
        <v>080067219500</v>
      </c>
      <c r="F1836" s="3">
        <v>45882</v>
      </c>
      <c r="G1836">
        <v>202605</v>
      </c>
      <c r="H1836" t="s">
        <v>75</v>
      </c>
      <c r="I1836" t="s">
        <v>76</v>
      </c>
      <c r="J1836" t="s">
        <v>77</v>
      </c>
      <c r="K1836" t="s">
        <v>78</v>
      </c>
      <c r="L1836" t="s">
        <v>198</v>
      </c>
      <c r="M1836" t="s">
        <v>199</v>
      </c>
      <c r="N1836" t="s">
        <v>1332</v>
      </c>
      <c r="O1836" t="s">
        <v>82</v>
      </c>
      <c r="P1836" t="str">
        <f>"4170054659                    "</f>
        <v xml:space="preserve">4170054659                    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0</v>
      </c>
      <c r="AI1836">
        <v>0</v>
      </c>
      <c r="AJ1836"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0</v>
      </c>
      <c r="AQ1836">
        <v>23.09</v>
      </c>
      <c r="AR1836">
        <v>0</v>
      </c>
      <c r="AS1836">
        <v>0</v>
      </c>
      <c r="AT1836">
        <v>0</v>
      </c>
      <c r="AU1836">
        <v>0</v>
      </c>
      <c r="AV1836">
        <v>0</v>
      </c>
      <c r="AW1836">
        <v>0</v>
      </c>
      <c r="AX1836">
        <v>0</v>
      </c>
      <c r="AY1836">
        <v>0</v>
      </c>
      <c r="AZ1836">
        <v>0</v>
      </c>
      <c r="BA1836">
        <v>0</v>
      </c>
      <c r="BB1836">
        <v>0</v>
      </c>
      <c r="BC1836">
        <v>0</v>
      </c>
      <c r="BD1836">
        <v>0</v>
      </c>
      <c r="BE1836">
        <v>0</v>
      </c>
      <c r="BF1836">
        <v>0</v>
      </c>
      <c r="BG1836">
        <v>0</v>
      </c>
      <c r="BH1836">
        <v>1</v>
      </c>
      <c r="BI1836">
        <v>0.8</v>
      </c>
      <c r="BJ1836">
        <v>0.9</v>
      </c>
      <c r="BK1836">
        <v>1</v>
      </c>
      <c r="BL1836">
        <v>71.69</v>
      </c>
      <c r="BM1836">
        <v>10.75</v>
      </c>
      <c r="BN1836">
        <v>82.44</v>
      </c>
      <c r="BO1836">
        <v>82.44</v>
      </c>
      <c r="BQ1836" t="s">
        <v>1333</v>
      </c>
      <c r="BR1836" t="s">
        <v>84</v>
      </c>
      <c r="BS1836" s="3">
        <v>45883</v>
      </c>
      <c r="BT1836" s="4">
        <v>0.49652777777777779</v>
      </c>
      <c r="BU1836" t="s">
        <v>2489</v>
      </c>
      <c r="BV1836" t="s">
        <v>90</v>
      </c>
      <c r="BW1836" t="s">
        <v>134</v>
      </c>
      <c r="BX1836" t="s">
        <v>1360</v>
      </c>
      <c r="BY1836">
        <v>4558.1400000000003</v>
      </c>
      <c r="CA1836" t="s">
        <v>413</v>
      </c>
      <c r="CC1836" t="s">
        <v>199</v>
      </c>
      <c r="CD1836">
        <v>6001</v>
      </c>
      <c r="CE1836" t="s">
        <v>147</v>
      </c>
      <c r="CF1836" s="3">
        <v>45883</v>
      </c>
      <c r="CI1836">
        <v>1</v>
      </c>
      <c r="CJ1836">
        <v>1</v>
      </c>
      <c r="CK1836">
        <v>21</v>
      </c>
      <c r="CL1836" t="s">
        <v>90</v>
      </c>
    </row>
    <row r="1837" spans="1:90" x14ac:dyDescent="0.3">
      <c r="A1837" t="s">
        <v>72</v>
      </c>
      <c r="B1837" t="s">
        <v>73</v>
      </c>
      <c r="C1837" t="s">
        <v>74</v>
      </c>
      <c r="E1837" t="str">
        <f>"080067219523"</f>
        <v>080067219523</v>
      </c>
      <c r="F1837" s="3">
        <v>45882</v>
      </c>
      <c r="G1837">
        <v>202605</v>
      </c>
      <c r="H1837" t="s">
        <v>75</v>
      </c>
      <c r="I1837" t="s">
        <v>76</v>
      </c>
      <c r="J1837" t="s">
        <v>77</v>
      </c>
      <c r="K1837" t="s">
        <v>78</v>
      </c>
      <c r="L1837" t="s">
        <v>555</v>
      </c>
      <c r="M1837" t="s">
        <v>556</v>
      </c>
      <c r="N1837" t="s">
        <v>557</v>
      </c>
      <c r="O1837" t="s">
        <v>82</v>
      </c>
      <c r="P1837" t="str">
        <f>"4170054433                    "</f>
        <v xml:space="preserve">4170054433                    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Q1837">
        <v>44.73</v>
      </c>
      <c r="AR1837">
        <v>0</v>
      </c>
      <c r="AS1837">
        <v>0</v>
      </c>
      <c r="AT1837">
        <v>0</v>
      </c>
      <c r="AU1837">
        <v>0</v>
      </c>
      <c r="AV1837">
        <v>0</v>
      </c>
      <c r="AW1837">
        <v>0</v>
      </c>
      <c r="AX1837">
        <v>0</v>
      </c>
      <c r="AY1837">
        <v>0</v>
      </c>
      <c r="AZ1837">
        <v>0</v>
      </c>
      <c r="BA1837">
        <v>0</v>
      </c>
      <c r="BB1837">
        <v>0</v>
      </c>
      <c r="BC1837">
        <v>0</v>
      </c>
      <c r="BD1837">
        <v>0</v>
      </c>
      <c r="BE1837">
        <v>0</v>
      </c>
      <c r="BF1837">
        <v>0</v>
      </c>
      <c r="BG1837">
        <v>0</v>
      </c>
      <c r="BH1837">
        <v>1</v>
      </c>
      <c r="BI1837">
        <v>1</v>
      </c>
      <c r="BJ1837">
        <v>0.9</v>
      </c>
      <c r="BK1837">
        <v>1</v>
      </c>
      <c r="BL1837">
        <v>138.88999999999999</v>
      </c>
      <c r="BM1837">
        <v>20.83</v>
      </c>
      <c r="BN1837">
        <v>159.72</v>
      </c>
      <c r="BO1837">
        <v>159.72</v>
      </c>
      <c r="BQ1837" t="s">
        <v>558</v>
      </c>
      <c r="BR1837" t="s">
        <v>84</v>
      </c>
      <c r="BS1837" s="3">
        <v>45883</v>
      </c>
      <c r="BT1837" s="4">
        <v>0.55902777777777779</v>
      </c>
      <c r="BU1837" t="s">
        <v>2490</v>
      </c>
      <c r="BV1837" t="s">
        <v>86</v>
      </c>
      <c r="BY1837">
        <v>4256</v>
      </c>
      <c r="CA1837" t="s">
        <v>2491</v>
      </c>
      <c r="CC1837" t="s">
        <v>556</v>
      </c>
      <c r="CD1837">
        <v>6850</v>
      </c>
      <c r="CE1837" t="s">
        <v>147</v>
      </c>
      <c r="CF1837" s="3">
        <v>45884</v>
      </c>
      <c r="CI1837">
        <v>2</v>
      </c>
      <c r="CJ1837">
        <v>1</v>
      </c>
      <c r="CK1837">
        <v>23</v>
      </c>
      <c r="CL1837" t="s">
        <v>90</v>
      </c>
    </row>
    <row r="1838" spans="1:90" x14ac:dyDescent="0.3">
      <c r="A1838" t="s">
        <v>72</v>
      </c>
      <c r="B1838" t="s">
        <v>73</v>
      </c>
      <c r="C1838" t="s">
        <v>74</v>
      </c>
      <c r="E1838" t="str">
        <f>"080067219517"</f>
        <v>080067219517</v>
      </c>
      <c r="F1838" s="3">
        <v>45882</v>
      </c>
      <c r="G1838">
        <v>202605</v>
      </c>
      <c r="H1838" t="s">
        <v>75</v>
      </c>
      <c r="I1838" t="s">
        <v>76</v>
      </c>
      <c r="J1838" t="s">
        <v>77</v>
      </c>
      <c r="K1838" t="s">
        <v>78</v>
      </c>
      <c r="L1838" t="s">
        <v>198</v>
      </c>
      <c r="M1838" t="s">
        <v>199</v>
      </c>
      <c r="N1838" t="s">
        <v>598</v>
      </c>
      <c r="O1838" t="s">
        <v>82</v>
      </c>
      <c r="P1838" t="str">
        <f>"4170054574                    "</f>
        <v xml:space="preserve">4170054574                    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0</v>
      </c>
      <c r="AJ1838"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0</v>
      </c>
      <c r="AQ1838">
        <v>23.09</v>
      </c>
      <c r="AR1838">
        <v>0</v>
      </c>
      <c r="AS1838">
        <v>0</v>
      </c>
      <c r="AT1838">
        <v>0</v>
      </c>
      <c r="AU1838">
        <v>0</v>
      </c>
      <c r="AV1838">
        <v>0</v>
      </c>
      <c r="AW1838">
        <v>0</v>
      </c>
      <c r="AX1838">
        <v>0</v>
      </c>
      <c r="AY1838">
        <v>0</v>
      </c>
      <c r="AZ1838">
        <v>0</v>
      </c>
      <c r="BA1838">
        <v>0</v>
      </c>
      <c r="BB1838">
        <v>0</v>
      </c>
      <c r="BC1838">
        <v>0</v>
      </c>
      <c r="BD1838">
        <v>0</v>
      </c>
      <c r="BE1838">
        <v>0</v>
      </c>
      <c r="BF1838">
        <v>0</v>
      </c>
      <c r="BG1838">
        <v>0</v>
      </c>
      <c r="BH1838">
        <v>1</v>
      </c>
      <c r="BI1838">
        <v>1</v>
      </c>
      <c r="BJ1838">
        <v>0.2</v>
      </c>
      <c r="BK1838">
        <v>1</v>
      </c>
      <c r="BL1838">
        <v>71.69</v>
      </c>
      <c r="BM1838">
        <v>10.75</v>
      </c>
      <c r="BN1838">
        <v>82.44</v>
      </c>
      <c r="BO1838">
        <v>82.44</v>
      </c>
      <c r="BQ1838" t="s">
        <v>599</v>
      </c>
      <c r="BR1838" t="s">
        <v>84</v>
      </c>
      <c r="BS1838" s="3">
        <v>45883</v>
      </c>
      <c r="BT1838" s="4">
        <v>0.37986111111111109</v>
      </c>
      <c r="BU1838" t="s">
        <v>2466</v>
      </c>
      <c r="BV1838" t="s">
        <v>86</v>
      </c>
      <c r="BY1838">
        <v>1200</v>
      </c>
      <c r="CA1838" t="s">
        <v>601</v>
      </c>
      <c r="CC1838" t="s">
        <v>199</v>
      </c>
      <c r="CD1838">
        <v>6001</v>
      </c>
      <c r="CE1838" t="s">
        <v>109</v>
      </c>
      <c r="CF1838" s="3">
        <v>45883</v>
      </c>
      <c r="CI1838">
        <v>1</v>
      </c>
      <c r="CJ1838">
        <v>1</v>
      </c>
      <c r="CK1838">
        <v>21</v>
      </c>
      <c r="CL1838" t="s">
        <v>90</v>
      </c>
    </row>
    <row r="1839" spans="1:90" x14ac:dyDescent="0.3">
      <c r="A1839" t="s">
        <v>72</v>
      </c>
      <c r="B1839" t="s">
        <v>73</v>
      </c>
      <c r="C1839" t="s">
        <v>74</v>
      </c>
      <c r="E1839" t="str">
        <f>"080067219562"</f>
        <v>080067219562</v>
      </c>
      <c r="F1839" s="3">
        <v>45882</v>
      </c>
      <c r="G1839">
        <v>202605</v>
      </c>
      <c r="H1839" t="s">
        <v>75</v>
      </c>
      <c r="I1839" t="s">
        <v>76</v>
      </c>
      <c r="J1839" t="s">
        <v>77</v>
      </c>
      <c r="K1839" t="s">
        <v>78</v>
      </c>
      <c r="L1839" t="s">
        <v>234</v>
      </c>
      <c r="M1839" t="s">
        <v>235</v>
      </c>
      <c r="N1839" t="s">
        <v>821</v>
      </c>
      <c r="O1839" t="s">
        <v>82</v>
      </c>
      <c r="P1839" t="str">
        <f>"4170054442                    "</f>
        <v xml:space="preserve">4170054442                    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0</v>
      </c>
      <c r="AI1839">
        <v>0</v>
      </c>
      <c r="AJ1839">
        <v>0</v>
      </c>
      <c r="AK1839">
        <v>0</v>
      </c>
      <c r="AL1839">
        <v>0</v>
      </c>
      <c r="AM1839">
        <v>0</v>
      </c>
      <c r="AN1839">
        <v>0</v>
      </c>
      <c r="AO1839">
        <v>0</v>
      </c>
      <c r="AP1839">
        <v>0</v>
      </c>
      <c r="AQ1839">
        <v>23.09</v>
      </c>
      <c r="AR1839">
        <v>0</v>
      </c>
      <c r="AS1839">
        <v>0</v>
      </c>
      <c r="AT1839">
        <v>0</v>
      </c>
      <c r="AU1839">
        <v>0</v>
      </c>
      <c r="AV1839">
        <v>0</v>
      </c>
      <c r="AW1839">
        <v>0</v>
      </c>
      <c r="AX1839">
        <v>0</v>
      </c>
      <c r="AY1839">
        <v>0</v>
      </c>
      <c r="AZ1839">
        <v>0</v>
      </c>
      <c r="BA1839">
        <v>0</v>
      </c>
      <c r="BB1839">
        <v>0</v>
      </c>
      <c r="BC1839">
        <v>0</v>
      </c>
      <c r="BD1839">
        <v>0</v>
      </c>
      <c r="BE1839">
        <v>0</v>
      </c>
      <c r="BF1839">
        <v>0</v>
      </c>
      <c r="BG1839">
        <v>0</v>
      </c>
      <c r="BH1839">
        <v>1</v>
      </c>
      <c r="BI1839">
        <v>0.6</v>
      </c>
      <c r="BJ1839">
        <v>0.8</v>
      </c>
      <c r="BK1839">
        <v>1</v>
      </c>
      <c r="BL1839">
        <v>71.69</v>
      </c>
      <c r="BM1839">
        <v>10.75</v>
      </c>
      <c r="BN1839">
        <v>82.44</v>
      </c>
      <c r="BO1839">
        <v>82.44</v>
      </c>
      <c r="BQ1839" t="s">
        <v>822</v>
      </c>
      <c r="BR1839" t="s">
        <v>84</v>
      </c>
      <c r="BS1839" s="3">
        <v>45883</v>
      </c>
      <c r="BT1839" s="4">
        <v>0.35972222222222222</v>
      </c>
      <c r="BU1839" t="s">
        <v>2492</v>
      </c>
      <c r="BV1839" t="s">
        <v>86</v>
      </c>
      <c r="BY1839">
        <v>4146.3999999999996</v>
      </c>
      <c r="CA1839" t="s">
        <v>824</v>
      </c>
      <c r="CC1839" t="s">
        <v>235</v>
      </c>
      <c r="CD1839" s="5" t="s">
        <v>240</v>
      </c>
      <c r="CE1839" t="s">
        <v>147</v>
      </c>
      <c r="CF1839" s="3">
        <v>45883</v>
      </c>
      <c r="CI1839">
        <v>1</v>
      </c>
      <c r="CJ1839">
        <v>1</v>
      </c>
      <c r="CK1839">
        <v>21</v>
      </c>
      <c r="CL1839" t="s">
        <v>90</v>
      </c>
    </row>
    <row r="1840" spans="1:90" x14ac:dyDescent="0.3">
      <c r="A1840" t="s">
        <v>72</v>
      </c>
      <c r="B1840" t="s">
        <v>73</v>
      </c>
      <c r="C1840" t="s">
        <v>74</v>
      </c>
      <c r="E1840" t="str">
        <f>"080067219569"</f>
        <v>080067219569</v>
      </c>
      <c r="F1840" s="3">
        <v>45882</v>
      </c>
      <c r="G1840">
        <v>202605</v>
      </c>
      <c r="H1840" t="s">
        <v>75</v>
      </c>
      <c r="I1840" t="s">
        <v>76</v>
      </c>
      <c r="J1840" t="s">
        <v>77</v>
      </c>
      <c r="K1840" t="s">
        <v>78</v>
      </c>
      <c r="L1840" t="s">
        <v>79</v>
      </c>
      <c r="M1840" t="s">
        <v>80</v>
      </c>
      <c r="N1840" t="s">
        <v>2493</v>
      </c>
      <c r="O1840" t="s">
        <v>82</v>
      </c>
      <c r="P1840" t="str">
        <f>"4170054421                    "</f>
        <v xml:space="preserve">4170054421                    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0</v>
      </c>
      <c r="AQ1840">
        <v>18.03</v>
      </c>
      <c r="AR1840">
        <v>0</v>
      </c>
      <c r="AS1840">
        <v>0</v>
      </c>
      <c r="AT1840">
        <v>0</v>
      </c>
      <c r="AU1840">
        <v>0</v>
      </c>
      <c r="AV1840">
        <v>0</v>
      </c>
      <c r="AW1840">
        <v>0</v>
      </c>
      <c r="AX1840">
        <v>0</v>
      </c>
      <c r="AY1840">
        <v>0</v>
      </c>
      <c r="AZ1840">
        <v>0</v>
      </c>
      <c r="BA1840">
        <v>0</v>
      </c>
      <c r="BB1840">
        <v>0</v>
      </c>
      <c r="BC1840">
        <v>0</v>
      </c>
      <c r="BD1840">
        <v>0</v>
      </c>
      <c r="BE1840">
        <v>0</v>
      </c>
      <c r="BF1840">
        <v>0</v>
      </c>
      <c r="BG1840">
        <v>0</v>
      </c>
      <c r="BH1840">
        <v>1</v>
      </c>
      <c r="BI1840">
        <v>1</v>
      </c>
      <c r="BJ1840">
        <v>0.2</v>
      </c>
      <c r="BK1840">
        <v>1</v>
      </c>
      <c r="BL1840">
        <v>55.99</v>
      </c>
      <c r="BM1840">
        <v>8.4</v>
      </c>
      <c r="BN1840">
        <v>64.39</v>
      </c>
      <c r="BO1840">
        <v>64.39</v>
      </c>
      <c r="BQ1840" t="s">
        <v>2494</v>
      </c>
      <c r="BR1840" t="s">
        <v>84</v>
      </c>
      <c r="BS1840" s="3">
        <v>45883</v>
      </c>
      <c r="BT1840" s="4">
        <v>0.38958333333333334</v>
      </c>
      <c r="BU1840" t="s">
        <v>2495</v>
      </c>
      <c r="BV1840" t="s">
        <v>86</v>
      </c>
      <c r="BY1840">
        <v>1200</v>
      </c>
      <c r="CA1840" t="s">
        <v>1069</v>
      </c>
      <c r="CC1840" t="s">
        <v>80</v>
      </c>
      <c r="CD1840">
        <v>1428</v>
      </c>
      <c r="CE1840" t="s">
        <v>109</v>
      </c>
      <c r="CF1840" s="3">
        <v>45883</v>
      </c>
      <c r="CI1840">
        <v>1</v>
      </c>
      <c r="CJ1840">
        <v>1</v>
      </c>
      <c r="CK1840">
        <v>22</v>
      </c>
      <c r="CL1840" t="s">
        <v>90</v>
      </c>
    </row>
    <row r="1841" spans="1:90" x14ac:dyDescent="0.3">
      <c r="A1841" t="s">
        <v>72</v>
      </c>
      <c r="B1841" t="s">
        <v>73</v>
      </c>
      <c r="C1841" t="s">
        <v>74</v>
      </c>
      <c r="E1841" t="str">
        <f>"080067219579"</f>
        <v>080067219579</v>
      </c>
      <c r="F1841" s="3">
        <v>45882</v>
      </c>
      <c r="G1841">
        <v>202605</v>
      </c>
      <c r="H1841" t="s">
        <v>75</v>
      </c>
      <c r="I1841" t="s">
        <v>76</v>
      </c>
      <c r="J1841" t="s">
        <v>77</v>
      </c>
      <c r="K1841" t="s">
        <v>78</v>
      </c>
      <c r="L1841" t="s">
        <v>1003</v>
      </c>
      <c r="M1841" t="s">
        <v>1004</v>
      </c>
      <c r="N1841" t="s">
        <v>1005</v>
      </c>
      <c r="O1841" t="s">
        <v>82</v>
      </c>
      <c r="P1841" t="str">
        <f>"4170054570                    "</f>
        <v xml:space="preserve">4170054570                    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Q1841">
        <v>44.73</v>
      </c>
      <c r="AR1841">
        <v>0</v>
      </c>
      <c r="AS1841">
        <v>0</v>
      </c>
      <c r="AT1841">
        <v>0</v>
      </c>
      <c r="AU1841">
        <v>0</v>
      </c>
      <c r="AV1841">
        <v>0</v>
      </c>
      <c r="AW1841">
        <v>0</v>
      </c>
      <c r="AX1841">
        <v>0</v>
      </c>
      <c r="AY1841">
        <v>0</v>
      </c>
      <c r="AZ1841">
        <v>0</v>
      </c>
      <c r="BA1841">
        <v>0</v>
      </c>
      <c r="BB1841">
        <v>0</v>
      </c>
      <c r="BC1841">
        <v>0</v>
      </c>
      <c r="BD1841">
        <v>0</v>
      </c>
      <c r="BE1841">
        <v>0</v>
      </c>
      <c r="BF1841">
        <v>0</v>
      </c>
      <c r="BG1841">
        <v>0</v>
      </c>
      <c r="BH1841">
        <v>1</v>
      </c>
      <c r="BI1841">
        <v>2</v>
      </c>
      <c r="BJ1841">
        <v>2</v>
      </c>
      <c r="BK1841">
        <v>2</v>
      </c>
      <c r="BL1841">
        <v>138.88999999999999</v>
      </c>
      <c r="BM1841">
        <v>20.83</v>
      </c>
      <c r="BN1841">
        <v>159.72</v>
      </c>
      <c r="BO1841">
        <v>159.72</v>
      </c>
      <c r="BQ1841" t="s">
        <v>1006</v>
      </c>
      <c r="BR1841" t="s">
        <v>84</v>
      </c>
      <c r="BS1841" s="3">
        <v>45883</v>
      </c>
      <c r="BT1841" s="4">
        <v>0.41666666666666669</v>
      </c>
      <c r="BU1841" t="s">
        <v>2496</v>
      </c>
      <c r="BV1841" t="s">
        <v>86</v>
      </c>
      <c r="BY1841">
        <v>9984</v>
      </c>
      <c r="CC1841" t="s">
        <v>1004</v>
      </c>
      <c r="CD1841">
        <v>3310</v>
      </c>
      <c r="CE1841" t="s">
        <v>147</v>
      </c>
      <c r="CF1841" s="3">
        <v>45884</v>
      </c>
      <c r="CI1841">
        <v>1</v>
      </c>
      <c r="CJ1841">
        <v>1</v>
      </c>
      <c r="CK1841">
        <v>23</v>
      </c>
      <c r="CL1841" t="s">
        <v>90</v>
      </c>
    </row>
    <row r="1842" spans="1:90" x14ac:dyDescent="0.3">
      <c r="A1842" t="s">
        <v>72</v>
      </c>
      <c r="B1842" t="s">
        <v>73</v>
      </c>
      <c r="C1842" t="s">
        <v>74</v>
      </c>
      <c r="E1842" t="str">
        <f>"080067219603"</f>
        <v>080067219603</v>
      </c>
      <c r="F1842" s="3">
        <v>45882</v>
      </c>
      <c r="G1842">
        <v>202605</v>
      </c>
      <c r="H1842" t="s">
        <v>75</v>
      </c>
      <c r="I1842" t="s">
        <v>76</v>
      </c>
      <c r="J1842" t="s">
        <v>77</v>
      </c>
      <c r="K1842" t="s">
        <v>78</v>
      </c>
      <c r="L1842" t="s">
        <v>123</v>
      </c>
      <c r="M1842" t="s">
        <v>124</v>
      </c>
      <c r="N1842" t="s">
        <v>125</v>
      </c>
      <c r="O1842" t="s">
        <v>82</v>
      </c>
      <c r="P1842" t="str">
        <f>"4170054473                    "</f>
        <v xml:space="preserve">4170054473                    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0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Q1842">
        <v>23.09</v>
      </c>
      <c r="AR1842">
        <v>0</v>
      </c>
      <c r="AS1842">
        <v>0</v>
      </c>
      <c r="AT1842">
        <v>0</v>
      </c>
      <c r="AU1842">
        <v>0</v>
      </c>
      <c r="AV1842">
        <v>0</v>
      </c>
      <c r="AW1842">
        <v>0</v>
      </c>
      <c r="AX1842">
        <v>0</v>
      </c>
      <c r="AY1842">
        <v>0</v>
      </c>
      <c r="AZ1842">
        <v>0</v>
      </c>
      <c r="BA1842">
        <v>0</v>
      </c>
      <c r="BB1842">
        <v>0</v>
      </c>
      <c r="BC1842">
        <v>0</v>
      </c>
      <c r="BD1842">
        <v>0</v>
      </c>
      <c r="BE1842">
        <v>0</v>
      </c>
      <c r="BF1842">
        <v>0</v>
      </c>
      <c r="BG1842">
        <v>0</v>
      </c>
      <c r="BH1842">
        <v>1</v>
      </c>
      <c r="BI1842">
        <v>1</v>
      </c>
      <c r="BJ1842">
        <v>0.2</v>
      </c>
      <c r="BK1842">
        <v>1</v>
      </c>
      <c r="BL1842">
        <v>71.69</v>
      </c>
      <c r="BM1842">
        <v>10.75</v>
      </c>
      <c r="BN1842">
        <v>82.44</v>
      </c>
      <c r="BO1842">
        <v>82.44</v>
      </c>
      <c r="BQ1842" t="s">
        <v>126</v>
      </c>
      <c r="BR1842" t="s">
        <v>84</v>
      </c>
      <c r="BS1842" s="3">
        <v>45883</v>
      </c>
      <c r="BT1842" s="4">
        <v>0.33888888888888891</v>
      </c>
      <c r="BU1842" t="s">
        <v>605</v>
      </c>
      <c r="BV1842" t="s">
        <v>86</v>
      </c>
      <c r="BY1842">
        <v>1200</v>
      </c>
      <c r="CA1842" t="s">
        <v>128</v>
      </c>
      <c r="CC1842" t="s">
        <v>124</v>
      </c>
      <c r="CD1842">
        <v>7530</v>
      </c>
      <c r="CE1842" t="s">
        <v>109</v>
      </c>
      <c r="CF1842" s="3">
        <v>45884</v>
      </c>
      <c r="CI1842">
        <v>1</v>
      </c>
      <c r="CJ1842">
        <v>1</v>
      </c>
      <c r="CK1842">
        <v>21</v>
      </c>
      <c r="CL1842" t="s">
        <v>90</v>
      </c>
    </row>
    <row r="1843" spans="1:90" x14ac:dyDescent="0.3">
      <c r="A1843" t="s">
        <v>72</v>
      </c>
      <c r="B1843" t="s">
        <v>73</v>
      </c>
      <c r="C1843" t="s">
        <v>74</v>
      </c>
      <c r="E1843" t="str">
        <f>"080067219616"</f>
        <v>080067219616</v>
      </c>
      <c r="F1843" s="3">
        <v>45882</v>
      </c>
      <c r="G1843">
        <v>202605</v>
      </c>
      <c r="H1843" t="s">
        <v>75</v>
      </c>
      <c r="I1843" t="s">
        <v>76</v>
      </c>
      <c r="J1843" t="s">
        <v>77</v>
      </c>
      <c r="K1843" t="s">
        <v>78</v>
      </c>
      <c r="L1843" t="s">
        <v>123</v>
      </c>
      <c r="M1843" t="s">
        <v>124</v>
      </c>
      <c r="N1843" t="s">
        <v>125</v>
      </c>
      <c r="O1843" t="s">
        <v>82</v>
      </c>
      <c r="P1843" t="str">
        <f>"4170054398                    "</f>
        <v xml:space="preserve">4170054398                    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0</v>
      </c>
      <c r="AQ1843">
        <v>103.82</v>
      </c>
      <c r="AR1843">
        <v>0</v>
      </c>
      <c r="AS1843">
        <v>0</v>
      </c>
      <c r="AT1843">
        <v>0</v>
      </c>
      <c r="AU1843">
        <v>0</v>
      </c>
      <c r="AV1843">
        <v>0</v>
      </c>
      <c r="AW1843">
        <v>0</v>
      </c>
      <c r="AX1843">
        <v>0</v>
      </c>
      <c r="AY1843">
        <v>0</v>
      </c>
      <c r="AZ1843">
        <v>0</v>
      </c>
      <c r="BA1843">
        <v>0</v>
      </c>
      <c r="BB1843">
        <v>0</v>
      </c>
      <c r="BC1843">
        <v>0</v>
      </c>
      <c r="BD1843">
        <v>0</v>
      </c>
      <c r="BE1843">
        <v>0</v>
      </c>
      <c r="BF1843">
        <v>0</v>
      </c>
      <c r="BG1843">
        <v>0</v>
      </c>
      <c r="BH1843">
        <v>2</v>
      </c>
      <c r="BI1843">
        <v>9</v>
      </c>
      <c r="BJ1843">
        <v>7.8</v>
      </c>
      <c r="BK1843">
        <v>9</v>
      </c>
      <c r="BL1843">
        <v>322.38</v>
      </c>
      <c r="BM1843">
        <v>48.36</v>
      </c>
      <c r="BN1843">
        <v>370.74</v>
      </c>
      <c r="BO1843">
        <v>370.74</v>
      </c>
      <c r="BQ1843" t="s">
        <v>126</v>
      </c>
      <c r="BR1843" t="s">
        <v>84</v>
      </c>
      <c r="BS1843" s="3">
        <v>45883</v>
      </c>
      <c r="BT1843" s="4">
        <v>0.33888888888888891</v>
      </c>
      <c r="BU1843" t="s">
        <v>605</v>
      </c>
      <c r="BV1843" t="s">
        <v>86</v>
      </c>
      <c r="BY1843">
        <v>39237</v>
      </c>
      <c r="CA1843" t="s">
        <v>128</v>
      </c>
      <c r="CC1843" t="s">
        <v>124</v>
      </c>
      <c r="CD1843">
        <v>7530</v>
      </c>
      <c r="CE1843" t="s">
        <v>147</v>
      </c>
      <c r="CF1843" s="3">
        <v>45884</v>
      </c>
      <c r="CI1843">
        <v>1</v>
      </c>
      <c r="CJ1843">
        <v>1</v>
      </c>
      <c r="CK1843">
        <v>21</v>
      </c>
      <c r="CL1843" t="s">
        <v>90</v>
      </c>
    </row>
    <row r="1844" spans="1:90" x14ac:dyDescent="0.3">
      <c r="A1844" t="s">
        <v>72</v>
      </c>
      <c r="B1844" t="s">
        <v>73</v>
      </c>
      <c r="C1844" t="s">
        <v>74</v>
      </c>
      <c r="E1844" t="str">
        <f>"080067219638"</f>
        <v>080067219638</v>
      </c>
      <c r="F1844" s="3">
        <v>45882</v>
      </c>
      <c r="G1844">
        <v>202605</v>
      </c>
      <c r="H1844" t="s">
        <v>75</v>
      </c>
      <c r="I1844" t="s">
        <v>76</v>
      </c>
      <c r="J1844" t="s">
        <v>77</v>
      </c>
      <c r="K1844" t="s">
        <v>78</v>
      </c>
      <c r="L1844" t="s">
        <v>223</v>
      </c>
      <c r="M1844" t="s">
        <v>224</v>
      </c>
      <c r="N1844" t="s">
        <v>225</v>
      </c>
      <c r="O1844" t="s">
        <v>82</v>
      </c>
      <c r="P1844" t="str">
        <f>"4170054402                    "</f>
        <v xml:space="preserve">4170054402                    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Q1844">
        <v>23.09</v>
      </c>
      <c r="AR1844">
        <v>0</v>
      </c>
      <c r="AS1844">
        <v>0</v>
      </c>
      <c r="AT1844">
        <v>0</v>
      </c>
      <c r="AU1844">
        <v>0</v>
      </c>
      <c r="AV1844">
        <v>0</v>
      </c>
      <c r="AW1844">
        <v>0</v>
      </c>
      <c r="AX1844">
        <v>0</v>
      </c>
      <c r="AY1844">
        <v>0</v>
      </c>
      <c r="AZ1844">
        <v>0</v>
      </c>
      <c r="BA1844">
        <v>0</v>
      </c>
      <c r="BB1844">
        <v>0</v>
      </c>
      <c r="BC1844">
        <v>0</v>
      </c>
      <c r="BD1844">
        <v>0</v>
      </c>
      <c r="BE1844">
        <v>0</v>
      </c>
      <c r="BF1844">
        <v>0</v>
      </c>
      <c r="BG1844">
        <v>0</v>
      </c>
      <c r="BH1844">
        <v>1</v>
      </c>
      <c r="BI1844">
        <v>1</v>
      </c>
      <c r="BJ1844">
        <v>0.2</v>
      </c>
      <c r="BK1844">
        <v>1</v>
      </c>
      <c r="BL1844">
        <v>71.69</v>
      </c>
      <c r="BM1844">
        <v>10.75</v>
      </c>
      <c r="BN1844">
        <v>82.44</v>
      </c>
      <c r="BO1844">
        <v>82.44</v>
      </c>
      <c r="BQ1844" t="s">
        <v>226</v>
      </c>
      <c r="BR1844" t="s">
        <v>84</v>
      </c>
      <c r="BS1844" s="3">
        <v>45883</v>
      </c>
      <c r="BT1844" s="4">
        <v>0.46388888888888891</v>
      </c>
      <c r="BU1844" t="s">
        <v>2359</v>
      </c>
      <c r="BV1844" t="s">
        <v>90</v>
      </c>
      <c r="BY1844">
        <v>1200</v>
      </c>
      <c r="CA1844" t="s">
        <v>228</v>
      </c>
      <c r="CC1844" t="s">
        <v>224</v>
      </c>
      <c r="CD1844">
        <v>5201</v>
      </c>
      <c r="CE1844" t="s">
        <v>109</v>
      </c>
      <c r="CF1844" s="3">
        <v>45884</v>
      </c>
      <c r="CI1844">
        <v>1</v>
      </c>
      <c r="CJ1844">
        <v>1</v>
      </c>
      <c r="CK1844">
        <v>21</v>
      </c>
      <c r="CL1844" t="s">
        <v>90</v>
      </c>
    </row>
    <row r="1845" spans="1:90" x14ac:dyDescent="0.3">
      <c r="A1845" t="s">
        <v>72</v>
      </c>
      <c r="B1845" t="s">
        <v>73</v>
      </c>
      <c r="C1845" t="s">
        <v>74</v>
      </c>
      <c r="E1845" t="str">
        <f>"080067220035"</f>
        <v>080067220035</v>
      </c>
      <c r="F1845" s="3">
        <v>45882</v>
      </c>
      <c r="G1845">
        <v>202605</v>
      </c>
      <c r="H1845" t="s">
        <v>75</v>
      </c>
      <c r="I1845" t="s">
        <v>76</v>
      </c>
      <c r="J1845" t="s">
        <v>77</v>
      </c>
      <c r="K1845" t="s">
        <v>78</v>
      </c>
      <c r="L1845" t="s">
        <v>198</v>
      </c>
      <c r="M1845" t="s">
        <v>199</v>
      </c>
      <c r="N1845" t="s">
        <v>920</v>
      </c>
      <c r="O1845" t="s">
        <v>82</v>
      </c>
      <c r="P1845" t="str">
        <f>"4170054532                    "</f>
        <v xml:space="preserve">4170054532                    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0</v>
      </c>
      <c r="AJ1845"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Q1845">
        <v>23.09</v>
      </c>
      <c r="AR1845">
        <v>0</v>
      </c>
      <c r="AS1845">
        <v>0</v>
      </c>
      <c r="AT1845">
        <v>0</v>
      </c>
      <c r="AU1845">
        <v>0</v>
      </c>
      <c r="AV1845">
        <v>0</v>
      </c>
      <c r="AW1845">
        <v>0</v>
      </c>
      <c r="AX1845">
        <v>0</v>
      </c>
      <c r="AY1845">
        <v>0</v>
      </c>
      <c r="AZ1845">
        <v>0</v>
      </c>
      <c r="BA1845">
        <v>0</v>
      </c>
      <c r="BB1845">
        <v>0</v>
      </c>
      <c r="BC1845">
        <v>0</v>
      </c>
      <c r="BD1845">
        <v>0</v>
      </c>
      <c r="BE1845">
        <v>0</v>
      </c>
      <c r="BF1845">
        <v>0</v>
      </c>
      <c r="BG1845">
        <v>0</v>
      </c>
      <c r="BH1845">
        <v>1</v>
      </c>
      <c r="BI1845">
        <v>1</v>
      </c>
      <c r="BJ1845">
        <v>0.2</v>
      </c>
      <c r="BK1845">
        <v>1</v>
      </c>
      <c r="BL1845">
        <v>71.69</v>
      </c>
      <c r="BM1845">
        <v>10.75</v>
      </c>
      <c r="BN1845">
        <v>82.44</v>
      </c>
      <c r="BO1845">
        <v>82.44</v>
      </c>
      <c r="BQ1845" t="s">
        <v>921</v>
      </c>
      <c r="BR1845" t="s">
        <v>84</v>
      </c>
      <c r="BS1845" s="3">
        <v>45883</v>
      </c>
      <c r="BT1845" s="4">
        <v>0.40416666666666667</v>
      </c>
      <c r="BU1845" t="s">
        <v>1392</v>
      </c>
      <c r="BV1845" t="s">
        <v>86</v>
      </c>
      <c r="BY1845">
        <v>1200</v>
      </c>
      <c r="CA1845" t="s">
        <v>413</v>
      </c>
      <c r="CC1845" t="s">
        <v>199</v>
      </c>
      <c r="CD1845">
        <v>6056</v>
      </c>
      <c r="CE1845" t="s">
        <v>109</v>
      </c>
      <c r="CF1845" s="3">
        <v>45883</v>
      </c>
      <c r="CI1845">
        <v>1</v>
      </c>
      <c r="CJ1845">
        <v>1</v>
      </c>
      <c r="CK1845">
        <v>21</v>
      </c>
      <c r="CL1845" t="s">
        <v>90</v>
      </c>
    </row>
    <row r="1846" spans="1:90" x14ac:dyDescent="0.3">
      <c r="A1846" t="s">
        <v>72</v>
      </c>
      <c r="B1846" t="s">
        <v>73</v>
      </c>
      <c r="C1846" t="s">
        <v>74</v>
      </c>
      <c r="E1846" t="str">
        <f>"080067220054"</f>
        <v>080067220054</v>
      </c>
      <c r="F1846" s="3">
        <v>45882</v>
      </c>
      <c r="G1846">
        <v>202605</v>
      </c>
      <c r="H1846" t="s">
        <v>75</v>
      </c>
      <c r="I1846" t="s">
        <v>76</v>
      </c>
      <c r="J1846" t="s">
        <v>77</v>
      </c>
      <c r="K1846" t="s">
        <v>78</v>
      </c>
      <c r="L1846" t="s">
        <v>198</v>
      </c>
      <c r="M1846" t="s">
        <v>199</v>
      </c>
      <c r="N1846" t="s">
        <v>920</v>
      </c>
      <c r="O1846" t="s">
        <v>82</v>
      </c>
      <c r="P1846" t="str">
        <f>"4170054533                    "</f>
        <v xml:space="preserve">4170054533                    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0</v>
      </c>
      <c r="AI1846">
        <v>0</v>
      </c>
      <c r="AJ1846">
        <v>0</v>
      </c>
      <c r="AK1846">
        <v>0</v>
      </c>
      <c r="AL1846">
        <v>0</v>
      </c>
      <c r="AM1846">
        <v>0</v>
      </c>
      <c r="AN1846">
        <v>0</v>
      </c>
      <c r="AO1846">
        <v>0</v>
      </c>
      <c r="AP1846">
        <v>0</v>
      </c>
      <c r="AQ1846">
        <v>23.09</v>
      </c>
      <c r="AR1846">
        <v>0</v>
      </c>
      <c r="AS1846">
        <v>0</v>
      </c>
      <c r="AT1846">
        <v>0</v>
      </c>
      <c r="AU1846">
        <v>0</v>
      </c>
      <c r="AV1846">
        <v>0</v>
      </c>
      <c r="AW1846">
        <v>0</v>
      </c>
      <c r="AX1846">
        <v>0</v>
      </c>
      <c r="AY1846">
        <v>0</v>
      </c>
      <c r="AZ1846">
        <v>0</v>
      </c>
      <c r="BA1846">
        <v>0</v>
      </c>
      <c r="BB1846">
        <v>0</v>
      </c>
      <c r="BC1846">
        <v>0</v>
      </c>
      <c r="BD1846">
        <v>0</v>
      </c>
      <c r="BE1846">
        <v>0</v>
      </c>
      <c r="BF1846">
        <v>0</v>
      </c>
      <c r="BG1846">
        <v>0</v>
      </c>
      <c r="BH1846">
        <v>1</v>
      </c>
      <c r="BI1846">
        <v>1</v>
      </c>
      <c r="BJ1846">
        <v>0.2</v>
      </c>
      <c r="BK1846">
        <v>1</v>
      </c>
      <c r="BL1846">
        <v>71.69</v>
      </c>
      <c r="BM1846">
        <v>10.75</v>
      </c>
      <c r="BN1846">
        <v>82.44</v>
      </c>
      <c r="BO1846">
        <v>82.44</v>
      </c>
      <c r="BQ1846" t="s">
        <v>921</v>
      </c>
      <c r="BR1846" t="s">
        <v>84</v>
      </c>
      <c r="BS1846" s="3">
        <v>45883</v>
      </c>
      <c r="BT1846" s="4">
        <v>0.40416666666666667</v>
      </c>
      <c r="BU1846" t="s">
        <v>1392</v>
      </c>
      <c r="BV1846" t="s">
        <v>86</v>
      </c>
      <c r="BY1846">
        <v>1200</v>
      </c>
      <c r="CA1846" t="s">
        <v>413</v>
      </c>
      <c r="CC1846" t="s">
        <v>199</v>
      </c>
      <c r="CD1846">
        <v>6056</v>
      </c>
      <c r="CE1846" t="s">
        <v>109</v>
      </c>
      <c r="CF1846" s="3">
        <v>45883</v>
      </c>
      <c r="CI1846">
        <v>1</v>
      </c>
      <c r="CJ1846">
        <v>1</v>
      </c>
      <c r="CK1846">
        <v>21</v>
      </c>
      <c r="CL1846" t="s">
        <v>90</v>
      </c>
    </row>
    <row r="1847" spans="1:90" x14ac:dyDescent="0.3">
      <c r="A1847" t="s">
        <v>72</v>
      </c>
      <c r="B1847" t="s">
        <v>73</v>
      </c>
      <c r="C1847" t="s">
        <v>74</v>
      </c>
      <c r="E1847" t="str">
        <f>"080067220112"</f>
        <v>080067220112</v>
      </c>
      <c r="F1847" s="3">
        <v>45882</v>
      </c>
      <c r="G1847">
        <v>202605</v>
      </c>
      <c r="H1847" t="s">
        <v>75</v>
      </c>
      <c r="I1847" t="s">
        <v>76</v>
      </c>
      <c r="J1847" t="s">
        <v>77</v>
      </c>
      <c r="K1847" t="s">
        <v>78</v>
      </c>
      <c r="L1847" t="s">
        <v>207</v>
      </c>
      <c r="M1847" t="s">
        <v>208</v>
      </c>
      <c r="N1847" t="s">
        <v>209</v>
      </c>
      <c r="O1847" t="s">
        <v>82</v>
      </c>
      <c r="P1847" t="str">
        <f>"4170054400                    "</f>
        <v xml:space="preserve">4170054400                    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0</v>
      </c>
      <c r="AI1847">
        <v>0</v>
      </c>
      <c r="AJ1847">
        <v>0</v>
      </c>
      <c r="AK1847">
        <v>0</v>
      </c>
      <c r="AL1847">
        <v>0</v>
      </c>
      <c r="AM1847">
        <v>0</v>
      </c>
      <c r="AN1847">
        <v>0</v>
      </c>
      <c r="AO1847">
        <v>0</v>
      </c>
      <c r="AP1847">
        <v>0</v>
      </c>
      <c r="AQ1847">
        <v>44.73</v>
      </c>
      <c r="AR1847">
        <v>0</v>
      </c>
      <c r="AS1847">
        <v>0</v>
      </c>
      <c r="AT1847">
        <v>0</v>
      </c>
      <c r="AU1847">
        <v>0</v>
      </c>
      <c r="AV1847">
        <v>0</v>
      </c>
      <c r="AW1847">
        <v>0</v>
      </c>
      <c r="AX1847">
        <v>0</v>
      </c>
      <c r="AY1847">
        <v>0</v>
      </c>
      <c r="AZ1847">
        <v>0</v>
      </c>
      <c r="BA1847">
        <v>0</v>
      </c>
      <c r="BB1847">
        <v>0</v>
      </c>
      <c r="BC1847">
        <v>0</v>
      </c>
      <c r="BD1847">
        <v>0</v>
      </c>
      <c r="BE1847">
        <v>0</v>
      </c>
      <c r="BF1847">
        <v>0</v>
      </c>
      <c r="BG1847">
        <v>0</v>
      </c>
      <c r="BH1847">
        <v>1</v>
      </c>
      <c r="BI1847">
        <v>1</v>
      </c>
      <c r="BJ1847">
        <v>0.2</v>
      </c>
      <c r="BK1847">
        <v>1</v>
      </c>
      <c r="BL1847">
        <v>138.88999999999999</v>
      </c>
      <c r="BM1847">
        <v>20.83</v>
      </c>
      <c r="BN1847">
        <v>159.72</v>
      </c>
      <c r="BO1847">
        <v>159.72</v>
      </c>
      <c r="BQ1847" t="s">
        <v>313</v>
      </c>
      <c r="BR1847" t="s">
        <v>84</v>
      </c>
      <c r="BS1847" s="3">
        <v>45883</v>
      </c>
      <c r="BT1847" s="4">
        <v>0.53541666666666665</v>
      </c>
      <c r="BU1847" t="s">
        <v>2497</v>
      </c>
      <c r="BV1847" t="s">
        <v>86</v>
      </c>
      <c r="BY1847">
        <v>1200</v>
      </c>
      <c r="CA1847" t="s">
        <v>2388</v>
      </c>
      <c r="CC1847" t="s">
        <v>208</v>
      </c>
      <c r="CD1847">
        <v>7299</v>
      </c>
      <c r="CE1847" t="s">
        <v>109</v>
      </c>
      <c r="CF1847" s="3">
        <v>45884</v>
      </c>
      <c r="CI1847">
        <v>1</v>
      </c>
      <c r="CJ1847">
        <v>1</v>
      </c>
      <c r="CK1847">
        <v>23</v>
      </c>
      <c r="CL1847" t="s">
        <v>90</v>
      </c>
    </row>
    <row r="1848" spans="1:90" x14ac:dyDescent="0.3">
      <c r="A1848" t="s">
        <v>72</v>
      </c>
      <c r="B1848" t="s">
        <v>73</v>
      </c>
      <c r="C1848" t="s">
        <v>74</v>
      </c>
      <c r="E1848" t="str">
        <f>"080067220107"</f>
        <v>080067220107</v>
      </c>
      <c r="F1848" s="3">
        <v>45882</v>
      </c>
      <c r="G1848">
        <v>202605</v>
      </c>
      <c r="H1848" t="s">
        <v>75</v>
      </c>
      <c r="I1848" t="s">
        <v>76</v>
      </c>
      <c r="J1848" t="s">
        <v>77</v>
      </c>
      <c r="K1848" t="s">
        <v>78</v>
      </c>
      <c r="L1848" t="s">
        <v>75</v>
      </c>
      <c r="M1848" t="s">
        <v>76</v>
      </c>
      <c r="N1848" t="s">
        <v>548</v>
      </c>
      <c r="O1848" t="s">
        <v>82</v>
      </c>
      <c r="P1848" t="str">
        <f>"4170054536                    "</f>
        <v xml:space="preserve">4170054536                    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0</v>
      </c>
      <c r="AI1848">
        <v>0</v>
      </c>
      <c r="AJ1848">
        <v>0</v>
      </c>
      <c r="AK1848">
        <v>0</v>
      </c>
      <c r="AL1848">
        <v>0</v>
      </c>
      <c r="AM1848">
        <v>0</v>
      </c>
      <c r="AN1848">
        <v>0</v>
      </c>
      <c r="AO1848">
        <v>0</v>
      </c>
      <c r="AP1848">
        <v>0</v>
      </c>
      <c r="AQ1848">
        <v>18.03</v>
      </c>
      <c r="AR1848">
        <v>0</v>
      </c>
      <c r="AS1848">
        <v>0</v>
      </c>
      <c r="AT1848">
        <v>0</v>
      </c>
      <c r="AU1848">
        <v>0</v>
      </c>
      <c r="AV1848">
        <v>0</v>
      </c>
      <c r="AW1848">
        <v>0</v>
      </c>
      <c r="AX1848">
        <v>0</v>
      </c>
      <c r="AY1848">
        <v>0</v>
      </c>
      <c r="AZ1848">
        <v>0</v>
      </c>
      <c r="BA1848">
        <v>0</v>
      </c>
      <c r="BB1848">
        <v>0</v>
      </c>
      <c r="BC1848">
        <v>0</v>
      </c>
      <c r="BD1848">
        <v>0</v>
      </c>
      <c r="BE1848">
        <v>0</v>
      </c>
      <c r="BF1848">
        <v>0</v>
      </c>
      <c r="BG1848">
        <v>0</v>
      </c>
      <c r="BH1848">
        <v>1</v>
      </c>
      <c r="BI1848">
        <v>4</v>
      </c>
      <c r="BJ1848">
        <v>2.4</v>
      </c>
      <c r="BK1848">
        <v>4</v>
      </c>
      <c r="BL1848">
        <v>55.99</v>
      </c>
      <c r="BM1848">
        <v>8.4</v>
      </c>
      <c r="BN1848">
        <v>64.39</v>
      </c>
      <c r="BO1848">
        <v>64.39</v>
      </c>
      <c r="BQ1848" t="s">
        <v>549</v>
      </c>
      <c r="BR1848" t="s">
        <v>84</v>
      </c>
      <c r="BS1848" s="3">
        <v>45883</v>
      </c>
      <c r="BT1848" s="4">
        <v>0.3923611111111111</v>
      </c>
      <c r="BU1848" t="s">
        <v>550</v>
      </c>
      <c r="BV1848" t="s">
        <v>86</v>
      </c>
      <c r="BY1848">
        <v>11776</v>
      </c>
      <c r="CA1848" t="s">
        <v>1356</v>
      </c>
      <c r="CC1848" t="s">
        <v>76</v>
      </c>
      <c r="CD1848">
        <v>1666</v>
      </c>
      <c r="CE1848" t="s">
        <v>117</v>
      </c>
      <c r="CF1848" s="3">
        <v>45883</v>
      </c>
      <c r="CI1848">
        <v>1</v>
      </c>
      <c r="CJ1848">
        <v>1</v>
      </c>
      <c r="CK1848">
        <v>22</v>
      </c>
      <c r="CL1848" t="s">
        <v>90</v>
      </c>
    </row>
    <row r="1849" spans="1:90" x14ac:dyDescent="0.3">
      <c r="A1849" t="s">
        <v>72</v>
      </c>
      <c r="B1849" t="s">
        <v>73</v>
      </c>
      <c r="C1849" t="s">
        <v>74</v>
      </c>
      <c r="E1849" t="str">
        <f>"080067220147"</f>
        <v>080067220147</v>
      </c>
      <c r="F1849" s="3">
        <v>45882</v>
      </c>
      <c r="G1849">
        <v>202605</v>
      </c>
      <c r="H1849" t="s">
        <v>75</v>
      </c>
      <c r="I1849" t="s">
        <v>76</v>
      </c>
      <c r="J1849" t="s">
        <v>77</v>
      </c>
      <c r="K1849" t="s">
        <v>78</v>
      </c>
      <c r="L1849" t="s">
        <v>400</v>
      </c>
      <c r="M1849" t="s">
        <v>401</v>
      </c>
      <c r="N1849" t="s">
        <v>788</v>
      </c>
      <c r="O1849" t="s">
        <v>82</v>
      </c>
      <c r="P1849" t="str">
        <f>"4170054511                    "</f>
        <v xml:space="preserve">4170054511                    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0</v>
      </c>
      <c r="AI1849">
        <v>0</v>
      </c>
      <c r="AJ1849">
        <v>0</v>
      </c>
      <c r="AK1849">
        <v>0</v>
      </c>
      <c r="AL1849">
        <v>0</v>
      </c>
      <c r="AM1849">
        <v>0</v>
      </c>
      <c r="AN1849">
        <v>0</v>
      </c>
      <c r="AO1849">
        <v>0</v>
      </c>
      <c r="AP1849">
        <v>0</v>
      </c>
      <c r="AQ1849">
        <v>23.09</v>
      </c>
      <c r="AR1849">
        <v>0</v>
      </c>
      <c r="AS1849">
        <v>0</v>
      </c>
      <c r="AT1849">
        <v>0</v>
      </c>
      <c r="AU1849">
        <v>0</v>
      </c>
      <c r="AV1849">
        <v>0</v>
      </c>
      <c r="AW1849">
        <v>0</v>
      </c>
      <c r="AX1849">
        <v>0</v>
      </c>
      <c r="AY1849">
        <v>0</v>
      </c>
      <c r="AZ1849">
        <v>0</v>
      </c>
      <c r="BA1849">
        <v>0</v>
      </c>
      <c r="BB1849">
        <v>0</v>
      </c>
      <c r="BC1849">
        <v>0</v>
      </c>
      <c r="BD1849">
        <v>0</v>
      </c>
      <c r="BE1849">
        <v>0</v>
      </c>
      <c r="BF1849">
        <v>0</v>
      </c>
      <c r="BG1849">
        <v>0</v>
      </c>
      <c r="BH1849">
        <v>1</v>
      </c>
      <c r="BI1849">
        <v>1</v>
      </c>
      <c r="BJ1849">
        <v>0.2</v>
      </c>
      <c r="BK1849">
        <v>1</v>
      </c>
      <c r="BL1849">
        <v>71.69</v>
      </c>
      <c r="BM1849">
        <v>10.75</v>
      </c>
      <c r="BN1849">
        <v>82.44</v>
      </c>
      <c r="BO1849">
        <v>82.44</v>
      </c>
      <c r="BQ1849" t="s">
        <v>789</v>
      </c>
      <c r="BR1849" t="s">
        <v>84</v>
      </c>
      <c r="BS1849" s="3">
        <v>45883</v>
      </c>
      <c r="BT1849" s="4">
        <v>0.33402777777777776</v>
      </c>
      <c r="BU1849" t="s">
        <v>1926</v>
      </c>
      <c r="BV1849" t="s">
        <v>86</v>
      </c>
      <c r="BY1849">
        <v>1200</v>
      </c>
      <c r="CA1849" t="s">
        <v>405</v>
      </c>
      <c r="CC1849" t="s">
        <v>401</v>
      </c>
      <c r="CD1849">
        <v>6230</v>
      </c>
      <c r="CE1849" t="s">
        <v>109</v>
      </c>
      <c r="CF1849" s="3">
        <v>45883</v>
      </c>
      <c r="CI1849">
        <v>1</v>
      </c>
      <c r="CJ1849">
        <v>1</v>
      </c>
      <c r="CK1849">
        <v>21</v>
      </c>
      <c r="CL1849" t="s">
        <v>90</v>
      </c>
    </row>
    <row r="1850" spans="1:90" x14ac:dyDescent="0.3">
      <c r="A1850" t="s">
        <v>72</v>
      </c>
      <c r="B1850" t="s">
        <v>73</v>
      </c>
      <c r="C1850" t="s">
        <v>74</v>
      </c>
      <c r="E1850" t="str">
        <f>"080067220151"</f>
        <v>080067220151</v>
      </c>
      <c r="F1850" s="3">
        <v>45882</v>
      </c>
      <c r="G1850">
        <v>202605</v>
      </c>
      <c r="H1850" t="s">
        <v>75</v>
      </c>
      <c r="I1850" t="s">
        <v>76</v>
      </c>
      <c r="J1850" t="s">
        <v>77</v>
      </c>
      <c r="K1850" t="s">
        <v>78</v>
      </c>
      <c r="L1850" t="s">
        <v>325</v>
      </c>
      <c r="M1850" t="s">
        <v>326</v>
      </c>
      <c r="N1850" t="s">
        <v>458</v>
      </c>
      <c r="O1850" t="s">
        <v>113</v>
      </c>
      <c r="P1850" t="str">
        <f>"4170054546                    "</f>
        <v xml:space="preserve">4170054546                    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0</v>
      </c>
      <c r="AI1850">
        <v>0</v>
      </c>
      <c r="AJ1850">
        <v>0</v>
      </c>
      <c r="AK1850">
        <v>0</v>
      </c>
      <c r="AL1850">
        <v>0</v>
      </c>
      <c r="AM1850">
        <v>0</v>
      </c>
      <c r="AN1850">
        <v>0</v>
      </c>
      <c r="AO1850">
        <v>0</v>
      </c>
      <c r="AP1850">
        <v>0</v>
      </c>
      <c r="AQ1850">
        <v>26.13</v>
      </c>
      <c r="AR1850">
        <v>0</v>
      </c>
      <c r="AS1850">
        <v>0</v>
      </c>
      <c r="AT1850">
        <v>0</v>
      </c>
      <c r="AU1850">
        <v>0</v>
      </c>
      <c r="AV1850">
        <v>0</v>
      </c>
      <c r="AW1850">
        <v>0</v>
      </c>
      <c r="AX1850">
        <v>0</v>
      </c>
      <c r="AY1850">
        <v>0</v>
      </c>
      <c r="AZ1850">
        <v>0</v>
      </c>
      <c r="BA1850">
        <v>0</v>
      </c>
      <c r="BB1850">
        <v>0</v>
      </c>
      <c r="BC1850">
        <v>0</v>
      </c>
      <c r="BD1850">
        <v>0</v>
      </c>
      <c r="BE1850">
        <v>0</v>
      </c>
      <c r="BF1850">
        <v>0</v>
      </c>
      <c r="BG1850">
        <v>0</v>
      </c>
      <c r="BH1850">
        <v>1</v>
      </c>
      <c r="BI1850">
        <v>12</v>
      </c>
      <c r="BJ1850">
        <v>8.9</v>
      </c>
      <c r="BK1850">
        <v>12</v>
      </c>
      <c r="BL1850">
        <v>81.14</v>
      </c>
      <c r="BM1850">
        <v>12.17</v>
      </c>
      <c r="BN1850">
        <v>93.31</v>
      </c>
      <c r="BO1850">
        <v>93.31</v>
      </c>
      <c r="BQ1850" t="s">
        <v>459</v>
      </c>
      <c r="BR1850" t="s">
        <v>84</v>
      </c>
      <c r="BS1850" s="3">
        <v>45883</v>
      </c>
      <c r="BT1850" s="4">
        <v>0.40069444444444446</v>
      </c>
      <c r="BU1850" t="s">
        <v>460</v>
      </c>
      <c r="BV1850" t="s">
        <v>86</v>
      </c>
      <c r="BY1850">
        <v>44640</v>
      </c>
      <c r="CA1850" t="s">
        <v>461</v>
      </c>
      <c r="CC1850" t="s">
        <v>326</v>
      </c>
      <c r="CD1850">
        <v>2197</v>
      </c>
      <c r="CE1850" t="s">
        <v>147</v>
      </c>
      <c r="CF1850" s="3">
        <v>45883</v>
      </c>
      <c r="CI1850">
        <v>1</v>
      </c>
      <c r="CJ1850">
        <v>1</v>
      </c>
      <c r="CK1850">
        <v>32</v>
      </c>
      <c r="CL1850" t="s">
        <v>90</v>
      </c>
    </row>
    <row r="1851" spans="1:90" x14ac:dyDescent="0.3">
      <c r="A1851" t="s">
        <v>72</v>
      </c>
      <c r="B1851" t="s">
        <v>73</v>
      </c>
      <c r="C1851" t="s">
        <v>74</v>
      </c>
      <c r="E1851" t="str">
        <f>"080067220182"</f>
        <v>080067220182</v>
      </c>
      <c r="F1851" s="3">
        <v>45882</v>
      </c>
      <c r="G1851">
        <v>202605</v>
      </c>
      <c r="H1851" t="s">
        <v>75</v>
      </c>
      <c r="I1851" t="s">
        <v>76</v>
      </c>
      <c r="J1851" t="s">
        <v>77</v>
      </c>
      <c r="K1851" t="s">
        <v>78</v>
      </c>
      <c r="L1851" t="s">
        <v>325</v>
      </c>
      <c r="M1851" t="s">
        <v>326</v>
      </c>
      <c r="N1851" t="s">
        <v>458</v>
      </c>
      <c r="O1851" t="s">
        <v>113</v>
      </c>
      <c r="P1851" t="str">
        <f>"4170054560                    "</f>
        <v xml:space="preserve">4170054560                    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0</v>
      </c>
      <c r="AI1851">
        <v>0</v>
      </c>
      <c r="AJ1851">
        <v>0</v>
      </c>
      <c r="AK1851">
        <v>0</v>
      </c>
      <c r="AL1851">
        <v>0</v>
      </c>
      <c r="AM1851">
        <v>0</v>
      </c>
      <c r="AN1851">
        <v>0</v>
      </c>
      <c r="AO1851">
        <v>0</v>
      </c>
      <c r="AP1851">
        <v>0</v>
      </c>
      <c r="AQ1851">
        <v>26.13</v>
      </c>
      <c r="AR1851">
        <v>0</v>
      </c>
      <c r="AS1851">
        <v>0</v>
      </c>
      <c r="AT1851">
        <v>0</v>
      </c>
      <c r="AU1851">
        <v>0</v>
      </c>
      <c r="AV1851">
        <v>0</v>
      </c>
      <c r="AW1851">
        <v>0</v>
      </c>
      <c r="AX1851">
        <v>0</v>
      </c>
      <c r="AY1851">
        <v>0</v>
      </c>
      <c r="AZ1851">
        <v>0</v>
      </c>
      <c r="BA1851">
        <v>0</v>
      </c>
      <c r="BB1851">
        <v>0</v>
      </c>
      <c r="BC1851">
        <v>0</v>
      </c>
      <c r="BD1851">
        <v>0</v>
      </c>
      <c r="BE1851">
        <v>0</v>
      </c>
      <c r="BF1851">
        <v>0</v>
      </c>
      <c r="BG1851">
        <v>0</v>
      </c>
      <c r="BH1851">
        <v>1</v>
      </c>
      <c r="BI1851">
        <v>12</v>
      </c>
      <c r="BJ1851">
        <v>8.9</v>
      </c>
      <c r="BK1851">
        <v>12</v>
      </c>
      <c r="BL1851">
        <v>81.14</v>
      </c>
      <c r="BM1851">
        <v>12.17</v>
      </c>
      <c r="BN1851">
        <v>93.31</v>
      </c>
      <c r="BO1851">
        <v>93.31</v>
      </c>
      <c r="BQ1851" t="s">
        <v>459</v>
      </c>
      <c r="BR1851" t="s">
        <v>84</v>
      </c>
      <c r="BS1851" s="3">
        <v>45883</v>
      </c>
      <c r="BT1851" s="4">
        <v>0.40069444444444446</v>
      </c>
      <c r="BU1851" t="s">
        <v>460</v>
      </c>
      <c r="BV1851" t="s">
        <v>86</v>
      </c>
      <c r="BY1851">
        <v>44640</v>
      </c>
      <c r="CA1851" t="s">
        <v>461</v>
      </c>
      <c r="CC1851" t="s">
        <v>326</v>
      </c>
      <c r="CD1851">
        <v>2197</v>
      </c>
      <c r="CE1851" t="s">
        <v>147</v>
      </c>
      <c r="CF1851" s="3">
        <v>45883</v>
      </c>
      <c r="CI1851">
        <v>1</v>
      </c>
      <c r="CJ1851">
        <v>1</v>
      </c>
      <c r="CK1851">
        <v>32</v>
      </c>
      <c r="CL1851" t="s">
        <v>90</v>
      </c>
    </row>
    <row r="1852" spans="1:90" x14ac:dyDescent="0.3">
      <c r="A1852" t="s">
        <v>72</v>
      </c>
      <c r="B1852" t="s">
        <v>73</v>
      </c>
      <c r="C1852" t="s">
        <v>74</v>
      </c>
      <c r="E1852" t="str">
        <f>"080067220254"</f>
        <v>080067220254</v>
      </c>
      <c r="F1852" s="3">
        <v>45882</v>
      </c>
      <c r="G1852">
        <v>202605</v>
      </c>
      <c r="H1852" t="s">
        <v>75</v>
      </c>
      <c r="I1852" t="s">
        <v>76</v>
      </c>
      <c r="J1852" t="s">
        <v>77</v>
      </c>
      <c r="K1852" t="s">
        <v>78</v>
      </c>
      <c r="L1852" t="s">
        <v>198</v>
      </c>
      <c r="M1852" t="s">
        <v>199</v>
      </c>
      <c r="N1852" t="s">
        <v>1357</v>
      </c>
      <c r="O1852" t="s">
        <v>82</v>
      </c>
      <c r="P1852" t="str">
        <f>"4170054615                    "</f>
        <v xml:space="preserve">4170054615                    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>
        <v>57.68</v>
      </c>
      <c r="AR1852">
        <v>0</v>
      </c>
      <c r="AS1852">
        <v>0</v>
      </c>
      <c r="AT1852">
        <v>0</v>
      </c>
      <c r="AU1852">
        <v>0</v>
      </c>
      <c r="AV1852">
        <v>0</v>
      </c>
      <c r="AW1852">
        <v>0</v>
      </c>
      <c r="AX1852">
        <v>0</v>
      </c>
      <c r="AY1852">
        <v>0</v>
      </c>
      <c r="AZ1852">
        <v>0</v>
      </c>
      <c r="BA1852">
        <v>0</v>
      </c>
      <c r="BB1852">
        <v>0</v>
      </c>
      <c r="BC1852">
        <v>0</v>
      </c>
      <c r="BD1852">
        <v>0</v>
      </c>
      <c r="BE1852">
        <v>0</v>
      </c>
      <c r="BF1852">
        <v>0</v>
      </c>
      <c r="BG1852">
        <v>0</v>
      </c>
      <c r="BH1852">
        <v>1</v>
      </c>
      <c r="BI1852">
        <v>5</v>
      </c>
      <c r="BJ1852">
        <v>3.4</v>
      </c>
      <c r="BK1852">
        <v>5</v>
      </c>
      <c r="BL1852">
        <v>179.12</v>
      </c>
      <c r="BM1852">
        <v>26.87</v>
      </c>
      <c r="BN1852">
        <v>205.99</v>
      </c>
      <c r="BO1852">
        <v>205.99</v>
      </c>
      <c r="BQ1852" t="s">
        <v>1358</v>
      </c>
      <c r="BR1852" t="s">
        <v>84</v>
      </c>
      <c r="BS1852" s="3">
        <v>45884</v>
      </c>
      <c r="BT1852" s="4">
        <v>0.3923611111111111</v>
      </c>
      <c r="BU1852" t="s">
        <v>2076</v>
      </c>
      <c r="BV1852" t="s">
        <v>90</v>
      </c>
      <c r="BW1852" t="s">
        <v>134</v>
      </c>
      <c r="BX1852" t="s">
        <v>1360</v>
      </c>
      <c r="BY1852">
        <v>16965</v>
      </c>
      <c r="CA1852" t="s">
        <v>203</v>
      </c>
      <c r="CC1852" t="s">
        <v>199</v>
      </c>
      <c r="CD1852">
        <v>6001</v>
      </c>
      <c r="CE1852" t="s">
        <v>147</v>
      </c>
      <c r="CF1852" s="3">
        <v>45884</v>
      </c>
      <c r="CI1852">
        <v>1</v>
      </c>
      <c r="CJ1852">
        <v>2</v>
      </c>
      <c r="CK1852">
        <v>21</v>
      </c>
      <c r="CL1852" t="s">
        <v>90</v>
      </c>
    </row>
    <row r="1853" spans="1:90" x14ac:dyDescent="0.3">
      <c r="A1853" t="s">
        <v>72</v>
      </c>
      <c r="B1853" t="s">
        <v>73</v>
      </c>
      <c r="C1853" t="s">
        <v>74</v>
      </c>
      <c r="E1853" t="str">
        <f>"080067220252"</f>
        <v>080067220252</v>
      </c>
      <c r="F1853" s="3">
        <v>45882</v>
      </c>
      <c r="G1853">
        <v>202605</v>
      </c>
      <c r="H1853" t="s">
        <v>75</v>
      </c>
      <c r="I1853" t="s">
        <v>76</v>
      </c>
      <c r="J1853" t="s">
        <v>77</v>
      </c>
      <c r="K1853" t="s">
        <v>78</v>
      </c>
      <c r="L1853" t="s">
        <v>373</v>
      </c>
      <c r="M1853" t="s">
        <v>374</v>
      </c>
      <c r="N1853" t="s">
        <v>1695</v>
      </c>
      <c r="O1853" t="s">
        <v>82</v>
      </c>
      <c r="P1853" t="str">
        <f>"4170054431                    "</f>
        <v xml:space="preserve">4170054431                    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Q1853">
        <v>23.09</v>
      </c>
      <c r="AR1853">
        <v>0</v>
      </c>
      <c r="AS1853">
        <v>0</v>
      </c>
      <c r="AT1853">
        <v>0</v>
      </c>
      <c r="AU1853">
        <v>0</v>
      </c>
      <c r="AV1853">
        <v>0</v>
      </c>
      <c r="AW1853">
        <v>0</v>
      </c>
      <c r="AX1853">
        <v>0</v>
      </c>
      <c r="AY1853">
        <v>0</v>
      </c>
      <c r="AZ1853">
        <v>0</v>
      </c>
      <c r="BA1853">
        <v>0</v>
      </c>
      <c r="BB1853">
        <v>0</v>
      </c>
      <c r="BC1853">
        <v>0</v>
      </c>
      <c r="BD1853">
        <v>0</v>
      </c>
      <c r="BE1853">
        <v>0</v>
      </c>
      <c r="BF1853">
        <v>0</v>
      </c>
      <c r="BG1853">
        <v>0</v>
      </c>
      <c r="BH1853">
        <v>1</v>
      </c>
      <c r="BI1853">
        <v>1</v>
      </c>
      <c r="BJ1853">
        <v>0.2</v>
      </c>
      <c r="BK1853">
        <v>1</v>
      </c>
      <c r="BL1853">
        <v>71.69</v>
      </c>
      <c r="BM1853">
        <v>10.75</v>
      </c>
      <c r="BN1853">
        <v>82.44</v>
      </c>
      <c r="BO1853">
        <v>82.44</v>
      </c>
      <c r="BQ1853" t="s">
        <v>1696</v>
      </c>
      <c r="BR1853" t="s">
        <v>84</v>
      </c>
      <c r="BS1853" s="3">
        <v>45883</v>
      </c>
      <c r="BT1853" s="4">
        <v>0.4284722222222222</v>
      </c>
      <c r="BU1853" t="s">
        <v>1697</v>
      </c>
      <c r="BV1853" t="s">
        <v>86</v>
      </c>
      <c r="BY1853">
        <v>1200</v>
      </c>
      <c r="CA1853" t="s">
        <v>203</v>
      </c>
      <c r="CC1853" t="s">
        <v>374</v>
      </c>
      <c r="CD1853">
        <v>6220</v>
      </c>
      <c r="CE1853" t="s">
        <v>109</v>
      </c>
      <c r="CF1853" s="3">
        <v>45883</v>
      </c>
      <c r="CI1853">
        <v>1</v>
      </c>
      <c r="CJ1853">
        <v>1</v>
      </c>
      <c r="CK1853">
        <v>21</v>
      </c>
      <c r="CL1853" t="s">
        <v>90</v>
      </c>
    </row>
    <row r="1854" spans="1:90" x14ac:dyDescent="0.3">
      <c r="A1854" t="s">
        <v>72</v>
      </c>
      <c r="B1854" t="s">
        <v>73</v>
      </c>
      <c r="C1854" t="s">
        <v>74</v>
      </c>
      <c r="E1854" t="str">
        <f>"080067220296"</f>
        <v>080067220296</v>
      </c>
      <c r="F1854" s="3">
        <v>45882</v>
      </c>
      <c r="G1854">
        <v>202605</v>
      </c>
      <c r="H1854" t="s">
        <v>75</v>
      </c>
      <c r="I1854" t="s">
        <v>76</v>
      </c>
      <c r="J1854" t="s">
        <v>77</v>
      </c>
      <c r="K1854" t="s">
        <v>78</v>
      </c>
      <c r="L1854" t="s">
        <v>278</v>
      </c>
      <c r="M1854" t="s">
        <v>279</v>
      </c>
      <c r="N1854" t="s">
        <v>1279</v>
      </c>
      <c r="O1854" t="s">
        <v>82</v>
      </c>
      <c r="P1854" t="str">
        <f>"4170054644                    "</f>
        <v xml:space="preserve">4170054644                    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0</v>
      </c>
      <c r="AO1854">
        <v>0</v>
      </c>
      <c r="AP1854">
        <v>0</v>
      </c>
      <c r="AQ1854">
        <v>23.09</v>
      </c>
      <c r="AR1854">
        <v>0</v>
      </c>
      <c r="AS1854">
        <v>0</v>
      </c>
      <c r="AT1854">
        <v>0</v>
      </c>
      <c r="AU1854">
        <v>0</v>
      </c>
      <c r="AV1854">
        <v>0</v>
      </c>
      <c r="AW1854">
        <v>0</v>
      </c>
      <c r="AX1854">
        <v>0</v>
      </c>
      <c r="AY1854">
        <v>0</v>
      </c>
      <c r="AZ1854">
        <v>0</v>
      </c>
      <c r="BA1854">
        <v>0</v>
      </c>
      <c r="BB1854">
        <v>0</v>
      </c>
      <c r="BC1854">
        <v>0</v>
      </c>
      <c r="BD1854">
        <v>0</v>
      </c>
      <c r="BE1854">
        <v>0</v>
      </c>
      <c r="BF1854">
        <v>0</v>
      </c>
      <c r="BG1854">
        <v>0</v>
      </c>
      <c r="BH1854">
        <v>1</v>
      </c>
      <c r="BI1854">
        <v>1</v>
      </c>
      <c r="BJ1854">
        <v>0.8</v>
      </c>
      <c r="BK1854">
        <v>1</v>
      </c>
      <c r="BL1854">
        <v>71.69</v>
      </c>
      <c r="BM1854">
        <v>10.75</v>
      </c>
      <c r="BN1854">
        <v>82.44</v>
      </c>
      <c r="BO1854">
        <v>82.44</v>
      </c>
      <c r="BQ1854" t="s">
        <v>1280</v>
      </c>
      <c r="BR1854" t="s">
        <v>84</v>
      </c>
      <c r="BS1854" s="3">
        <v>45883</v>
      </c>
      <c r="BT1854" s="4">
        <v>0.40486111111111112</v>
      </c>
      <c r="BU1854" t="s">
        <v>1281</v>
      </c>
      <c r="BV1854" t="s">
        <v>86</v>
      </c>
      <c r="BY1854">
        <v>4000</v>
      </c>
      <c r="CA1854" t="s">
        <v>283</v>
      </c>
      <c r="CC1854" t="s">
        <v>279</v>
      </c>
      <c r="CD1854" s="5" t="s">
        <v>652</v>
      </c>
      <c r="CE1854" t="s">
        <v>117</v>
      </c>
      <c r="CF1854" s="3">
        <v>45883</v>
      </c>
      <c r="CI1854">
        <v>1</v>
      </c>
      <c r="CJ1854">
        <v>1</v>
      </c>
      <c r="CK1854">
        <v>21</v>
      </c>
      <c r="CL1854" t="s">
        <v>90</v>
      </c>
    </row>
    <row r="1855" spans="1:90" x14ac:dyDescent="0.3">
      <c r="A1855" t="s">
        <v>72</v>
      </c>
      <c r="B1855" t="s">
        <v>73</v>
      </c>
      <c r="C1855" t="s">
        <v>74</v>
      </c>
      <c r="E1855" t="str">
        <f>"080067220359"</f>
        <v>080067220359</v>
      </c>
      <c r="F1855" s="3">
        <v>45882</v>
      </c>
      <c r="G1855">
        <v>202605</v>
      </c>
      <c r="H1855" t="s">
        <v>75</v>
      </c>
      <c r="I1855" t="s">
        <v>76</v>
      </c>
      <c r="J1855" t="s">
        <v>77</v>
      </c>
      <c r="K1855" t="s">
        <v>78</v>
      </c>
      <c r="L1855" t="s">
        <v>234</v>
      </c>
      <c r="M1855" t="s">
        <v>235</v>
      </c>
      <c r="N1855" t="s">
        <v>236</v>
      </c>
      <c r="O1855" t="s">
        <v>95</v>
      </c>
      <c r="P1855" t="str">
        <f>"4170054641                    "</f>
        <v xml:space="preserve">4170054641                    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0</v>
      </c>
      <c r="AJ1855">
        <v>0</v>
      </c>
      <c r="AK1855">
        <v>0</v>
      </c>
      <c r="AL1855">
        <v>0</v>
      </c>
      <c r="AM1855">
        <v>0</v>
      </c>
      <c r="AN1855">
        <v>0</v>
      </c>
      <c r="AO1855">
        <v>0</v>
      </c>
      <c r="AP1855">
        <v>0</v>
      </c>
      <c r="AQ1855">
        <v>44.64</v>
      </c>
      <c r="AR1855">
        <v>0</v>
      </c>
      <c r="AS1855">
        <v>0</v>
      </c>
      <c r="AT1855">
        <v>0</v>
      </c>
      <c r="AU1855">
        <v>0</v>
      </c>
      <c r="AV1855">
        <v>0</v>
      </c>
      <c r="AW1855">
        <v>0</v>
      </c>
      <c r="AX1855">
        <v>0</v>
      </c>
      <c r="AY1855">
        <v>0</v>
      </c>
      <c r="AZ1855">
        <v>0</v>
      </c>
      <c r="BA1855">
        <v>0</v>
      </c>
      <c r="BB1855">
        <v>0</v>
      </c>
      <c r="BC1855">
        <v>0</v>
      </c>
      <c r="BD1855">
        <v>0</v>
      </c>
      <c r="BE1855">
        <v>0</v>
      </c>
      <c r="BF1855">
        <v>0</v>
      </c>
      <c r="BG1855">
        <v>0</v>
      </c>
      <c r="BH1855">
        <v>1</v>
      </c>
      <c r="BI1855">
        <v>6</v>
      </c>
      <c r="BJ1855">
        <v>3.4</v>
      </c>
      <c r="BK1855">
        <v>6</v>
      </c>
      <c r="BL1855">
        <v>144.49</v>
      </c>
      <c r="BM1855">
        <v>21.67</v>
      </c>
      <c r="BN1855">
        <v>166.16</v>
      </c>
      <c r="BO1855">
        <v>166.16</v>
      </c>
      <c r="BQ1855" t="s">
        <v>237</v>
      </c>
      <c r="BR1855" t="s">
        <v>84</v>
      </c>
      <c r="BS1855" s="3">
        <v>45883</v>
      </c>
      <c r="BT1855" s="4">
        <v>0.35208333333333336</v>
      </c>
      <c r="BU1855" t="s">
        <v>650</v>
      </c>
      <c r="BV1855" t="s">
        <v>86</v>
      </c>
      <c r="BY1855">
        <v>16960</v>
      </c>
      <c r="CA1855" t="s">
        <v>239</v>
      </c>
      <c r="CC1855" t="s">
        <v>235</v>
      </c>
      <c r="CD1855" s="5" t="s">
        <v>240</v>
      </c>
      <c r="CE1855" t="s">
        <v>117</v>
      </c>
      <c r="CF1855" s="3">
        <v>45883</v>
      </c>
      <c r="CI1855">
        <v>1</v>
      </c>
      <c r="CJ1855">
        <v>1</v>
      </c>
      <c r="CK1855">
        <v>41</v>
      </c>
      <c r="CL1855" t="s">
        <v>90</v>
      </c>
    </row>
    <row r="1856" spans="1:90" x14ac:dyDescent="0.3">
      <c r="A1856" t="s">
        <v>72</v>
      </c>
      <c r="B1856" t="s">
        <v>73</v>
      </c>
      <c r="C1856" t="s">
        <v>74</v>
      </c>
      <c r="E1856" t="str">
        <f>"080067220412"</f>
        <v>080067220412</v>
      </c>
      <c r="F1856" s="3">
        <v>45882</v>
      </c>
      <c r="G1856">
        <v>202605</v>
      </c>
      <c r="H1856" t="s">
        <v>75</v>
      </c>
      <c r="I1856" t="s">
        <v>76</v>
      </c>
      <c r="J1856" t="s">
        <v>77</v>
      </c>
      <c r="K1856" t="s">
        <v>78</v>
      </c>
      <c r="L1856" t="s">
        <v>217</v>
      </c>
      <c r="M1856" t="s">
        <v>218</v>
      </c>
      <c r="N1856" t="s">
        <v>1956</v>
      </c>
      <c r="O1856" t="s">
        <v>82</v>
      </c>
      <c r="P1856" t="str">
        <f>"4170054388                    "</f>
        <v xml:space="preserve">4170054388                    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0</v>
      </c>
      <c r="AM1856">
        <v>0</v>
      </c>
      <c r="AN1856">
        <v>0</v>
      </c>
      <c r="AO1856">
        <v>0</v>
      </c>
      <c r="AP1856">
        <v>0</v>
      </c>
      <c r="AQ1856">
        <v>80.75</v>
      </c>
      <c r="AR1856">
        <v>0</v>
      </c>
      <c r="AS1856">
        <v>0</v>
      </c>
      <c r="AT1856">
        <v>0</v>
      </c>
      <c r="AU1856">
        <v>0</v>
      </c>
      <c r="AV1856">
        <v>0</v>
      </c>
      <c r="AW1856">
        <v>0</v>
      </c>
      <c r="AX1856">
        <v>0</v>
      </c>
      <c r="AY1856">
        <v>0</v>
      </c>
      <c r="AZ1856">
        <v>0</v>
      </c>
      <c r="BA1856">
        <v>0</v>
      </c>
      <c r="BB1856">
        <v>0</v>
      </c>
      <c r="BC1856">
        <v>0</v>
      </c>
      <c r="BD1856">
        <v>0</v>
      </c>
      <c r="BE1856">
        <v>0</v>
      </c>
      <c r="BF1856">
        <v>0</v>
      </c>
      <c r="BG1856">
        <v>0</v>
      </c>
      <c r="BH1856">
        <v>1</v>
      </c>
      <c r="BI1856">
        <v>7</v>
      </c>
      <c r="BJ1856">
        <v>4.0999999999999996</v>
      </c>
      <c r="BK1856">
        <v>7</v>
      </c>
      <c r="BL1856">
        <v>250.75</v>
      </c>
      <c r="BM1856">
        <v>37.61</v>
      </c>
      <c r="BN1856">
        <v>288.36</v>
      </c>
      <c r="BO1856">
        <v>288.36</v>
      </c>
      <c r="BQ1856" t="s">
        <v>1957</v>
      </c>
      <c r="BR1856" t="s">
        <v>84</v>
      </c>
      <c r="BS1856" s="3">
        <v>45883</v>
      </c>
      <c r="BT1856" s="4">
        <v>0.54166666666666663</v>
      </c>
      <c r="BU1856" t="s">
        <v>1901</v>
      </c>
      <c r="BV1856" t="s">
        <v>90</v>
      </c>
      <c r="BW1856" t="s">
        <v>134</v>
      </c>
      <c r="BX1856" t="s">
        <v>1573</v>
      </c>
      <c r="BY1856">
        <v>20412</v>
      </c>
      <c r="CC1856" t="s">
        <v>218</v>
      </c>
      <c r="CD1856">
        <v>4052</v>
      </c>
      <c r="CE1856" t="s">
        <v>2498</v>
      </c>
      <c r="CF1856" s="3">
        <v>45883</v>
      </c>
      <c r="CI1856">
        <v>1</v>
      </c>
      <c r="CJ1856">
        <v>1</v>
      </c>
      <c r="CK1856">
        <v>21</v>
      </c>
      <c r="CL1856" t="s">
        <v>90</v>
      </c>
    </row>
    <row r="1857" spans="1:90" x14ac:dyDescent="0.3">
      <c r="A1857" t="s">
        <v>72</v>
      </c>
      <c r="B1857" t="s">
        <v>73</v>
      </c>
      <c r="C1857" t="s">
        <v>74</v>
      </c>
      <c r="E1857" t="str">
        <f>"080067220977"</f>
        <v>080067220977</v>
      </c>
      <c r="F1857" s="3">
        <v>45882</v>
      </c>
      <c r="G1857">
        <v>202605</v>
      </c>
      <c r="H1857" t="s">
        <v>75</v>
      </c>
      <c r="I1857" t="s">
        <v>76</v>
      </c>
      <c r="J1857" t="s">
        <v>77</v>
      </c>
      <c r="K1857" t="s">
        <v>78</v>
      </c>
      <c r="L1857" t="s">
        <v>123</v>
      </c>
      <c r="M1857" t="s">
        <v>124</v>
      </c>
      <c r="N1857" t="s">
        <v>168</v>
      </c>
      <c r="O1857" t="s">
        <v>95</v>
      </c>
      <c r="P1857" t="str">
        <f>"4170054704                    "</f>
        <v xml:space="preserve">4170054704                    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0</v>
      </c>
      <c r="AK1857">
        <v>0</v>
      </c>
      <c r="AL1857">
        <v>0</v>
      </c>
      <c r="AM1857">
        <v>0</v>
      </c>
      <c r="AN1857">
        <v>0</v>
      </c>
      <c r="AO1857">
        <v>0</v>
      </c>
      <c r="AP1857">
        <v>0</v>
      </c>
      <c r="AQ1857">
        <v>133.1</v>
      </c>
      <c r="AR1857">
        <v>0</v>
      </c>
      <c r="AS1857">
        <v>0</v>
      </c>
      <c r="AT1857">
        <v>0</v>
      </c>
      <c r="AU1857">
        <v>0</v>
      </c>
      <c r="AV1857">
        <v>0</v>
      </c>
      <c r="AW1857">
        <v>0</v>
      </c>
      <c r="AX1857">
        <v>0</v>
      </c>
      <c r="AY1857">
        <v>0</v>
      </c>
      <c r="AZ1857">
        <v>0</v>
      </c>
      <c r="BA1857">
        <v>0</v>
      </c>
      <c r="BB1857">
        <v>0</v>
      </c>
      <c r="BC1857">
        <v>0</v>
      </c>
      <c r="BD1857">
        <v>0</v>
      </c>
      <c r="BE1857">
        <v>0</v>
      </c>
      <c r="BF1857">
        <v>0</v>
      </c>
      <c r="BG1857">
        <v>0</v>
      </c>
      <c r="BH1857">
        <v>1</v>
      </c>
      <c r="BI1857">
        <v>51</v>
      </c>
      <c r="BJ1857">
        <v>63</v>
      </c>
      <c r="BK1857">
        <v>63</v>
      </c>
      <c r="BL1857">
        <v>419.19</v>
      </c>
      <c r="BM1857">
        <v>62.88</v>
      </c>
      <c r="BN1857">
        <v>482.07</v>
      </c>
      <c r="BO1857">
        <v>482.07</v>
      </c>
      <c r="BQ1857" t="s">
        <v>169</v>
      </c>
      <c r="BR1857" t="s">
        <v>84</v>
      </c>
      <c r="BS1857" s="3">
        <v>45884</v>
      </c>
      <c r="BT1857" s="4">
        <v>0.53125</v>
      </c>
      <c r="BU1857" t="s">
        <v>2499</v>
      </c>
      <c r="BV1857" t="s">
        <v>86</v>
      </c>
      <c r="BY1857">
        <v>315180</v>
      </c>
      <c r="CA1857" t="s">
        <v>2500</v>
      </c>
      <c r="CC1857" t="s">
        <v>124</v>
      </c>
      <c r="CD1857">
        <v>7535</v>
      </c>
      <c r="CE1857" t="s">
        <v>708</v>
      </c>
      <c r="CF1857" s="3">
        <v>45887</v>
      </c>
      <c r="CI1857">
        <v>3</v>
      </c>
      <c r="CJ1857">
        <v>2</v>
      </c>
      <c r="CK1857">
        <v>41</v>
      </c>
      <c r="CL1857" t="s">
        <v>90</v>
      </c>
    </row>
    <row r="1858" spans="1:90" x14ac:dyDescent="0.3">
      <c r="A1858" t="s">
        <v>72</v>
      </c>
      <c r="B1858" t="s">
        <v>73</v>
      </c>
      <c r="C1858" t="s">
        <v>74</v>
      </c>
      <c r="E1858" t="str">
        <f>"080067221058"</f>
        <v>080067221058</v>
      </c>
      <c r="F1858" s="3">
        <v>45882</v>
      </c>
      <c r="G1858">
        <v>202605</v>
      </c>
      <c r="H1858" t="s">
        <v>75</v>
      </c>
      <c r="I1858" t="s">
        <v>76</v>
      </c>
      <c r="J1858" t="s">
        <v>77</v>
      </c>
      <c r="K1858" t="s">
        <v>78</v>
      </c>
      <c r="L1858" t="s">
        <v>1157</v>
      </c>
      <c r="M1858" t="s">
        <v>1158</v>
      </c>
      <c r="N1858" t="s">
        <v>1159</v>
      </c>
      <c r="O1858" t="s">
        <v>95</v>
      </c>
      <c r="P1858" t="str">
        <f>"4170054696                    "</f>
        <v xml:space="preserve">4170054696                    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0</v>
      </c>
      <c r="AQ1858">
        <v>432.77</v>
      </c>
      <c r="AR1858">
        <v>0</v>
      </c>
      <c r="AS1858">
        <v>0</v>
      </c>
      <c r="AT1858">
        <v>0</v>
      </c>
      <c r="AU1858">
        <v>0</v>
      </c>
      <c r="AV1858">
        <v>0</v>
      </c>
      <c r="AW1858">
        <v>0</v>
      </c>
      <c r="AX1858">
        <v>0</v>
      </c>
      <c r="AY1858">
        <v>0</v>
      </c>
      <c r="AZ1858">
        <v>0</v>
      </c>
      <c r="BA1858">
        <v>0</v>
      </c>
      <c r="BB1858">
        <v>0</v>
      </c>
      <c r="BC1858">
        <v>0</v>
      </c>
      <c r="BD1858">
        <v>0</v>
      </c>
      <c r="BE1858">
        <v>0</v>
      </c>
      <c r="BF1858">
        <v>0</v>
      </c>
      <c r="BG1858">
        <v>0</v>
      </c>
      <c r="BH1858">
        <v>2</v>
      </c>
      <c r="BI1858">
        <v>126</v>
      </c>
      <c r="BJ1858">
        <v>129.19999999999999</v>
      </c>
      <c r="BK1858">
        <v>130</v>
      </c>
      <c r="BL1858">
        <v>1349.74</v>
      </c>
      <c r="BM1858">
        <v>202.46</v>
      </c>
      <c r="BN1858">
        <v>1552.2</v>
      </c>
      <c r="BO1858">
        <v>1552.2</v>
      </c>
      <c r="BQ1858" t="s">
        <v>1160</v>
      </c>
      <c r="BR1858" t="s">
        <v>84</v>
      </c>
      <c r="BS1858" s="3">
        <v>45883</v>
      </c>
      <c r="BT1858" s="4">
        <v>0.46944444444444444</v>
      </c>
      <c r="BU1858" t="s">
        <v>1161</v>
      </c>
      <c r="BV1858" t="s">
        <v>86</v>
      </c>
      <c r="BY1858">
        <v>646244</v>
      </c>
      <c r="CA1858" t="s">
        <v>1162</v>
      </c>
      <c r="CC1858" t="s">
        <v>1158</v>
      </c>
      <c r="CD1858">
        <v>2302</v>
      </c>
      <c r="CE1858" t="s">
        <v>147</v>
      </c>
      <c r="CF1858" s="3">
        <v>45883</v>
      </c>
      <c r="CI1858">
        <v>1</v>
      </c>
      <c r="CJ1858">
        <v>1</v>
      </c>
      <c r="CK1858">
        <v>43</v>
      </c>
      <c r="CL1858" t="s">
        <v>90</v>
      </c>
    </row>
    <row r="1859" spans="1:90" x14ac:dyDescent="0.3">
      <c r="A1859" t="s">
        <v>72</v>
      </c>
      <c r="B1859" t="s">
        <v>73</v>
      </c>
      <c r="C1859" t="s">
        <v>74</v>
      </c>
      <c r="E1859" t="str">
        <f>"080067221353"</f>
        <v>080067221353</v>
      </c>
      <c r="F1859" s="3">
        <v>45882</v>
      </c>
      <c r="G1859">
        <v>202605</v>
      </c>
      <c r="H1859" t="s">
        <v>75</v>
      </c>
      <c r="I1859" t="s">
        <v>76</v>
      </c>
      <c r="J1859" t="s">
        <v>77</v>
      </c>
      <c r="K1859" t="s">
        <v>78</v>
      </c>
      <c r="L1859" t="s">
        <v>291</v>
      </c>
      <c r="M1859" t="s">
        <v>292</v>
      </c>
      <c r="N1859" t="s">
        <v>2501</v>
      </c>
      <c r="O1859" t="s">
        <v>82</v>
      </c>
      <c r="P1859" t="str">
        <f>"4170054599                    "</f>
        <v xml:space="preserve">4170054599                    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>
        <v>18.03</v>
      </c>
      <c r="AR1859">
        <v>0</v>
      </c>
      <c r="AS1859">
        <v>0</v>
      </c>
      <c r="AT1859">
        <v>0</v>
      </c>
      <c r="AU1859">
        <v>0</v>
      </c>
      <c r="AV1859">
        <v>0</v>
      </c>
      <c r="AW1859">
        <v>0</v>
      </c>
      <c r="AX1859">
        <v>0</v>
      </c>
      <c r="AY1859">
        <v>0</v>
      </c>
      <c r="AZ1859">
        <v>0</v>
      </c>
      <c r="BA1859">
        <v>0</v>
      </c>
      <c r="BB1859">
        <v>0</v>
      </c>
      <c r="BC1859">
        <v>0</v>
      </c>
      <c r="BD1859">
        <v>0</v>
      </c>
      <c r="BE1859">
        <v>0</v>
      </c>
      <c r="BF1859">
        <v>0</v>
      </c>
      <c r="BG1859">
        <v>0</v>
      </c>
      <c r="BH1859">
        <v>1</v>
      </c>
      <c r="BI1859">
        <v>1</v>
      </c>
      <c r="BJ1859">
        <v>0.2</v>
      </c>
      <c r="BK1859">
        <v>1</v>
      </c>
      <c r="BL1859">
        <v>55.99</v>
      </c>
      <c r="BM1859">
        <v>8.4</v>
      </c>
      <c r="BN1859">
        <v>64.39</v>
      </c>
      <c r="BO1859">
        <v>64.39</v>
      </c>
      <c r="BQ1859" t="s">
        <v>2502</v>
      </c>
      <c r="BR1859" t="s">
        <v>84</v>
      </c>
      <c r="BS1859" s="3">
        <v>45884</v>
      </c>
      <c r="BT1859" s="4">
        <v>0.4284722222222222</v>
      </c>
      <c r="BU1859" t="s">
        <v>2503</v>
      </c>
      <c r="BV1859" t="s">
        <v>90</v>
      </c>
      <c r="BW1859" t="s">
        <v>380</v>
      </c>
      <c r="BX1859" t="s">
        <v>1132</v>
      </c>
      <c r="BY1859">
        <v>1200</v>
      </c>
      <c r="CA1859" t="s">
        <v>296</v>
      </c>
      <c r="CC1859" t="s">
        <v>292</v>
      </c>
      <c r="CD1859">
        <v>1449</v>
      </c>
      <c r="CE1859" t="s">
        <v>109</v>
      </c>
      <c r="CF1859" s="3">
        <v>45884</v>
      </c>
      <c r="CI1859">
        <v>1</v>
      </c>
      <c r="CJ1859">
        <v>2</v>
      </c>
      <c r="CK1859">
        <v>22</v>
      </c>
      <c r="CL1859" t="s">
        <v>90</v>
      </c>
    </row>
    <row r="1860" spans="1:90" x14ac:dyDescent="0.3">
      <c r="A1860" t="s">
        <v>72</v>
      </c>
      <c r="B1860" t="s">
        <v>73</v>
      </c>
      <c r="C1860" t="s">
        <v>74</v>
      </c>
      <c r="E1860" t="str">
        <f>"080067221398"</f>
        <v>080067221398</v>
      </c>
      <c r="F1860" s="3">
        <v>45882</v>
      </c>
      <c r="G1860">
        <v>202605</v>
      </c>
      <c r="H1860" t="s">
        <v>75</v>
      </c>
      <c r="I1860" t="s">
        <v>76</v>
      </c>
      <c r="J1860" t="s">
        <v>77</v>
      </c>
      <c r="K1860" t="s">
        <v>78</v>
      </c>
      <c r="L1860" t="s">
        <v>75</v>
      </c>
      <c r="M1860" t="s">
        <v>76</v>
      </c>
      <c r="N1860" t="s">
        <v>830</v>
      </c>
      <c r="O1860" t="s">
        <v>82</v>
      </c>
      <c r="P1860" t="str">
        <f>"4170054509                    "</f>
        <v xml:space="preserve">4170054509                    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Q1860">
        <v>18.03</v>
      </c>
      <c r="AR1860">
        <v>0</v>
      </c>
      <c r="AS1860">
        <v>0</v>
      </c>
      <c r="AT1860">
        <v>0</v>
      </c>
      <c r="AU1860">
        <v>0</v>
      </c>
      <c r="AV1860">
        <v>0</v>
      </c>
      <c r="AW1860">
        <v>0</v>
      </c>
      <c r="AX1860">
        <v>0</v>
      </c>
      <c r="AY1860">
        <v>0</v>
      </c>
      <c r="AZ1860">
        <v>0</v>
      </c>
      <c r="BA1860">
        <v>0</v>
      </c>
      <c r="BB1860">
        <v>0</v>
      </c>
      <c r="BC1860">
        <v>0</v>
      </c>
      <c r="BD1860">
        <v>0</v>
      </c>
      <c r="BE1860">
        <v>0</v>
      </c>
      <c r="BF1860">
        <v>0</v>
      </c>
      <c r="BG1860">
        <v>0</v>
      </c>
      <c r="BH1860">
        <v>1</v>
      </c>
      <c r="BI1860">
        <v>1</v>
      </c>
      <c r="BJ1860">
        <v>0.2</v>
      </c>
      <c r="BK1860">
        <v>1</v>
      </c>
      <c r="BL1860">
        <v>55.99</v>
      </c>
      <c r="BM1860">
        <v>8.4</v>
      </c>
      <c r="BN1860">
        <v>64.39</v>
      </c>
      <c r="BO1860">
        <v>64.39</v>
      </c>
      <c r="BQ1860" t="s">
        <v>831</v>
      </c>
      <c r="BR1860" t="s">
        <v>84</v>
      </c>
      <c r="BS1860" s="3">
        <v>45883</v>
      </c>
      <c r="BT1860" s="4">
        <v>0.63888888888888884</v>
      </c>
      <c r="BU1860" t="s">
        <v>2504</v>
      </c>
      <c r="BV1860" t="s">
        <v>90</v>
      </c>
      <c r="BW1860" t="s">
        <v>380</v>
      </c>
      <c r="BX1860" t="s">
        <v>1132</v>
      </c>
      <c r="BY1860">
        <v>1200</v>
      </c>
      <c r="CA1860" t="s">
        <v>2446</v>
      </c>
      <c r="CC1860" t="s">
        <v>76</v>
      </c>
      <c r="CD1860">
        <v>1601</v>
      </c>
      <c r="CE1860" t="s">
        <v>109</v>
      </c>
      <c r="CF1860" s="3">
        <v>45883</v>
      </c>
      <c r="CI1860">
        <v>1</v>
      </c>
      <c r="CJ1860">
        <v>1</v>
      </c>
      <c r="CK1860">
        <v>22</v>
      </c>
      <c r="CL1860" t="s">
        <v>90</v>
      </c>
    </row>
    <row r="1861" spans="1:90" x14ac:dyDescent="0.3">
      <c r="A1861" t="s">
        <v>72</v>
      </c>
      <c r="B1861" t="s">
        <v>73</v>
      </c>
      <c r="C1861" t="s">
        <v>74</v>
      </c>
      <c r="E1861" t="str">
        <f>"080067221421"</f>
        <v>080067221421</v>
      </c>
      <c r="F1861" s="3">
        <v>45882</v>
      </c>
      <c r="G1861">
        <v>202605</v>
      </c>
      <c r="H1861" t="s">
        <v>75</v>
      </c>
      <c r="I1861" t="s">
        <v>76</v>
      </c>
      <c r="J1861" t="s">
        <v>77</v>
      </c>
      <c r="K1861" t="s">
        <v>78</v>
      </c>
      <c r="L1861" t="s">
        <v>400</v>
      </c>
      <c r="M1861" t="s">
        <v>401</v>
      </c>
      <c r="N1861" t="s">
        <v>2505</v>
      </c>
      <c r="O1861" t="s">
        <v>82</v>
      </c>
      <c r="P1861" t="str">
        <f>"4170054611                    "</f>
        <v xml:space="preserve">4170054611                    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0</v>
      </c>
      <c r="AQ1861">
        <v>23.09</v>
      </c>
      <c r="AR1861">
        <v>0</v>
      </c>
      <c r="AS1861">
        <v>0</v>
      </c>
      <c r="AT1861">
        <v>0</v>
      </c>
      <c r="AU1861">
        <v>0</v>
      </c>
      <c r="AV1861">
        <v>0</v>
      </c>
      <c r="AW1861">
        <v>0</v>
      </c>
      <c r="AX1861">
        <v>0</v>
      </c>
      <c r="AY1861">
        <v>0</v>
      </c>
      <c r="AZ1861">
        <v>0</v>
      </c>
      <c r="BA1861">
        <v>0</v>
      </c>
      <c r="BB1861">
        <v>0</v>
      </c>
      <c r="BC1861">
        <v>0</v>
      </c>
      <c r="BD1861">
        <v>0</v>
      </c>
      <c r="BE1861">
        <v>0</v>
      </c>
      <c r="BF1861">
        <v>0</v>
      </c>
      <c r="BG1861">
        <v>0</v>
      </c>
      <c r="BH1861">
        <v>1</v>
      </c>
      <c r="BI1861">
        <v>2</v>
      </c>
      <c r="BJ1861">
        <v>1.7</v>
      </c>
      <c r="BK1861">
        <v>2</v>
      </c>
      <c r="BL1861">
        <v>71.69</v>
      </c>
      <c r="BM1861">
        <v>10.75</v>
      </c>
      <c r="BN1861">
        <v>82.44</v>
      </c>
      <c r="BO1861">
        <v>82.44</v>
      </c>
      <c r="BQ1861" t="s">
        <v>2506</v>
      </c>
      <c r="BR1861" t="s">
        <v>84</v>
      </c>
      <c r="BS1861" s="3">
        <v>45883</v>
      </c>
      <c r="BT1861" s="4">
        <v>0.55833333333333335</v>
      </c>
      <c r="BU1861" t="s">
        <v>2507</v>
      </c>
      <c r="BV1861" t="s">
        <v>90</v>
      </c>
      <c r="BW1861" t="s">
        <v>134</v>
      </c>
      <c r="BX1861" t="s">
        <v>1360</v>
      </c>
      <c r="BY1861">
        <v>8512</v>
      </c>
      <c r="CC1861" t="s">
        <v>401</v>
      </c>
      <c r="CD1861">
        <v>6229</v>
      </c>
      <c r="CE1861" t="s">
        <v>147</v>
      </c>
      <c r="CF1861" s="3">
        <v>45883</v>
      </c>
      <c r="CI1861">
        <v>1</v>
      </c>
      <c r="CJ1861">
        <v>1</v>
      </c>
      <c r="CK1861">
        <v>21</v>
      </c>
      <c r="CL1861" t="s">
        <v>90</v>
      </c>
    </row>
    <row r="1862" spans="1:90" x14ac:dyDescent="0.3">
      <c r="A1862" t="s">
        <v>72</v>
      </c>
      <c r="B1862" t="s">
        <v>73</v>
      </c>
      <c r="C1862" t="s">
        <v>74</v>
      </c>
      <c r="E1862" t="str">
        <f>"080067221463"</f>
        <v>080067221463</v>
      </c>
      <c r="F1862" s="3">
        <v>45882</v>
      </c>
      <c r="G1862">
        <v>202605</v>
      </c>
      <c r="H1862" t="s">
        <v>75</v>
      </c>
      <c r="I1862" t="s">
        <v>76</v>
      </c>
      <c r="J1862" t="s">
        <v>77</v>
      </c>
      <c r="K1862" t="s">
        <v>78</v>
      </c>
      <c r="L1862" t="s">
        <v>229</v>
      </c>
      <c r="M1862" t="s">
        <v>230</v>
      </c>
      <c r="N1862" t="s">
        <v>231</v>
      </c>
      <c r="O1862" t="s">
        <v>82</v>
      </c>
      <c r="P1862" t="str">
        <f>"4170054357                    "</f>
        <v xml:space="preserve">4170054357                    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0</v>
      </c>
      <c r="AQ1862">
        <v>44.73</v>
      </c>
      <c r="AR1862">
        <v>0</v>
      </c>
      <c r="AS1862">
        <v>0</v>
      </c>
      <c r="AT1862">
        <v>0</v>
      </c>
      <c r="AU1862">
        <v>0</v>
      </c>
      <c r="AV1862">
        <v>0</v>
      </c>
      <c r="AW1862">
        <v>0</v>
      </c>
      <c r="AX1862">
        <v>0</v>
      </c>
      <c r="AY1862">
        <v>0</v>
      </c>
      <c r="AZ1862">
        <v>0</v>
      </c>
      <c r="BA1862">
        <v>0</v>
      </c>
      <c r="BB1862">
        <v>0</v>
      </c>
      <c r="BC1862">
        <v>0</v>
      </c>
      <c r="BD1862">
        <v>0</v>
      </c>
      <c r="BE1862">
        <v>0</v>
      </c>
      <c r="BF1862">
        <v>0</v>
      </c>
      <c r="BG1862">
        <v>0</v>
      </c>
      <c r="BH1862">
        <v>1</v>
      </c>
      <c r="BI1862">
        <v>1</v>
      </c>
      <c r="BJ1862">
        <v>0.2</v>
      </c>
      <c r="BK1862">
        <v>1</v>
      </c>
      <c r="BL1862">
        <v>138.88999999999999</v>
      </c>
      <c r="BM1862">
        <v>20.83</v>
      </c>
      <c r="BN1862">
        <v>159.72</v>
      </c>
      <c r="BO1862">
        <v>159.72</v>
      </c>
      <c r="BQ1862" t="s">
        <v>232</v>
      </c>
      <c r="BR1862" t="s">
        <v>84</v>
      </c>
      <c r="BS1862" s="3">
        <v>45883</v>
      </c>
      <c r="BT1862" s="4">
        <v>0.29166666666666669</v>
      </c>
      <c r="BU1862" t="s">
        <v>233</v>
      </c>
      <c r="BV1862" t="s">
        <v>86</v>
      </c>
      <c r="BY1862">
        <v>1200</v>
      </c>
      <c r="CC1862" t="s">
        <v>230</v>
      </c>
      <c r="CD1862">
        <v>2740</v>
      </c>
      <c r="CE1862" t="s">
        <v>109</v>
      </c>
      <c r="CF1862" s="3">
        <v>45884</v>
      </c>
      <c r="CI1862">
        <v>1</v>
      </c>
      <c r="CJ1862">
        <v>1</v>
      </c>
      <c r="CK1862">
        <v>23</v>
      </c>
      <c r="CL1862" t="s">
        <v>90</v>
      </c>
    </row>
    <row r="1863" spans="1:90" x14ac:dyDescent="0.3">
      <c r="A1863" t="s">
        <v>72</v>
      </c>
      <c r="B1863" t="s">
        <v>73</v>
      </c>
      <c r="C1863" t="s">
        <v>74</v>
      </c>
      <c r="E1863" t="str">
        <f>"080067221499"</f>
        <v>080067221499</v>
      </c>
      <c r="F1863" s="3">
        <v>45882</v>
      </c>
      <c r="G1863">
        <v>202605</v>
      </c>
      <c r="H1863" t="s">
        <v>75</v>
      </c>
      <c r="I1863" t="s">
        <v>76</v>
      </c>
      <c r="J1863" t="s">
        <v>77</v>
      </c>
      <c r="K1863" t="s">
        <v>78</v>
      </c>
      <c r="L1863" t="s">
        <v>325</v>
      </c>
      <c r="M1863" t="s">
        <v>326</v>
      </c>
      <c r="N1863" t="s">
        <v>1459</v>
      </c>
      <c r="O1863" t="s">
        <v>82</v>
      </c>
      <c r="P1863" t="str">
        <f>"4170054605                    "</f>
        <v xml:space="preserve">4170054605                    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0</v>
      </c>
      <c r="AQ1863">
        <v>18.03</v>
      </c>
      <c r="AR1863">
        <v>0</v>
      </c>
      <c r="AS1863">
        <v>0</v>
      </c>
      <c r="AT1863">
        <v>0</v>
      </c>
      <c r="AU1863">
        <v>0</v>
      </c>
      <c r="AV1863">
        <v>0</v>
      </c>
      <c r="AW1863">
        <v>0</v>
      </c>
      <c r="AX1863">
        <v>0</v>
      </c>
      <c r="AY1863">
        <v>0</v>
      </c>
      <c r="AZ1863">
        <v>0</v>
      </c>
      <c r="BA1863">
        <v>0</v>
      </c>
      <c r="BB1863">
        <v>0</v>
      </c>
      <c r="BC1863">
        <v>0</v>
      </c>
      <c r="BD1863">
        <v>0</v>
      </c>
      <c r="BE1863">
        <v>0</v>
      </c>
      <c r="BF1863">
        <v>0</v>
      </c>
      <c r="BG1863">
        <v>0</v>
      </c>
      <c r="BH1863">
        <v>1</v>
      </c>
      <c r="BI1863">
        <v>2</v>
      </c>
      <c r="BJ1863">
        <v>1.1000000000000001</v>
      </c>
      <c r="BK1863">
        <v>2</v>
      </c>
      <c r="BL1863">
        <v>55.99</v>
      </c>
      <c r="BM1863">
        <v>8.4</v>
      </c>
      <c r="BN1863">
        <v>64.39</v>
      </c>
      <c r="BO1863">
        <v>64.39</v>
      </c>
      <c r="BQ1863" t="s">
        <v>1460</v>
      </c>
      <c r="BR1863" t="s">
        <v>84</v>
      </c>
      <c r="BS1863" s="3">
        <v>45883</v>
      </c>
      <c r="BT1863" s="4">
        <v>0.40972222222222221</v>
      </c>
      <c r="BU1863" t="s">
        <v>2000</v>
      </c>
      <c r="BV1863" t="s">
        <v>86</v>
      </c>
      <c r="BY1863">
        <v>5320</v>
      </c>
      <c r="CA1863" t="s">
        <v>331</v>
      </c>
      <c r="CC1863" t="s">
        <v>326</v>
      </c>
      <c r="CD1863">
        <v>2013</v>
      </c>
      <c r="CE1863" t="s">
        <v>147</v>
      </c>
      <c r="CF1863" s="3">
        <v>45884</v>
      </c>
      <c r="CI1863">
        <v>1</v>
      </c>
      <c r="CJ1863">
        <v>1</v>
      </c>
      <c r="CK1863">
        <v>22</v>
      </c>
      <c r="CL1863" t="s">
        <v>90</v>
      </c>
    </row>
    <row r="1864" spans="1:90" x14ac:dyDescent="0.3">
      <c r="A1864" t="s">
        <v>72</v>
      </c>
      <c r="B1864" t="s">
        <v>73</v>
      </c>
      <c r="C1864" t="s">
        <v>74</v>
      </c>
      <c r="E1864" t="str">
        <f>"080067221496"</f>
        <v>080067221496</v>
      </c>
      <c r="F1864" s="3">
        <v>45882</v>
      </c>
      <c r="G1864">
        <v>202605</v>
      </c>
      <c r="H1864" t="s">
        <v>75</v>
      </c>
      <c r="I1864" t="s">
        <v>76</v>
      </c>
      <c r="J1864" t="s">
        <v>77</v>
      </c>
      <c r="K1864" t="s">
        <v>78</v>
      </c>
      <c r="L1864" t="s">
        <v>198</v>
      </c>
      <c r="M1864" t="s">
        <v>199</v>
      </c>
      <c r="N1864" t="s">
        <v>598</v>
      </c>
      <c r="O1864" t="s">
        <v>82</v>
      </c>
      <c r="P1864" t="str">
        <f>"4170054562                    "</f>
        <v xml:space="preserve">4170054562                    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0</v>
      </c>
      <c r="AO1864">
        <v>0</v>
      </c>
      <c r="AP1864">
        <v>0</v>
      </c>
      <c r="AQ1864">
        <v>23.09</v>
      </c>
      <c r="AR1864">
        <v>0</v>
      </c>
      <c r="AS1864">
        <v>0</v>
      </c>
      <c r="AT1864">
        <v>0</v>
      </c>
      <c r="AU1864">
        <v>0</v>
      </c>
      <c r="AV1864">
        <v>0</v>
      </c>
      <c r="AW1864">
        <v>0</v>
      </c>
      <c r="AX1864">
        <v>0</v>
      </c>
      <c r="AY1864">
        <v>0</v>
      </c>
      <c r="AZ1864">
        <v>0</v>
      </c>
      <c r="BA1864">
        <v>0</v>
      </c>
      <c r="BB1864">
        <v>0</v>
      </c>
      <c r="BC1864">
        <v>0</v>
      </c>
      <c r="BD1864">
        <v>0</v>
      </c>
      <c r="BE1864">
        <v>0</v>
      </c>
      <c r="BF1864">
        <v>0</v>
      </c>
      <c r="BG1864">
        <v>0</v>
      </c>
      <c r="BH1864">
        <v>1</v>
      </c>
      <c r="BI1864">
        <v>1</v>
      </c>
      <c r="BJ1864">
        <v>0.2</v>
      </c>
      <c r="BK1864">
        <v>1</v>
      </c>
      <c r="BL1864">
        <v>71.69</v>
      </c>
      <c r="BM1864">
        <v>10.75</v>
      </c>
      <c r="BN1864">
        <v>82.44</v>
      </c>
      <c r="BO1864">
        <v>82.44</v>
      </c>
      <c r="BQ1864" t="s">
        <v>599</v>
      </c>
      <c r="BR1864" t="s">
        <v>84</v>
      </c>
      <c r="BS1864" s="3">
        <v>45883</v>
      </c>
      <c r="BT1864" s="4">
        <v>0.37847222222222221</v>
      </c>
      <c r="BU1864" t="s">
        <v>2466</v>
      </c>
      <c r="BV1864" t="s">
        <v>86</v>
      </c>
      <c r="BY1864">
        <v>1200</v>
      </c>
      <c r="CA1864" t="s">
        <v>601</v>
      </c>
      <c r="CC1864" t="s">
        <v>199</v>
      </c>
      <c r="CD1864">
        <v>6001</v>
      </c>
      <c r="CE1864" t="s">
        <v>109</v>
      </c>
      <c r="CF1864" s="3">
        <v>45883</v>
      </c>
      <c r="CI1864">
        <v>1</v>
      </c>
      <c r="CJ1864">
        <v>1</v>
      </c>
      <c r="CK1864">
        <v>21</v>
      </c>
      <c r="CL1864" t="s">
        <v>90</v>
      </c>
    </row>
    <row r="1865" spans="1:90" x14ac:dyDescent="0.3">
      <c r="A1865" t="s">
        <v>72</v>
      </c>
      <c r="B1865" t="s">
        <v>73</v>
      </c>
      <c r="C1865" t="s">
        <v>74</v>
      </c>
      <c r="E1865" t="str">
        <f>"080067221656"</f>
        <v>080067221656</v>
      </c>
      <c r="F1865" s="3">
        <v>45882</v>
      </c>
      <c r="G1865">
        <v>202605</v>
      </c>
      <c r="H1865" t="s">
        <v>75</v>
      </c>
      <c r="I1865" t="s">
        <v>76</v>
      </c>
      <c r="J1865" t="s">
        <v>77</v>
      </c>
      <c r="K1865" t="s">
        <v>78</v>
      </c>
      <c r="L1865" t="s">
        <v>198</v>
      </c>
      <c r="M1865" t="s">
        <v>199</v>
      </c>
      <c r="N1865" t="s">
        <v>680</v>
      </c>
      <c r="O1865" t="s">
        <v>82</v>
      </c>
      <c r="P1865" t="str">
        <f>"4170054496                    "</f>
        <v xml:space="preserve">4170054496                    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0</v>
      </c>
      <c r="AI1865">
        <v>0</v>
      </c>
      <c r="AJ1865">
        <v>0</v>
      </c>
      <c r="AK1865">
        <v>0</v>
      </c>
      <c r="AL1865">
        <v>0</v>
      </c>
      <c r="AM1865">
        <v>0</v>
      </c>
      <c r="AN1865">
        <v>0</v>
      </c>
      <c r="AO1865">
        <v>0</v>
      </c>
      <c r="AP1865">
        <v>0</v>
      </c>
      <c r="AQ1865">
        <v>23.09</v>
      </c>
      <c r="AR1865">
        <v>0</v>
      </c>
      <c r="AS1865">
        <v>0</v>
      </c>
      <c r="AT1865">
        <v>0</v>
      </c>
      <c r="AU1865">
        <v>0</v>
      </c>
      <c r="AV1865">
        <v>0</v>
      </c>
      <c r="AW1865">
        <v>0</v>
      </c>
      <c r="AX1865">
        <v>0</v>
      </c>
      <c r="AY1865">
        <v>0</v>
      </c>
      <c r="AZ1865">
        <v>0</v>
      </c>
      <c r="BA1865">
        <v>0</v>
      </c>
      <c r="BB1865">
        <v>0</v>
      </c>
      <c r="BC1865">
        <v>0</v>
      </c>
      <c r="BD1865">
        <v>0</v>
      </c>
      <c r="BE1865">
        <v>0</v>
      </c>
      <c r="BF1865">
        <v>0</v>
      </c>
      <c r="BG1865">
        <v>0</v>
      </c>
      <c r="BH1865">
        <v>1</v>
      </c>
      <c r="BI1865">
        <v>2</v>
      </c>
      <c r="BJ1865">
        <v>1.7</v>
      </c>
      <c r="BK1865">
        <v>2</v>
      </c>
      <c r="BL1865">
        <v>71.69</v>
      </c>
      <c r="BM1865">
        <v>10.75</v>
      </c>
      <c r="BN1865">
        <v>82.44</v>
      </c>
      <c r="BO1865">
        <v>82.44</v>
      </c>
      <c r="BQ1865" t="s">
        <v>681</v>
      </c>
      <c r="BR1865" t="s">
        <v>84</v>
      </c>
      <c r="BS1865" s="3">
        <v>45883</v>
      </c>
      <c r="BT1865" s="4">
        <v>0.51736111111111116</v>
      </c>
      <c r="BU1865" t="s">
        <v>682</v>
      </c>
      <c r="BV1865" t="s">
        <v>90</v>
      </c>
      <c r="BW1865" t="s">
        <v>134</v>
      </c>
      <c r="BX1865" t="s">
        <v>1360</v>
      </c>
      <c r="BY1865">
        <v>8512</v>
      </c>
      <c r="CA1865" t="s">
        <v>413</v>
      </c>
      <c r="CC1865" t="s">
        <v>199</v>
      </c>
      <c r="CD1865">
        <v>6001</v>
      </c>
      <c r="CE1865" t="s">
        <v>147</v>
      </c>
      <c r="CF1865" s="3">
        <v>45883</v>
      </c>
      <c r="CI1865">
        <v>1</v>
      </c>
      <c r="CJ1865">
        <v>1</v>
      </c>
      <c r="CK1865">
        <v>21</v>
      </c>
      <c r="CL1865" t="s">
        <v>90</v>
      </c>
    </row>
    <row r="1866" spans="1:90" x14ac:dyDescent="0.3">
      <c r="A1866" t="s">
        <v>72</v>
      </c>
      <c r="B1866" t="s">
        <v>73</v>
      </c>
      <c r="C1866" t="s">
        <v>74</v>
      </c>
      <c r="E1866" t="str">
        <f>"080067221653"</f>
        <v>080067221653</v>
      </c>
      <c r="F1866" s="3">
        <v>45882</v>
      </c>
      <c r="G1866">
        <v>202605</v>
      </c>
      <c r="H1866" t="s">
        <v>75</v>
      </c>
      <c r="I1866" t="s">
        <v>76</v>
      </c>
      <c r="J1866" t="s">
        <v>77</v>
      </c>
      <c r="K1866" t="s">
        <v>78</v>
      </c>
      <c r="L1866" t="s">
        <v>335</v>
      </c>
      <c r="M1866" t="s">
        <v>336</v>
      </c>
      <c r="N1866" t="s">
        <v>727</v>
      </c>
      <c r="O1866" t="s">
        <v>82</v>
      </c>
      <c r="P1866" t="str">
        <f>"4170054598                    "</f>
        <v xml:space="preserve">4170054598                    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0</v>
      </c>
      <c r="AQ1866">
        <v>44.73</v>
      </c>
      <c r="AR1866">
        <v>0</v>
      </c>
      <c r="AS1866">
        <v>0</v>
      </c>
      <c r="AT1866">
        <v>0</v>
      </c>
      <c r="AU1866">
        <v>0</v>
      </c>
      <c r="AV1866">
        <v>0</v>
      </c>
      <c r="AW1866">
        <v>0</v>
      </c>
      <c r="AX1866">
        <v>0</v>
      </c>
      <c r="AY1866">
        <v>0</v>
      </c>
      <c r="AZ1866">
        <v>0</v>
      </c>
      <c r="BA1866">
        <v>0</v>
      </c>
      <c r="BB1866">
        <v>0</v>
      </c>
      <c r="BC1866">
        <v>0</v>
      </c>
      <c r="BD1866">
        <v>0</v>
      </c>
      <c r="BE1866">
        <v>0</v>
      </c>
      <c r="BF1866">
        <v>0</v>
      </c>
      <c r="BG1866">
        <v>0</v>
      </c>
      <c r="BH1866">
        <v>1</v>
      </c>
      <c r="BI1866">
        <v>1</v>
      </c>
      <c r="BJ1866">
        <v>0.2</v>
      </c>
      <c r="BK1866">
        <v>1</v>
      </c>
      <c r="BL1866">
        <v>138.88999999999999</v>
      </c>
      <c r="BM1866">
        <v>20.83</v>
      </c>
      <c r="BN1866">
        <v>159.72</v>
      </c>
      <c r="BO1866">
        <v>159.72</v>
      </c>
      <c r="BQ1866" t="s">
        <v>728</v>
      </c>
      <c r="BR1866" t="s">
        <v>84</v>
      </c>
      <c r="BS1866" s="3">
        <v>45883</v>
      </c>
      <c r="BT1866" s="4">
        <v>0.4236111111111111</v>
      </c>
      <c r="BU1866" t="s">
        <v>1587</v>
      </c>
      <c r="BV1866" t="s">
        <v>86</v>
      </c>
      <c r="BY1866">
        <v>1200</v>
      </c>
      <c r="CA1866" t="s">
        <v>730</v>
      </c>
      <c r="CC1866" t="s">
        <v>336</v>
      </c>
      <c r="CD1866" s="5" t="s">
        <v>341</v>
      </c>
      <c r="CE1866" t="s">
        <v>109</v>
      </c>
      <c r="CF1866" s="3">
        <v>45884</v>
      </c>
      <c r="CI1866">
        <v>1</v>
      </c>
      <c r="CJ1866">
        <v>1</v>
      </c>
      <c r="CK1866">
        <v>23</v>
      </c>
      <c r="CL1866" t="s">
        <v>90</v>
      </c>
    </row>
    <row r="1867" spans="1:90" x14ac:dyDescent="0.3">
      <c r="A1867" t="s">
        <v>72</v>
      </c>
      <c r="B1867" t="s">
        <v>73</v>
      </c>
      <c r="C1867" t="s">
        <v>74</v>
      </c>
      <c r="E1867" t="str">
        <f>"080067221777"</f>
        <v>080067221777</v>
      </c>
      <c r="F1867" s="3">
        <v>45882</v>
      </c>
      <c r="G1867">
        <v>202605</v>
      </c>
      <c r="H1867" t="s">
        <v>75</v>
      </c>
      <c r="I1867" t="s">
        <v>76</v>
      </c>
      <c r="J1867" t="s">
        <v>77</v>
      </c>
      <c r="K1867" t="s">
        <v>78</v>
      </c>
      <c r="L1867" t="s">
        <v>75</v>
      </c>
      <c r="M1867" t="s">
        <v>76</v>
      </c>
      <c r="N1867" t="s">
        <v>602</v>
      </c>
      <c r="O1867" t="s">
        <v>82</v>
      </c>
      <c r="P1867" t="str">
        <f>"4170054621                    "</f>
        <v xml:space="preserve">4170054621                    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0</v>
      </c>
      <c r="AQ1867">
        <v>18.03</v>
      </c>
      <c r="AR1867">
        <v>0</v>
      </c>
      <c r="AS1867">
        <v>0</v>
      </c>
      <c r="AT1867">
        <v>0</v>
      </c>
      <c r="AU1867">
        <v>0</v>
      </c>
      <c r="AV1867">
        <v>0</v>
      </c>
      <c r="AW1867">
        <v>0</v>
      </c>
      <c r="AX1867">
        <v>0</v>
      </c>
      <c r="AY1867">
        <v>0</v>
      </c>
      <c r="AZ1867">
        <v>0</v>
      </c>
      <c r="BA1867">
        <v>0</v>
      </c>
      <c r="BB1867">
        <v>0</v>
      </c>
      <c r="BC1867">
        <v>0</v>
      </c>
      <c r="BD1867">
        <v>0</v>
      </c>
      <c r="BE1867">
        <v>0</v>
      </c>
      <c r="BF1867">
        <v>0</v>
      </c>
      <c r="BG1867">
        <v>0</v>
      </c>
      <c r="BH1867">
        <v>1</v>
      </c>
      <c r="BI1867">
        <v>1</v>
      </c>
      <c r="BJ1867">
        <v>0.2</v>
      </c>
      <c r="BK1867">
        <v>1</v>
      </c>
      <c r="BL1867">
        <v>55.99</v>
      </c>
      <c r="BM1867">
        <v>8.4</v>
      </c>
      <c r="BN1867">
        <v>64.39</v>
      </c>
      <c r="BO1867">
        <v>64.39</v>
      </c>
      <c r="BQ1867" t="s">
        <v>603</v>
      </c>
      <c r="BR1867" t="s">
        <v>84</v>
      </c>
      <c r="BS1867" s="3">
        <v>45883</v>
      </c>
      <c r="BT1867" s="4">
        <v>0.38333333333333336</v>
      </c>
      <c r="BU1867" t="s">
        <v>1373</v>
      </c>
      <c r="BV1867" t="s">
        <v>86</v>
      </c>
      <c r="BY1867">
        <v>1200</v>
      </c>
      <c r="CA1867" t="s">
        <v>1356</v>
      </c>
      <c r="CC1867" t="s">
        <v>76</v>
      </c>
      <c r="CD1867">
        <v>1665</v>
      </c>
      <c r="CE1867" t="s">
        <v>109</v>
      </c>
      <c r="CF1867" s="3">
        <v>45883</v>
      </c>
      <c r="CI1867">
        <v>1</v>
      </c>
      <c r="CJ1867">
        <v>1</v>
      </c>
      <c r="CK1867">
        <v>22</v>
      </c>
      <c r="CL1867" t="s">
        <v>90</v>
      </c>
    </row>
    <row r="1868" spans="1:90" x14ac:dyDescent="0.3">
      <c r="A1868" t="s">
        <v>72</v>
      </c>
      <c r="B1868" t="s">
        <v>73</v>
      </c>
      <c r="C1868" t="s">
        <v>74</v>
      </c>
      <c r="E1868" t="str">
        <f>"080067221782"</f>
        <v>080067221782</v>
      </c>
      <c r="F1868" s="3">
        <v>45882</v>
      </c>
      <c r="G1868">
        <v>202605</v>
      </c>
      <c r="H1868" t="s">
        <v>75</v>
      </c>
      <c r="I1868" t="s">
        <v>76</v>
      </c>
      <c r="J1868" t="s">
        <v>77</v>
      </c>
      <c r="K1868" t="s">
        <v>78</v>
      </c>
      <c r="L1868" t="s">
        <v>606</v>
      </c>
      <c r="M1868" t="s">
        <v>607</v>
      </c>
      <c r="N1868" t="s">
        <v>2508</v>
      </c>
      <c r="O1868" t="s">
        <v>82</v>
      </c>
      <c r="P1868" t="str">
        <f>"4170054554                    "</f>
        <v xml:space="preserve">4170054554                    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0</v>
      </c>
      <c r="AQ1868">
        <v>44.73</v>
      </c>
      <c r="AR1868">
        <v>0</v>
      </c>
      <c r="AS1868">
        <v>0</v>
      </c>
      <c r="AT1868">
        <v>0</v>
      </c>
      <c r="AU1868">
        <v>0</v>
      </c>
      <c r="AV1868">
        <v>0</v>
      </c>
      <c r="AW1868">
        <v>0</v>
      </c>
      <c r="AX1868">
        <v>0</v>
      </c>
      <c r="AY1868">
        <v>0</v>
      </c>
      <c r="AZ1868">
        <v>0</v>
      </c>
      <c r="BA1868">
        <v>0</v>
      </c>
      <c r="BB1868">
        <v>0</v>
      </c>
      <c r="BC1868">
        <v>0</v>
      </c>
      <c r="BD1868">
        <v>0</v>
      </c>
      <c r="BE1868">
        <v>0</v>
      </c>
      <c r="BF1868">
        <v>0</v>
      </c>
      <c r="BG1868">
        <v>0</v>
      </c>
      <c r="BH1868">
        <v>1</v>
      </c>
      <c r="BI1868">
        <v>1</v>
      </c>
      <c r="BJ1868">
        <v>0.9</v>
      </c>
      <c r="BK1868">
        <v>1</v>
      </c>
      <c r="BL1868">
        <v>138.88999999999999</v>
      </c>
      <c r="BM1868">
        <v>20.83</v>
      </c>
      <c r="BN1868">
        <v>159.72</v>
      </c>
      <c r="BO1868">
        <v>159.72</v>
      </c>
      <c r="BQ1868" t="s">
        <v>2509</v>
      </c>
      <c r="BR1868" t="s">
        <v>84</v>
      </c>
      <c r="BS1868" s="3">
        <v>45883</v>
      </c>
      <c r="BT1868" s="4">
        <v>0.6958333333333333</v>
      </c>
      <c r="BU1868" t="s">
        <v>2510</v>
      </c>
      <c r="BV1868" t="s">
        <v>86</v>
      </c>
      <c r="BY1868">
        <v>4256</v>
      </c>
      <c r="CA1868" t="s">
        <v>2511</v>
      </c>
      <c r="CC1868" t="s">
        <v>607</v>
      </c>
      <c r="CD1868">
        <v>1389</v>
      </c>
      <c r="CE1868" t="s">
        <v>147</v>
      </c>
      <c r="CF1868" s="3">
        <v>45883</v>
      </c>
      <c r="CI1868">
        <v>1</v>
      </c>
      <c r="CJ1868">
        <v>1</v>
      </c>
      <c r="CK1868">
        <v>23</v>
      </c>
      <c r="CL1868" t="s">
        <v>90</v>
      </c>
    </row>
    <row r="1869" spans="1:90" x14ac:dyDescent="0.3">
      <c r="A1869" t="s">
        <v>72</v>
      </c>
      <c r="B1869" t="s">
        <v>73</v>
      </c>
      <c r="C1869" t="s">
        <v>74</v>
      </c>
      <c r="E1869" t="str">
        <f>"080067221885"</f>
        <v>080067221885</v>
      </c>
      <c r="F1869" s="3">
        <v>45882</v>
      </c>
      <c r="G1869">
        <v>202605</v>
      </c>
      <c r="H1869" t="s">
        <v>75</v>
      </c>
      <c r="I1869" t="s">
        <v>76</v>
      </c>
      <c r="J1869" t="s">
        <v>77</v>
      </c>
      <c r="K1869" t="s">
        <v>78</v>
      </c>
      <c r="L1869" t="s">
        <v>217</v>
      </c>
      <c r="M1869" t="s">
        <v>218</v>
      </c>
      <c r="N1869" t="s">
        <v>490</v>
      </c>
      <c r="O1869" t="s">
        <v>82</v>
      </c>
      <c r="P1869" t="str">
        <f>"4170054393                    "</f>
        <v xml:space="preserve">4170054393                    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0</v>
      </c>
      <c r="AI1869">
        <v>0</v>
      </c>
      <c r="AJ1869">
        <v>0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>
        <v>0</v>
      </c>
      <c r="AQ1869">
        <v>23.09</v>
      </c>
      <c r="AR1869">
        <v>0</v>
      </c>
      <c r="AS1869">
        <v>0</v>
      </c>
      <c r="AT1869">
        <v>0</v>
      </c>
      <c r="AU1869">
        <v>0</v>
      </c>
      <c r="AV1869">
        <v>0</v>
      </c>
      <c r="AW1869">
        <v>0</v>
      </c>
      <c r="AX1869">
        <v>0</v>
      </c>
      <c r="AY1869">
        <v>0</v>
      </c>
      <c r="AZ1869">
        <v>0</v>
      </c>
      <c r="BA1869">
        <v>0</v>
      </c>
      <c r="BB1869">
        <v>0</v>
      </c>
      <c r="BC1869">
        <v>0</v>
      </c>
      <c r="BD1869">
        <v>0</v>
      </c>
      <c r="BE1869">
        <v>0</v>
      </c>
      <c r="BF1869">
        <v>0</v>
      </c>
      <c r="BG1869">
        <v>0</v>
      </c>
      <c r="BH1869">
        <v>1</v>
      </c>
      <c r="BI1869">
        <v>1</v>
      </c>
      <c r="BJ1869">
        <v>0.2</v>
      </c>
      <c r="BK1869">
        <v>1</v>
      </c>
      <c r="BL1869">
        <v>71.69</v>
      </c>
      <c r="BM1869">
        <v>10.75</v>
      </c>
      <c r="BN1869">
        <v>82.44</v>
      </c>
      <c r="BO1869">
        <v>82.44</v>
      </c>
      <c r="BQ1869" t="s">
        <v>491</v>
      </c>
      <c r="BR1869" t="s">
        <v>84</v>
      </c>
      <c r="BS1869" s="3">
        <v>45883</v>
      </c>
      <c r="BT1869" s="4">
        <v>0.42499999999999999</v>
      </c>
      <c r="BU1869" t="s">
        <v>2512</v>
      </c>
      <c r="BV1869" t="s">
        <v>86</v>
      </c>
      <c r="BY1869">
        <v>1200</v>
      </c>
      <c r="CA1869" t="s">
        <v>136</v>
      </c>
      <c r="CC1869" t="s">
        <v>218</v>
      </c>
      <c r="CD1869">
        <v>4052</v>
      </c>
      <c r="CE1869" t="s">
        <v>109</v>
      </c>
      <c r="CF1869" s="3">
        <v>45883</v>
      </c>
      <c r="CI1869">
        <v>1</v>
      </c>
      <c r="CJ1869">
        <v>1</v>
      </c>
      <c r="CK1869">
        <v>21</v>
      </c>
      <c r="CL1869" t="s">
        <v>90</v>
      </c>
    </row>
    <row r="1870" spans="1:90" x14ac:dyDescent="0.3">
      <c r="A1870" t="s">
        <v>72</v>
      </c>
      <c r="B1870" t="s">
        <v>73</v>
      </c>
      <c r="C1870" t="s">
        <v>74</v>
      </c>
      <c r="E1870" t="str">
        <f>"080067221887"</f>
        <v>080067221887</v>
      </c>
      <c r="F1870" s="3">
        <v>45882</v>
      </c>
      <c r="G1870">
        <v>202605</v>
      </c>
      <c r="H1870" t="s">
        <v>75</v>
      </c>
      <c r="I1870" t="s">
        <v>76</v>
      </c>
      <c r="J1870" t="s">
        <v>77</v>
      </c>
      <c r="K1870" t="s">
        <v>78</v>
      </c>
      <c r="L1870" t="s">
        <v>137</v>
      </c>
      <c r="M1870" t="s">
        <v>138</v>
      </c>
      <c r="N1870" t="s">
        <v>261</v>
      </c>
      <c r="O1870" t="s">
        <v>82</v>
      </c>
      <c r="P1870" t="str">
        <f>"4170054577                    "</f>
        <v xml:space="preserve">4170054577                    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N1870">
        <v>0</v>
      </c>
      <c r="AO1870">
        <v>0</v>
      </c>
      <c r="AP1870">
        <v>0</v>
      </c>
      <c r="AQ1870">
        <v>23.09</v>
      </c>
      <c r="AR1870">
        <v>0</v>
      </c>
      <c r="AS1870">
        <v>0</v>
      </c>
      <c r="AT1870">
        <v>0</v>
      </c>
      <c r="AU1870">
        <v>0</v>
      </c>
      <c r="AV1870">
        <v>0</v>
      </c>
      <c r="AW1870">
        <v>0</v>
      </c>
      <c r="AX1870">
        <v>0</v>
      </c>
      <c r="AY1870">
        <v>0</v>
      </c>
      <c r="AZ1870">
        <v>0</v>
      </c>
      <c r="BA1870">
        <v>0</v>
      </c>
      <c r="BB1870">
        <v>0</v>
      </c>
      <c r="BC1870">
        <v>0</v>
      </c>
      <c r="BD1870">
        <v>0</v>
      </c>
      <c r="BE1870">
        <v>0</v>
      </c>
      <c r="BF1870">
        <v>0</v>
      </c>
      <c r="BG1870">
        <v>0</v>
      </c>
      <c r="BH1870">
        <v>1</v>
      </c>
      <c r="BI1870">
        <v>1</v>
      </c>
      <c r="BJ1870">
        <v>0.9</v>
      </c>
      <c r="BK1870">
        <v>1</v>
      </c>
      <c r="BL1870">
        <v>71.69</v>
      </c>
      <c r="BM1870">
        <v>10.75</v>
      </c>
      <c r="BN1870">
        <v>82.44</v>
      </c>
      <c r="BO1870">
        <v>82.44</v>
      </c>
      <c r="BQ1870" t="s">
        <v>262</v>
      </c>
      <c r="BR1870" t="s">
        <v>84</v>
      </c>
      <c r="BS1870" s="3">
        <v>45883</v>
      </c>
      <c r="BT1870" s="4">
        <v>0.42638888888888887</v>
      </c>
      <c r="BU1870" t="s">
        <v>2513</v>
      </c>
      <c r="BV1870" t="s">
        <v>86</v>
      </c>
      <c r="BY1870">
        <v>4256</v>
      </c>
      <c r="CA1870" t="s">
        <v>2514</v>
      </c>
      <c r="CC1870" t="s">
        <v>138</v>
      </c>
      <c r="CD1870">
        <v>3608</v>
      </c>
      <c r="CE1870" t="s">
        <v>147</v>
      </c>
      <c r="CF1870" s="3">
        <v>45883</v>
      </c>
      <c r="CI1870">
        <v>1</v>
      </c>
      <c r="CJ1870">
        <v>1</v>
      </c>
      <c r="CK1870">
        <v>21</v>
      </c>
      <c r="CL1870" t="s">
        <v>90</v>
      </c>
    </row>
    <row r="1871" spans="1:90" x14ac:dyDescent="0.3">
      <c r="A1871" t="s">
        <v>72</v>
      </c>
      <c r="B1871" t="s">
        <v>73</v>
      </c>
      <c r="C1871" t="s">
        <v>74</v>
      </c>
      <c r="E1871" t="str">
        <f>"080067221955"</f>
        <v>080067221955</v>
      </c>
      <c r="F1871" s="3">
        <v>45882</v>
      </c>
      <c r="G1871">
        <v>202605</v>
      </c>
      <c r="H1871" t="s">
        <v>75</v>
      </c>
      <c r="I1871" t="s">
        <v>76</v>
      </c>
      <c r="J1871" t="s">
        <v>77</v>
      </c>
      <c r="K1871" t="s">
        <v>78</v>
      </c>
      <c r="L1871" t="s">
        <v>278</v>
      </c>
      <c r="M1871" t="s">
        <v>279</v>
      </c>
      <c r="N1871" t="s">
        <v>1036</v>
      </c>
      <c r="O1871" t="s">
        <v>82</v>
      </c>
      <c r="P1871" t="str">
        <f>"4170054550                    "</f>
        <v xml:space="preserve">4170054550                    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0</v>
      </c>
      <c r="AI1871">
        <v>0</v>
      </c>
      <c r="AJ1871">
        <v>0</v>
      </c>
      <c r="AK1871">
        <v>0</v>
      </c>
      <c r="AL1871">
        <v>0</v>
      </c>
      <c r="AM1871">
        <v>0</v>
      </c>
      <c r="AN1871">
        <v>0</v>
      </c>
      <c r="AO1871">
        <v>0</v>
      </c>
      <c r="AP1871">
        <v>0</v>
      </c>
      <c r="AQ1871">
        <v>23.09</v>
      </c>
      <c r="AR1871">
        <v>0</v>
      </c>
      <c r="AS1871">
        <v>0</v>
      </c>
      <c r="AT1871">
        <v>0</v>
      </c>
      <c r="AU1871">
        <v>0</v>
      </c>
      <c r="AV1871">
        <v>0</v>
      </c>
      <c r="AW1871">
        <v>0</v>
      </c>
      <c r="AX1871">
        <v>0</v>
      </c>
      <c r="AY1871">
        <v>0</v>
      </c>
      <c r="AZ1871">
        <v>0</v>
      </c>
      <c r="BA1871">
        <v>0</v>
      </c>
      <c r="BB1871">
        <v>0</v>
      </c>
      <c r="BC1871">
        <v>0</v>
      </c>
      <c r="BD1871">
        <v>0</v>
      </c>
      <c r="BE1871">
        <v>0</v>
      </c>
      <c r="BF1871">
        <v>0</v>
      </c>
      <c r="BG1871">
        <v>0</v>
      </c>
      <c r="BH1871">
        <v>1</v>
      </c>
      <c r="BI1871">
        <v>1</v>
      </c>
      <c r="BJ1871">
        <v>0.2</v>
      </c>
      <c r="BK1871">
        <v>1</v>
      </c>
      <c r="BL1871">
        <v>71.69</v>
      </c>
      <c r="BM1871">
        <v>10.75</v>
      </c>
      <c r="BN1871">
        <v>82.44</v>
      </c>
      <c r="BO1871">
        <v>82.44</v>
      </c>
      <c r="BQ1871" t="s">
        <v>1037</v>
      </c>
      <c r="BR1871" t="s">
        <v>84</v>
      </c>
      <c r="BS1871" s="3">
        <v>45883</v>
      </c>
      <c r="BT1871" s="4">
        <v>0.43888888888888888</v>
      </c>
      <c r="BU1871" t="s">
        <v>2363</v>
      </c>
      <c r="BV1871" t="s">
        <v>90</v>
      </c>
      <c r="BW1871" t="s">
        <v>380</v>
      </c>
      <c r="BX1871" t="s">
        <v>644</v>
      </c>
      <c r="BY1871">
        <v>1200</v>
      </c>
      <c r="CA1871" t="s">
        <v>532</v>
      </c>
      <c r="CC1871" t="s">
        <v>279</v>
      </c>
      <c r="CD1871" s="5" t="s">
        <v>533</v>
      </c>
      <c r="CE1871" t="s">
        <v>109</v>
      </c>
      <c r="CF1871" s="3">
        <v>45883</v>
      </c>
      <c r="CI1871">
        <v>1</v>
      </c>
      <c r="CJ1871">
        <v>1</v>
      </c>
      <c r="CK1871">
        <v>21</v>
      </c>
      <c r="CL1871" t="s">
        <v>90</v>
      </c>
    </row>
    <row r="1872" spans="1:90" x14ac:dyDescent="0.3">
      <c r="A1872" t="s">
        <v>72</v>
      </c>
      <c r="B1872" t="s">
        <v>73</v>
      </c>
      <c r="C1872" t="s">
        <v>74</v>
      </c>
      <c r="E1872" t="str">
        <f>"080067221961"</f>
        <v>080067221961</v>
      </c>
      <c r="F1872" s="3">
        <v>45882</v>
      </c>
      <c r="G1872">
        <v>202605</v>
      </c>
      <c r="H1872" t="s">
        <v>75</v>
      </c>
      <c r="I1872" t="s">
        <v>76</v>
      </c>
      <c r="J1872" t="s">
        <v>77</v>
      </c>
      <c r="K1872" t="s">
        <v>78</v>
      </c>
      <c r="L1872" t="s">
        <v>198</v>
      </c>
      <c r="M1872" t="s">
        <v>199</v>
      </c>
      <c r="N1872" t="s">
        <v>680</v>
      </c>
      <c r="O1872" t="s">
        <v>82</v>
      </c>
      <c r="P1872" t="str">
        <f>"4170054491                    "</f>
        <v xml:space="preserve">4170054491                    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0</v>
      </c>
      <c r="AM1872">
        <v>0</v>
      </c>
      <c r="AN1872">
        <v>0</v>
      </c>
      <c r="AO1872">
        <v>0</v>
      </c>
      <c r="AP1872">
        <v>0</v>
      </c>
      <c r="AQ1872">
        <v>23.09</v>
      </c>
      <c r="AR1872">
        <v>0</v>
      </c>
      <c r="AS1872">
        <v>0</v>
      </c>
      <c r="AT1872">
        <v>0</v>
      </c>
      <c r="AU1872">
        <v>0</v>
      </c>
      <c r="AV1872">
        <v>0</v>
      </c>
      <c r="AW1872">
        <v>0</v>
      </c>
      <c r="AX1872">
        <v>0</v>
      </c>
      <c r="AY1872">
        <v>0</v>
      </c>
      <c r="AZ1872">
        <v>0</v>
      </c>
      <c r="BA1872">
        <v>0</v>
      </c>
      <c r="BB1872">
        <v>0</v>
      </c>
      <c r="BC1872">
        <v>0</v>
      </c>
      <c r="BD1872">
        <v>0</v>
      </c>
      <c r="BE1872">
        <v>0</v>
      </c>
      <c r="BF1872">
        <v>0</v>
      </c>
      <c r="BG1872">
        <v>0</v>
      </c>
      <c r="BH1872">
        <v>1</v>
      </c>
      <c r="BI1872">
        <v>1</v>
      </c>
      <c r="BJ1872">
        <v>0.9</v>
      </c>
      <c r="BK1872">
        <v>1</v>
      </c>
      <c r="BL1872">
        <v>71.69</v>
      </c>
      <c r="BM1872">
        <v>10.75</v>
      </c>
      <c r="BN1872">
        <v>82.44</v>
      </c>
      <c r="BO1872">
        <v>82.44</v>
      </c>
      <c r="BQ1872" t="s">
        <v>681</v>
      </c>
      <c r="BR1872" t="s">
        <v>84</v>
      </c>
      <c r="BS1872" s="3">
        <v>45883</v>
      </c>
      <c r="BT1872" s="4">
        <v>0.66666666666666663</v>
      </c>
      <c r="BU1872" t="s">
        <v>2515</v>
      </c>
      <c r="BV1872" t="s">
        <v>90</v>
      </c>
      <c r="BW1872" t="s">
        <v>134</v>
      </c>
      <c r="BX1872" t="s">
        <v>1360</v>
      </c>
      <c r="BY1872">
        <v>4275</v>
      </c>
      <c r="CC1872" t="s">
        <v>199</v>
      </c>
      <c r="CD1872">
        <v>6001</v>
      </c>
      <c r="CE1872" t="s">
        <v>147</v>
      </c>
      <c r="CF1872" s="3">
        <v>45883</v>
      </c>
      <c r="CI1872">
        <v>1</v>
      </c>
      <c r="CJ1872">
        <v>1</v>
      </c>
      <c r="CK1872">
        <v>21</v>
      </c>
      <c r="CL1872" t="s">
        <v>90</v>
      </c>
    </row>
    <row r="1873" spans="1:90" x14ac:dyDescent="0.3">
      <c r="A1873" t="s">
        <v>72</v>
      </c>
      <c r="B1873" t="s">
        <v>73</v>
      </c>
      <c r="C1873" t="s">
        <v>74</v>
      </c>
      <c r="E1873" t="str">
        <f>"080067221997"</f>
        <v>080067221997</v>
      </c>
      <c r="F1873" s="3">
        <v>45882</v>
      </c>
      <c r="G1873">
        <v>202605</v>
      </c>
      <c r="H1873" t="s">
        <v>75</v>
      </c>
      <c r="I1873" t="s">
        <v>76</v>
      </c>
      <c r="J1873" t="s">
        <v>77</v>
      </c>
      <c r="K1873" t="s">
        <v>78</v>
      </c>
      <c r="L1873" t="s">
        <v>606</v>
      </c>
      <c r="M1873" t="s">
        <v>607</v>
      </c>
      <c r="N1873" t="s">
        <v>608</v>
      </c>
      <c r="O1873" t="s">
        <v>82</v>
      </c>
      <c r="P1873" t="str">
        <f>"4170054507                    "</f>
        <v xml:space="preserve">4170054507                    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0</v>
      </c>
      <c r="AQ1873">
        <v>44.73</v>
      </c>
      <c r="AR1873">
        <v>0</v>
      </c>
      <c r="AS1873">
        <v>0</v>
      </c>
      <c r="AT1873">
        <v>0</v>
      </c>
      <c r="AU1873">
        <v>0</v>
      </c>
      <c r="AV1873">
        <v>0</v>
      </c>
      <c r="AW1873">
        <v>0</v>
      </c>
      <c r="AX1873">
        <v>0</v>
      </c>
      <c r="AY1873">
        <v>0</v>
      </c>
      <c r="AZ1873">
        <v>0</v>
      </c>
      <c r="BA1873">
        <v>0</v>
      </c>
      <c r="BB1873">
        <v>0</v>
      </c>
      <c r="BC1873">
        <v>0</v>
      </c>
      <c r="BD1873">
        <v>0</v>
      </c>
      <c r="BE1873">
        <v>0</v>
      </c>
      <c r="BF1873">
        <v>0</v>
      </c>
      <c r="BG1873">
        <v>0</v>
      </c>
      <c r="BH1873">
        <v>1</v>
      </c>
      <c r="BI1873">
        <v>1</v>
      </c>
      <c r="BJ1873">
        <v>0.2</v>
      </c>
      <c r="BK1873">
        <v>1</v>
      </c>
      <c r="BL1873">
        <v>138.88999999999999</v>
      </c>
      <c r="BM1873">
        <v>20.83</v>
      </c>
      <c r="BN1873">
        <v>159.72</v>
      </c>
      <c r="BO1873">
        <v>159.72</v>
      </c>
      <c r="BQ1873" t="s">
        <v>609</v>
      </c>
      <c r="BR1873" t="s">
        <v>84</v>
      </c>
      <c r="BS1873" s="3">
        <v>45883</v>
      </c>
      <c r="BT1873" s="4">
        <v>0.69652777777777775</v>
      </c>
      <c r="BU1873" t="s">
        <v>2516</v>
      </c>
      <c r="BV1873" t="s">
        <v>86</v>
      </c>
      <c r="BY1873">
        <v>1200</v>
      </c>
      <c r="CA1873" t="s">
        <v>2511</v>
      </c>
      <c r="CC1873" t="s">
        <v>607</v>
      </c>
      <c r="CD1873">
        <v>1390</v>
      </c>
      <c r="CE1873" t="s">
        <v>109</v>
      </c>
      <c r="CF1873" s="3">
        <v>45883</v>
      </c>
      <c r="CI1873">
        <v>1</v>
      </c>
      <c r="CJ1873">
        <v>1</v>
      </c>
      <c r="CK1873">
        <v>23</v>
      </c>
      <c r="CL1873" t="s">
        <v>90</v>
      </c>
    </row>
    <row r="1874" spans="1:90" x14ac:dyDescent="0.3">
      <c r="A1874" t="s">
        <v>72</v>
      </c>
      <c r="B1874" t="s">
        <v>73</v>
      </c>
      <c r="C1874" t="s">
        <v>74</v>
      </c>
      <c r="E1874" t="str">
        <f>"080067222010"</f>
        <v>080067222010</v>
      </c>
      <c r="F1874" s="3">
        <v>45882</v>
      </c>
      <c r="G1874">
        <v>202605</v>
      </c>
      <c r="H1874" t="s">
        <v>75</v>
      </c>
      <c r="I1874" t="s">
        <v>76</v>
      </c>
      <c r="J1874" t="s">
        <v>77</v>
      </c>
      <c r="K1874" t="s">
        <v>78</v>
      </c>
      <c r="L1874" t="s">
        <v>385</v>
      </c>
      <c r="M1874" t="s">
        <v>386</v>
      </c>
      <c r="N1874" t="s">
        <v>397</v>
      </c>
      <c r="O1874" t="s">
        <v>113</v>
      </c>
      <c r="P1874" t="str">
        <f>"4170054709                    "</f>
        <v xml:space="preserve">4170054709                    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0</v>
      </c>
      <c r="AI1874">
        <v>0</v>
      </c>
      <c r="AJ1874"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0</v>
      </c>
      <c r="AQ1874">
        <v>18.04</v>
      </c>
      <c r="AR1874">
        <v>0</v>
      </c>
      <c r="AS1874">
        <v>0</v>
      </c>
      <c r="AT1874">
        <v>0</v>
      </c>
      <c r="AU1874">
        <v>0</v>
      </c>
      <c r="AV1874">
        <v>0</v>
      </c>
      <c r="AW1874">
        <v>0</v>
      </c>
      <c r="AX1874">
        <v>0</v>
      </c>
      <c r="AY1874">
        <v>0</v>
      </c>
      <c r="AZ1874">
        <v>0</v>
      </c>
      <c r="BA1874">
        <v>0</v>
      </c>
      <c r="BB1874">
        <v>0</v>
      </c>
      <c r="BC1874">
        <v>0</v>
      </c>
      <c r="BD1874">
        <v>0</v>
      </c>
      <c r="BE1874">
        <v>0</v>
      </c>
      <c r="BF1874">
        <v>0</v>
      </c>
      <c r="BG1874">
        <v>0</v>
      </c>
      <c r="BH1874">
        <v>1</v>
      </c>
      <c r="BI1874">
        <v>1</v>
      </c>
      <c r="BJ1874">
        <v>3.7</v>
      </c>
      <c r="BK1874">
        <v>4</v>
      </c>
      <c r="BL1874">
        <v>56.01</v>
      </c>
      <c r="BM1874">
        <v>8.4</v>
      </c>
      <c r="BN1874">
        <v>64.41</v>
      </c>
      <c r="BO1874">
        <v>64.41</v>
      </c>
      <c r="BQ1874" t="s">
        <v>398</v>
      </c>
      <c r="BR1874" t="s">
        <v>84</v>
      </c>
      <c r="BS1874" s="3">
        <v>45883</v>
      </c>
      <c r="BT1874" s="4">
        <v>0.44236111111111109</v>
      </c>
      <c r="BU1874" t="s">
        <v>592</v>
      </c>
      <c r="BV1874" t="s">
        <v>86</v>
      </c>
      <c r="BY1874">
        <v>18304</v>
      </c>
      <c r="CA1874" t="s">
        <v>851</v>
      </c>
      <c r="CC1874" t="s">
        <v>386</v>
      </c>
      <c r="CD1874">
        <v>1559</v>
      </c>
      <c r="CE1874" t="s">
        <v>147</v>
      </c>
      <c r="CF1874" s="3">
        <v>45883</v>
      </c>
      <c r="CI1874">
        <v>1</v>
      </c>
      <c r="CJ1874">
        <v>1</v>
      </c>
      <c r="CK1874">
        <v>32</v>
      </c>
      <c r="CL1874" t="s">
        <v>90</v>
      </c>
    </row>
    <row r="1875" spans="1:90" x14ac:dyDescent="0.3">
      <c r="A1875" t="s">
        <v>72</v>
      </c>
      <c r="B1875" t="s">
        <v>73</v>
      </c>
      <c r="C1875" t="s">
        <v>74</v>
      </c>
      <c r="E1875" t="str">
        <f>"080067222016"</f>
        <v>080067222016</v>
      </c>
      <c r="F1875" s="3">
        <v>45882</v>
      </c>
      <c r="G1875">
        <v>202605</v>
      </c>
      <c r="H1875" t="s">
        <v>75</v>
      </c>
      <c r="I1875" t="s">
        <v>76</v>
      </c>
      <c r="J1875" t="s">
        <v>77</v>
      </c>
      <c r="K1875" t="s">
        <v>78</v>
      </c>
      <c r="L1875" t="s">
        <v>123</v>
      </c>
      <c r="M1875" t="s">
        <v>124</v>
      </c>
      <c r="N1875" t="s">
        <v>1714</v>
      </c>
      <c r="O1875" t="s">
        <v>82</v>
      </c>
      <c r="P1875" t="str">
        <f>"4170054522                    "</f>
        <v xml:space="preserve">4170054522                    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0</v>
      </c>
      <c r="AN1875">
        <v>0</v>
      </c>
      <c r="AO1875">
        <v>0</v>
      </c>
      <c r="AP1875">
        <v>0</v>
      </c>
      <c r="AQ1875">
        <v>23.09</v>
      </c>
      <c r="AR1875">
        <v>0</v>
      </c>
      <c r="AS1875">
        <v>0</v>
      </c>
      <c r="AT1875">
        <v>0</v>
      </c>
      <c r="AU1875">
        <v>0</v>
      </c>
      <c r="AV1875">
        <v>0</v>
      </c>
      <c r="AW1875">
        <v>0</v>
      </c>
      <c r="AX1875">
        <v>0</v>
      </c>
      <c r="AY1875">
        <v>0</v>
      </c>
      <c r="AZ1875">
        <v>0</v>
      </c>
      <c r="BA1875">
        <v>0</v>
      </c>
      <c r="BB1875">
        <v>0</v>
      </c>
      <c r="BC1875">
        <v>0</v>
      </c>
      <c r="BD1875">
        <v>0</v>
      </c>
      <c r="BE1875">
        <v>0</v>
      </c>
      <c r="BF1875">
        <v>0</v>
      </c>
      <c r="BG1875">
        <v>0</v>
      </c>
      <c r="BH1875">
        <v>1</v>
      </c>
      <c r="BI1875">
        <v>1</v>
      </c>
      <c r="BJ1875">
        <v>0.2</v>
      </c>
      <c r="BK1875">
        <v>1</v>
      </c>
      <c r="BL1875">
        <v>71.69</v>
      </c>
      <c r="BM1875">
        <v>10.75</v>
      </c>
      <c r="BN1875">
        <v>82.44</v>
      </c>
      <c r="BO1875">
        <v>82.44</v>
      </c>
      <c r="BQ1875" t="s">
        <v>1715</v>
      </c>
      <c r="BR1875" t="s">
        <v>84</v>
      </c>
      <c r="BS1875" s="3">
        <v>45883</v>
      </c>
      <c r="BT1875" s="4">
        <v>0.40972222222222221</v>
      </c>
      <c r="BU1875" t="s">
        <v>2517</v>
      </c>
      <c r="BV1875" t="s">
        <v>86</v>
      </c>
      <c r="BY1875">
        <v>1200</v>
      </c>
      <c r="CA1875" t="s">
        <v>1229</v>
      </c>
      <c r="CC1875" t="s">
        <v>124</v>
      </c>
      <c r="CD1875">
        <v>7500</v>
      </c>
      <c r="CE1875" t="s">
        <v>109</v>
      </c>
      <c r="CF1875" s="3">
        <v>45884</v>
      </c>
      <c r="CI1875">
        <v>1</v>
      </c>
      <c r="CJ1875">
        <v>1</v>
      </c>
      <c r="CK1875">
        <v>21</v>
      </c>
      <c r="CL1875" t="s">
        <v>90</v>
      </c>
    </row>
    <row r="1876" spans="1:90" x14ac:dyDescent="0.3">
      <c r="A1876" t="s">
        <v>72</v>
      </c>
      <c r="B1876" t="s">
        <v>73</v>
      </c>
      <c r="C1876" t="s">
        <v>74</v>
      </c>
      <c r="E1876" t="str">
        <f>"080067222082"</f>
        <v>080067222082</v>
      </c>
      <c r="F1876" s="3">
        <v>45882</v>
      </c>
      <c r="G1876">
        <v>202605</v>
      </c>
      <c r="H1876" t="s">
        <v>75</v>
      </c>
      <c r="I1876" t="s">
        <v>76</v>
      </c>
      <c r="J1876" t="s">
        <v>77</v>
      </c>
      <c r="K1876" t="s">
        <v>78</v>
      </c>
      <c r="L1876" t="s">
        <v>217</v>
      </c>
      <c r="M1876" t="s">
        <v>218</v>
      </c>
      <c r="N1876" t="s">
        <v>942</v>
      </c>
      <c r="O1876" t="s">
        <v>82</v>
      </c>
      <c r="P1876" t="str">
        <f>"4170054638                    "</f>
        <v xml:space="preserve">4170054638                    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Q1876">
        <v>23.09</v>
      </c>
      <c r="AR1876">
        <v>0</v>
      </c>
      <c r="AS1876">
        <v>0</v>
      </c>
      <c r="AT1876">
        <v>0</v>
      </c>
      <c r="AU1876">
        <v>0</v>
      </c>
      <c r="AV1876">
        <v>0</v>
      </c>
      <c r="AW1876">
        <v>0</v>
      </c>
      <c r="AX1876">
        <v>0</v>
      </c>
      <c r="AY1876">
        <v>0</v>
      </c>
      <c r="AZ1876">
        <v>0</v>
      </c>
      <c r="BA1876">
        <v>0</v>
      </c>
      <c r="BB1876">
        <v>0</v>
      </c>
      <c r="BC1876">
        <v>0</v>
      </c>
      <c r="BD1876">
        <v>0</v>
      </c>
      <c r="BE1876">
        <v>0</v>
      </c>
      <c r="BF1876">
        <v>0</v>
      </c>
      <c r="BG1876">
        <v>0</v>
      </c>
      <c r="BH1876">
        <v>1</v>
      </c>
      <c r="BI1876">
        <v>1</v>
      </c>
      <c r="BJ1876">
        <v>0.2</v>
      </c>
      <c r="BK1876">
        <v>1</v>
      </c>
      <c r="BL1876">
        <v>71.69</v>
      </c>
      <c r="BM1876">
        <v>10.75</v>
      </c>
      <c r="BN1876">
        <v>82.44</v>
      </c>
      <c r="BO1876">
        <v>82.44</v>
      </c>
      <c r="BQ1876" t="s">
        <v>943</v>
      </c>
      <c r="BR1876" t="s">
        <v>84</v>
      </c>
      <c r="BS1876" s="3">
        <v>45883</v>
      </c>
      <c r="BT1876" s="4">
        <v>0.38541666666666669</v>
      </c>
      <c r="BU1876" t="s">
        <v>1876</v>
      </c>
      <c r="BV1876" t="s">
        <v>86</v>
      </c>
      <c r="BY1876">
        <v>1200</v>
      </c>
      <c r="CA1876" t="s">
        <v>945</v>
      </c>
      <c r="CC1876" t="s">
        <v>218</v>
      </c>
      <c r="CD1876">
        <v>4068</v>
      </c>
      <c r="CE1876" t="s">
        <v>109</v>
      </c>
      <c r="CF1876" s="3">
        <v>45884</v>
      </c>
      <c r="CI1876">
        <v>1</v>
      </c>
      <c r="CJ1876">
        <v>1</v>
      </c>
      <c r="CK1876">
        <v>21</v>
      </c>
      <c r="CL1876" t="s">
        <v>90</v>
      </c>
    </row>
    <row r="1877" spans="1:90" x14ac:dyDescent="0.3">
      <c r="A1877" t="s">
        <v>72</v>
      </c>
      <c r="B1877" t="s">
        <v>73</v>
      </c>
      <c r="C1877" t="s">
        <v>74</v>
      </c>
      <c r="E1877" t="str">
        <f>"080067222113"</f>
        <v>080067222113</v>
      </c>
      <c r="F1877" s="3">
        <v>45882</v>
      </c>
      <c r="G1877">
        <v>202605</v>
      </c>
      <c r="H1877" t="s">
        <v>75</v>
      </c>
      <c r="I1877" t="s">
        <v>76</v>
      </c>
      <c r="J1877" t="s">
        <v>77</v>
      </c>
      <c r="K1877" t="s">
        <v>78</v>
      </c>
      <c r="L1877" t="s">
        <v>198</v>
      </c>
      <c r="M1877" t="s">
        <v>199</v>
      </c>
      <c r="N1877" t="s">
        <v>680</v>
      </c>
      <c r="O1877" t="s">
        <v>82</v>
      </c>
      <c r="P1877" t="str">
        <f>"4170054740                    "</f>
        <v xml:space="preserve">4170054740                    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Q1877">
        <v>23.09</v>
      </c>
      <c r="AR1877">
        <v>0</v>
      </c>
      <c r="AS1877">
        <v>0</v>
      </c>
      <c r="AT1877">
        <v>0</v>
      </c>
      <c r="AU1877">
        <v>0</v>
      </c>
      <c r="AV1877">
        <v>0</v>
      </c>
      <c r="AW1877">
        <v>0</v>
      </c>
      <c r="AX1877">
        <v>0</v>
      </c>
      <c r="AY1877">
        <v>0</v>
      </c>
      <c r="AZ1877">
        <v>0</v>
      </c>
      <c r="BA1877">
        <v>0</v>
      </c>
      <c r="BB1877">
        <v>0</v>
      </c>
      <c r="BC1877">
        <v>0</v>
      </c>
      <c r="BD1877">
        <v>0</v>
      </c>
      <c r="BE1877">
        <v>0</v>
      </c>
      <c r="BF1877">
        <v>0</v>
      </c>
      <c r="BG1877">
        <v>0</v>
      </c>
      <c r="BH1877">
        <v>1</v>
      </c>
      <c r="BI1877">
        <v>1</v>
      </c>
      <c r="BJ1877">
        <v>0.2</v>
      </c>
      <c r="BK1877">
        <v>1</v>
      </c>
      <c r="BL1877">
        <v>71.69</v>
      </c>
      <c r="BM1877">
        <v>10.75</v>
      </c>
      <c r="BN1877">
        <v>82.44</v>
      </c>
      <c r="BO1877">
        <v>82.44</v>
      </c>
      <c r="BQ1877" t="s">
        <v>681</v>
      </c>
      <c r="BR1877" t="s">
        <v>84</v>
      </c>
      <c r="BS1877" s="3">
        <v>45883</v>
      </c>
      <c r="BT1877" s="4">
        <v>0.36736111111111114</v>
      </c>
      <c r="BU1877" t="s">
        <v>682</v>
      </c>
      <c r="BV1877" t="s">
        <v>86</v>
      </c>
      <c r="BY1877">
        <v>1200</v>
      </c>
      <c r="CA1877" t="s">
        <v>413</v>
      </c>
      <c r="CC1877" t="s">
        <v>199</v>
      </c>
      <c r="CD1877">
        <v>6001</v>
      </c>
      <c r="CE1877" t="s">
        <v>109</v>
      </c>
      <c r="CF1877" s="3">
        <v>45883</v>
      </c>
      <c r="CI1877">
        <v>1</v>
      </c>
      <c r="CJ1877">
        <v>1</v>
      </c>
      <c r="CK1877">
        <v>21</v>
      </c>
      <c r="CL1877" t="s">
        <v>90</v>
      </c>
    </row>
    <row r="1878" spans="1:90" x14ac:dyDescent="0.3">
      <c r="A1878" t="s">
        <v>72</v>
      </c>
      <c r="B1878" t="s">
        <v>73</v>
      </c>
      <c r="C1878" t="s">
        <v>74</v>
      </c>
      <c r="E1878" t="str">
        <f>"080067222128"</f>
        <v>080067222128</v>
      </c>
      <c r="F1878" s="3">
        <v>45882</v>
      </c>
      <c r="G1878">
        <v>202605</v>
      </c>
      <c r="H1878" t="s">
        <v>75</v>
      </c>
      <c r="I1878" t="s">
        <v>76</v>
      </c>
      <c r="J1878" t="s">
        <v>77</v>
      </c>
      <c r="K1878" t="s">
        <v>78</v>
      </c>
      <c r="L1878" t="s">
        <v>75</v>
      </c>
      <c r="M1878" t="s">
        <v>76</v>
      </c>
      <c r="N1878" t="s">
        <v>1100</v>
      </c>
      <c r="O1878" t="s">
        <v>82</v>
      </c>
      <c r="P1878" t="str">
        <f>"4170054591                    "</f>
        <v xml:space="preserve">4170054591                    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0</v>
      </c>
      <c r="AI1878">
        <v>0</v>
      </c>
      <c r="AJ1878">
        <v>0</v>
      </c>
      <c r="AK1878">
        <v>0</v>
      </c>
      <c r="AL1878">
        <v>0</v>
      </c>
      <c r="AM1878">
        <v>0</v>
      </c>
      <c r="AN1878">
        <v>0</v>
      </c>
      <c r="AO1878">
        <v>0</v>
      </c>
      <c r="AP1878">
        <v>0</v>
      </c>
      <c r="AQ1878">
        <v>18.03</v>
      </c>
      <c r="AR1878">
        <v>0</v>
      </c>
      <c r="AS1878">
        <v>0</v>
      </c>
      <c r="AT1878">
        <v>0</v>
      </c>
      <c r="AU1878">
        <v>0</v>
      </c>
      <c r="AV1878">
        <v>0</v>
      </c>
      <c r="AW1878">
        <v>0</v>
      </c>
      <c r="AX1878">
        <v>0</v>
      </c>
      <c r="AY1878">
        <v>0</v>
      </c>
      <c r="AZ1878">
        <v>0</v>
      </c>
      <c r="BA1878">
        <v>0</v>
      </c>
      <c r="BB1878">
        <v>0</v>
      </c>
      <c r="BC1878">
        <v>0</v>
      </c>
      <c r="BD1878">
        <v>0</v>
      </c>
      <c r="BE1878">
        <v>0</v>
      </c>
      <c r="BF1878">
        <v>0</v>
      </c>
      <c r="BG1878">
        <v>0</v>
      </c>
      <c r="BH1878">
        <v>1</v>
      </c>
      <c r="BI1878">
        <v>1</v>
      </c>
      <c r="BJ1878">
        <v>0.2</v>
      </c>
      <c r="BK1878">
        <v>1</v>
      </c>
      <c r="BL1878">
        <v>55.99</v>
      </c>
      <c r="BM1878">
        <v>8.4</v>
      </c>
      <c r="BN1878">
        <v>64.39</v>
      </c>
      <c r="BO1878">
        <v>64.39</v>
      </c>
      <c r="BQ1878" t="s">
        <v>1101</v>
      </c>
      <c r="BR1878" t="s">
        <v>84</v>
      </c>
      <c r="BS1878" s="3">
        <v>45883</v>
      </c>
      <c r="BT1878" s="4">
        <v>0.68472222222222223</v>
      </c>
      <c r="BU1878" t="s">
        <v>2518</v>
      </c>
      <c r="BV1878" t="s">
        <v>90</v>
      </c>
      <c r="BY1878">
        <v>1200</v>
      </c>
      <c r="CA1878" t="s">
        <v>2446</v>
      </c>
      <c r="CC1878" t="s">
        <v>76</v>
      </c>
      <c r="CD1878">
        <v>1600</v>
      </c>
      <c r="CE1878" t="s">
        <v>109</v>
      </c>
      <c r="CF1878" s="3">
        <v>45883</v>
      </c>
      <c r="CI1878">
        <v>1</v>
      </c>
      <c r="CJ1878">
        <v>1</v>
      </c>
      <c r="CK1878">
        <v>22</v>
      </c>
      <c r="CL1878" t="s">
        <v>90</v>
      </c>
    </row>
    <row r="1879" spans="1:90" x14ac:dyDescent="0.3">
      <c r="A1879" t="s">
        <v>72</v>
      </c>
      <c r="B1879" t="s">
        <v>73</v>
      </c>
      <c r="C1879" t="s">
        <v>74</v>
      </c>
      <c r="E1879" t="str">
        <f>"080067222208"</f>
        <v>080067222208</v>
      </c>
      <c r="F1879" s="3">
        <v>45882</v>
      </c>
      <c r="G1879">
        <v>202605</v>
      </c>
      <c r="H1879" t="s">
        <v>75</v>
      </c>
      <c r="I1879" t="s">
        <v>76</v>
      </c>
      <c r="J1879" t="s">
        <v>77</v>
      </c>
      <c r="K1879" t="s">
        <v>78</v>
      </c>
      <c r="L1879" t="s">
        <v>303</v>
      </c>
      <c r="M1879" t="s">
        <v>304</v>
      </c>
      <c r="N1879" t="s">
        <v>1923</v>
      </c>
      <c r="O1879" t="s">
        <v>82</v>
      </c>
      <c r="P1879" t="str">
        <f>"4170054622                    "</f>
        <v xml:space="preserve">4170054622                    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0</v>
      </c>
      <c r="AK1879">
        <v>0</v>
      </c>
      <c r="AL1879">
        <v>0</v>
      </c>
      <c r="AM1879">
        <v>0</v>
      </c>
      <c r="AN1879">
        <v>0</v>
      </c>
      <c r="AO1879">
        <v>0</v>
      </c>
      <c r="AP1879">
        <v>0</v>
      </c>
      <c r="AQ1879">
        <v>44.73</v>
      </c>
      <c r="AR1879">
        <v>0</v>
      </c>
      <c r="AS1879">
        <v>0</v>
      </c>
      <c r="AT1879">
        <v>0</v>
      </c>
      <c r="AU1879">
        <v>0</v>
      </c>
      <c r="AV1879">
        <v>0</v>
      </c>
      <c r="AW1879">
        <v>0</v>
      </c>
      <c r="AX1879">
        <v>0</v>
      </c>
      <c r="AY1879">
        <v>0</v>
      </c>
      <c r="AZ1879">
        <v>0</v>
      </c>
      <c r="BA1879">
        <v>0</v>
      </c>
      <c r="BB1879">
        <v>0</v>
      </c>
      <c r="BC1879">
        <v>0</v>
      </c>
      <c r="BD1879">
        <v>0</v>
      </c>
      <c r="BE1879">
        <v>0</v>
      </c>
      <c r="BF1879">
        <v>0</v>
      </c>
      <c r="BG1879">
        <v>0</v>
      </c>
      <c r="BH1879">
        <v>1</v>
      </c>
      <c r="BI1879">
        <v>1</v>
      </c>
      <c r="BJ1879">
        <v>0.2</v>
      </c>
      <c r="BK1879">
        <v>1</v>
      </c>
      <c r="BL1879">
        <v>138.88999999999999</v>
      </c>
      <c r="BM1879">
        <v>20.83</v>
      </c>
      <c r="BN1879">
        <v>159.72</v>
      </c>
      <c r="BO1879">
        <v>159.72</v>
      </c>
      <c r="BQ1879" t="s">
        <v>1924</v>
      </c>
      <c r="BR1879" t="s">
        <v>84</v>
      </c>
      <c r="BS1879" s="3">
        <v>45883</v>
      </c>
      <c r="BT1879" s="4">
        <v>0.41805555555555557</v>
      </c>
      <c r="BU1879" t="s">
        <v>2519</v>
      </c>
      <c r="BV1879" t="s">
        <v>86</v>
      </c>
      <c r="BY1879">
        <v>1200</v>
      </c>
      <c r="CA1879" t="s">
        <v>308</v>
      </c>
      <c r="CC1879" t="s">
        <v>304</v>
      </c>
      <c r="CD1879">
        <v>7130</v>
      </c>
      <c r="CE1879" t="s">
        <v>109</v>
      </c>
      <c r="CI1879">
        <v>1</v>
      </c>
      <c r="CJ1879">
        <v>1</v>
      </c>
      <c r="CK1879">
        <v>23</v>
      </c>
      <c r="CL1879" t="s">
        <v>90</v>
      </c>
    </row>
    <row r="1880" spans="1:90" x14ac:dyDescent="0.3">
      <c r="A1880" t="s">
        <v>72</v>
      </c>
      <c r="B1880" t="s">
        <v>73</v>
      </c>
      <c r="C1880" t="s">
        <v>74</v>
      </c>
      <c r="E1880" t="str">
        <f>"080067222247"</f>
        <v>080067222247</v>
      </c>
      <c r="F1880" s="3">
        <v>45882</v>
      </c>
      <c r="G1880">
        <v>202605</v>
      </c>
      <c r="H1880" t="s">
        <v>75</v>
      </c>
      <c r="I1880" t="s">
        <v>76</v>
      </c>
      <c r="J1880" t="s">
        <v>77</v>
      </c>
      <c r="K1880" t="s">
        <v>78</v>
      </c>
      <c r="L1880" t="s">
        <v>123</v>
      </c>
      <c r="M1880" t="s">
        <v>124</v>
      </c>
      <c r="N1880" t="s">
        <v>1841</v>
      </c>
      <c r="O1880" t="s">
        <v>82</v>
      </c>
      <c r="P1880" t="str">
        <f>"4170054779                    "</f>
        <v xml:space="preserve">4170054779                    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0</v>
      </c>
      <c r="AI1880">
        <v>0</v>
      </c>
      <c r="AJ1880">
        <v>0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>
        <v>0</v>
      </c>
      <c r="AQ1880">
        <v>23.09</v>
      </c>
      <c r="AR1880">
        <v>0</v>
      </c>
      <c r="AS1880">
        <v>0</v>
      </c>
      <c r="AT1880">
        <v>0</v>
      </c>
      <c r="AU1880">
        <v>0</v>
      </c>
      <c r="AV1880">
        <v>0</v>
      </c>
      <c r="AW1880">
        <v>0</v>
      </c>
      <c r="AX1880">
        <v>0</v>
      </c>
      <c r="AY1880">
        <v>0</v>
      </c>
      <c r="AZ1880">
        <v>0</v>
      </c>
      <c r="BA1880">
        <v>0</v>
      </c>
      <c r="BB1880">
        <v>0</v>
      </c>
      <c r="BC1880">
        <v>0</v>
      </c>
      <c r="BD1880">
        <v>0</v>
      </c>
      <c r="BE1880">
        <v>0</v>
      </c>
      <c r="BF1880">
        <v>0</v>
      </c>
      <c r="BG1880">
        <v>0</v>
      </c>
      <c r="BH1880">
        <v>1</v>
      </c>
      <c r="BI1880">
        <v>1</v>
      </c>
      <c r="BJ1880">
        <v>0.2</v>
      </c>
      <c r="BK1880">
        <v>1</v>
      </c>
      <c r="BL1880">
        <v>71.69</v>
      </c>
      <c r="BM1880">
        <v>10.75</v>
      </c>
      <c r="BN1880">
        <v>82.44</v>
      </c>
      <c r="BO1880">
        <v>82.44</v>
      </c>
      <c r="BQ1880" t="s">
        <v>1842</v>
      </c>
      <c r="BR1880" t="s">
        <v>84</v>
      </c>
      <c r="BS1880" s="3">
        <v>45883</v>
      </c>
      <c r="BT1880" s="4">
        <v>0.41666666666666669</v>
      </c>
      <c r="BU1880" t="s">
        <v>2520</v>
      </c>
      <c r="BV1880" t="s">
        <v>86</v>
      </c>
      <c r="BY1880">
        <v>1200</v>
      </c>
      <c r="CC1880" t="s">
        <v>124</v>
      </c>
      <c r="CD1880">
        <v>7441</v>
      </c>
      <c r="CE1880" t="s">
        <v>109</v>
      </c>
      <c r="CF1880" s="3">
        <v>45884</v>
      </c>
      <c r="CI1880">
        <v>1</v>
      </c>
      <c r="CJ1880">
        <v>1</v>
      </c>
      <c r="CK1880">
        <v>21</v>
      </c>
      <c r="CL1880" t="s">
        <v>90</v>
      </c>
    </row>
    <row r="1881" spans="1:90" x14ac:dyDescent="0.3">
      <c r="A1881" t="s">
        <v>72</v>
      </c>
      <c r="B1881" t="s">
        <v>73</v>
      </c>
      <c r="C1881" t="s">
        <v>74</v>
      </c>
      <c r="E1881" t="str">
        <f>"080067222261"</f>
        <v>080067222261</v>
      </c>
      <c r="F1881" s="3">
        <v>45882</v>
      </c>
      <c r="G1881">
        <v>202605</v>
      </c>
      <c r="H1881" t="s">
        <v>75</v>
      </c>
      <c r="I1881" t="s">
        <v>76</v>
      </c>
      <c r="J1881" t="s">
        <v>77</v>
      </c>
      <c r="K1881" t="s">
        <v>78</v>
      </c>
      <c r="L1881" t="s">
        <v>137</v>
      </c>
      <c r="M1881" t="s">
        <v>138</v>
      </c>
      <c r="N1881" t="s">
        <v>370</v>
      </c>
      <c r="O1881" t="s">
        <v>82</v>
      </c>
      <c r="P1881" t="str">
        <f>"4170054648                    "</f>
        <v xml:space="preserve">4170054648                    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0</v>
      </c>
      <c r="AL1881">
        <v>0</v>
      </c>
      <c r="AM1881">
        <v>0</v>
      </c>
      <c r="AN1881">
        <v>0</v>
      </c>
      <c r="AO1881">
        <v>0</v>
      </c>
      <c r="AP1881">
        <v>0</v>
      </c>
      <c r="AQ1881">
        <v>23.09</v>
      </c>
      <c r="AR1881">
        <v>0</v>
      </c>
      <c r="AS1881">
        <v>0</v>
      </c>
      <c r="AT1881">
        <v>0</v>
      </c>
      <c r="AU1881">
        <v>0</v>
      </c>
      <c r="AV1881">
        <v>0</v>
      </c>
      <c r="AW1881">
        <v>0</v>
      </c>
      <c r="AX1881">
        <v>0</v>
      </c>
      <c r="AY1881">
        <v>0</v>
      </c>
      <c r="AZ1881">
        <v>0</v>
      </c>
      <c r="BA1881">
        <v>0</v>
      </c>
      <c r="BB1881">
        <v>0</v>
      </c>
      <c r="BC1881">
        <v>0</v>
      </c>
      <c r="BD1881">
        <v>0</v>
      </c>
      <c r="BE1881">
        <v>0</v>
      </c>
      <c r="BF1881">
        <v>0</v>
      </c>
      <c r="BG1881">
        <v>0</v>
      </c>
      <c r="BH1881">
        <v>1</v>
      </c>
      <c r="BI1881">
        <v>1</v>
      </c>
      <c r="BJ1881">
        <v>0.2</v>
      </c>
      <c r="BK1881">
        <v>1</v>
      </c>
      <c r="BL1881">
        <v>71.69</v>
      </c>
      <c r="BM1881">
        <v>10.75</v>
      </c>
      <c r="BN1881">
        <v>82.44</v>
      </c>
      <c r="BO1881">
        <v>82.44</v>
      </c>
      <c r="BQ1881" t="s">
        <v>371</v>
      </c>
      <c r="BR1881" t="s">
        <v>84</v>
      </c>
      <c r="BS1881" s="3">
        <v>45883</v>
      </c>
      <c r="BT1881" s="4">
        <v>0.39652777777777776</v>
      </c>
      <c r="BU1881" t="s">
        <v>2521</v>
      </c>
      <c r="BV1881" t="s">
        <v>86</v>
      </c>
      <c r="BY1881">
        <v>1200</v>
      </c>
      <c r="CA1881" t="s">
        <v>2514</v>
      </c>
      <c r="CC1881" t="s">
        <v>138</v>
      </c>
      <c r="CD1881">
        <v>3608</v>
      </c>
      <c r="CE1881" t="s">
        <v>109</v>
      </c>
      <c r="CF1881" s="3">
        <v>45883</v>
      </c>
      <c r="CI1881">
        <v>1</v>
      </c>
      <c r="CJ1881">
        <v>1</v>
      </c>
      <c r="CK1881">
        <v>21</v>
      </c>
      <c r="CL1881" t="s">
        <v>90</v>
      </c>
    </row>
    <row r="1882" spans="1:90" x14ac:dyDescent="0.3">
      <c r="A1882" t="s">
        <v>72</v>
      </c>
      <c r="B1882" t="s">
        <v>73</v>
      </c>
      <c r="C1882" t="s">
        <v>74</v>
      </c>
      <c r="E1882" t="str">
        <f>"080067222301"</f>
        <v>080067222301</v>
      </c>
      <c r="F1882" s="3">
        <v>45882</v>
      </c>
      <c r="G1882">
        <v>202605</v>
      </c>
      <c r="H1882" t="s">
        <v>75</v>
      </c>
      <c r="I1882" t="s">
        <v>76</v>
      </c>
      <c r="J1882" t="s">
        <v>77</v>
      </c>
      <c r="K1882" t="s">
        <v>78</v>
      </c>
      <c r="L1882" t="s">
        <v>123</v>
      </c>
      <c r="M1882" t="s">
        <v>124</v>
      </c>
      <c r="N1882" t="s">
        <v>567</v>
      </c>
      <c r="O1882" t="s">
        <v>82</v>
      </c>
      <c r="P1882" t="str">
        <f>"4170054632                    "</f>
        <v xml:space="preserve">4170054632                    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0</v>
      </c>
      <c r="AI1882">
        <v>0</v>
      </c>
      <c r="AJ1882">
        <v>0</v>
      </c>
      <c r="AK1882">
        <v>0</v>
      </c>
      <c r="AL1882">
        <v>0</v>
      </c>
      <c r="AM1882">
        <v>0</v>
      </c>
      <c r="AN1882">
        <v>0</v>
      </c>
      <c r="AO1882">
        <v>0</v>
      </c>
      <c r="AP1882">
        <v>0</v>
      </c>
      <c r="AQ1882">
        <v>23.09</v>
      </c>
      <c r="AR1882">
        <v>0</v>
      </c>
      <c r="AS1882">
        <v>0</v>
      </c>
      <c r="AT1882">
        <v>0</v>
      </c>
      <c r="AU1882">
        <v>0</v>
      </c>
      <c r="AV1882">
        <v>0</v>
      </c>
      <c r="AW1882">
        <v>16.739999999999998</v>
      </c>
      <c r="AX1882">
        <v>0</v>
      </c>
      <c r="AY1882">
        <v>0</v>
      </c>
      <c r="AZ1882">
        <v>0</v>
      </c>
      <c r="BA1882">
        <v>0</v>
      </c>
      <c r="BB1882">
        <v>0</v>
      </c>
      <c r="BC1882">
        <v>0</v>
      </c>
      <c r="BD1882">
        <v>0</v>
      </c>
      <c r="BE1882">
        <v>0</v>
      </c>
      <c r="BF1882">
        <v>0</v>
      </c>
      <c r="BG1882">
        <v>0</v>
      </c>
      <c r="BH1882">
        <v>1</v>
      </c>
      <c r="BI1882">
        <v>1</v>
      </c>
      <c r="BJ1882">
        <v>0.2</v>
      </c>
      <c r="BK1882">
        <v>1</v>
      </c>
      <c r="BL1882">
        <v>88.43</v>
      </c>
      <c r="BM1882">
        <v>13.26</v>
      </c>
      <c r="BN1882">
        <v>101.69</v>
      </c>
      <c r="BO1882">
        <v>101.69</v>
      </c>
      <c r="BQ1882" t="s">
        <v>568</v>
      </c>
      <c r="BR1882" t="s">
        <v>84</v>
      </c>
      <c r="BS1882" s="3">
        <v>45883</v>
      </c>
      <c r="BT1882" s="4">
        <v>0.375</v>
      </c>
      <c r="BU1882" t="s">
        <v>2522</v>
      </c>
      <c r="BV1882" t="s">
        <v>86</v>
      </c>
      <c r="BY1882">
        <v>1200</v>
      </c>
      <c r="BZ1882" t="s">
        <v>30</v>
      </c>
      <c r="CA1882" t="s">
        <v>570</v>
      </c>
      <c r="CC1882" t="s">
        <v>124</v>
      </c>
      <c r="CD1882">
        <v>7781</v>
      </c>
      <c r="CE1882" t="s">
        <v>109</v>
      </c>
      <c r="CF1882" s="3">
        <v>45884</v>
      </c>
      <c r="CI1882">
        <v>1</v>
      </c>
      <c r="CJ1882">
        <v>1</v>
      </c>
      <c r="CK1882">
        <v>21</v>
      </c>
      <c r="CL1882" t="s">
        <v>90</v>
      </c>
    </row>
    <row r="1883" spans="1:90" x14ac:dyDescent="0.3">
      <c r="A1883" t="s">
        <v>72</v>
      </c>
      <c r="B1883" t="s">
        <v>73</v>
      </c>
      <c r="C1883" t="s">
        <v>74</v>
      </c>
      <c r="E1883" t="str">
        <f>"080067222329"</f>
        <v>080067222329</v>
      </c>
      <c r="F1883" s="3">
        <v>45882</v>
      </c>
      <c r="G1883">
        <v>202605</v>
      </c>
      <c r="H1883" t="s">
        <v>75</v>
      </c>
      <c r="I1883" t="s">
        <v>76</v>
      </c>
      <c r="J1883" t="s">
        <v>77</v>
      </c>
      <c r="K1883" t="s">
        <v>78</v>
      </c>
      <c r="L1883" t="s">
        <v>325</v>
      </c>
      <c r="M1883" t="s">
        <v>326</v>
      </c>
      <c r="N1883" t="s">
        <v>2523</v>
      </c>
      <c r="O1883" t="s">
        <v>82</v>
      </c>
      <c r="P1883" t="str">
        <f>"4170054571                    "</f>
        <v xml:space="preserve">4170054571                    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0</v>
      </c>
      <c r="AK1883">
        <v>0</v>
      </c>
      <c r="AL1883">
        <v>0</v>
      </c>
      <c r="AM1883">
        <v>0</v>
      </c>
      <c r="AN1883">
        <v>0</v>
      </c>
      <c r="AO1883">
        <v>0</v>
      </c>
      <c r="AP1883">
        <v>0</v>
      </c>
      <c r="AQ1883">
        <v>18.03</v>
      </c>
      <c r="AR1883">
        <v>0</v>
      </c>
      <c r="AS1883">
        <v>0</v>
      </c>
      <c r="AT1883">
        <v>0</v>
      </c>
      <c r="AU1883">
        <v>0</v>
      </c>
      <c r="AV1883">
        <v>0</v>
      </c>
      <c r="AW1883">
        <v>0</v>
      </c>
      <c r="AX1883">
        <v>0</v>
      </c>
      <c r="AY1883">
        <v>0</v>
      </c>
      <c r="AZ1883">
        <v>0</v>
      </c>
      <c r="BA1883">
        <v>0</v>
      </c>
      <c r="BB1883">
        <v>0</v>
      </c>
      <c r="BC1883">
        <v>0</v>
      </c>
      <c r="BD1883">
        <v>0</v>
      </c>
      <c r="BE1883">
        <v>0</v>
      </c>
      <c r="BF1883">
        <v>0</v>
      </c>
      <c r="BG1883">
        <v>0</v>
      </c>
      <c r="BH1883">
        <v>1</v>
      </c>
      <c r="BI1883">
        <v>1</v>
      </c>
      <c r="BJ1883">
        <v>0.2</v>
      </c>
      <c r="BK1883">
        <v>1</v>
      </c>
      <c r="BL1883">
        <v>55.99</v>
      </c>
      <c r="BM1883">
        <v>8.4</v>
      </c>
      <c r="BN1883">
        <v>64.39</v>
      </c>
      <c r="BO1883">
        <v>64.39</v>
      </c>
      <c r="BQ1883" t="s">
        <v>2524</v>
      </c>
      <c r="BR1883" t="s">
        <v>84</v>
      </c>
      <c r="BS1883" s="3">
        <v>45883</v>
      </c>
      <c r="BT1883" s="4">
        <v>0.43611111111111112</v>
      </c>
      <c r="BU1883" t="s">
        <v>2525</v>
      </c>
      <c r="BV1883" t="s">
        <v>86</v>
      </c>
      <c r="BY1883">
        <v>1200</v>
      </c>
      <c r="CA1883" t="s">
        <v>2471</v>
      </c>
      <c r="CC1883" t="s">
        <v>326</v>
      </c>
      <c r="CD1883">
        <v>2091</v>
      </c>
      <c r="CE1883" t="s">
        <v>109</v>
      </c>
      <c r="CF1883" s="3">
        <v>45883</v>
      </c>
      <c r="CI1883">
        <v>1</v>
      </c>
      <c r="CJ1883">
        <v>1</v>
      </c>
      <c r="CK1883">
        <v>22</v>
      </c>
      <c r="CL1883" t="s">
        <v>90</v>
      </c>
    </row>
    <row r="1884" spans="1:90" x14ac:dyDescent="0.3">
      <c r="A1884" t="s">
        <v>72</v>
      </c>
      <c r="B1884" t="s">
        <v>73</v>
      </c>
      <c r="C1884" t="s">
        <v>74</v>
      </c>
      <c r="E1884" t="str">
        <f>"080067222335"</f>
        <v>080067222335</v>
      </c>
      <c r="F1884" s="3">
        <v>45882</v>
      </c>
      <c r="G1884">
        <v>202605</v>
      </c>
      <c r="H1884" t="s">
        <v>75</v>
      </c>
      <c r="I1884" t="s">
        <v>76</v>
      </c>
      <c r="J1884" t="s">
        <v>77</v>
      </c>
      <c r="K1884" t="s">
        <v>78</v>
      </c>
      <c r="L1884" t="s">
        <v>75</v>
      </c>
      <c r="M1884" t="s">
        <v>76</v>
      </c>
      <c r="N1884" t="s">
        <v>830</v>
      </c>
      <c r="O1884" t="s">
        <v>113</v>
      </c>
      <c r="P1884" t="str">
        <f>"4170054504                    "</f>
        <v xml:space="preserve">4170054504                    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0</v>
      </c>
      <c r="AI1884">
        <v>0</v>
      </c>
      <c r="AJ1884">
        <v>0</v>
      </c>
      <c r="AK1884">
        <v>0</v>
      </c>
      <c r="AL1884">
        <v>0</v>
      </c>
      <c r="AM1884">
        <v>0</v>
      </c>
      <c r="AN1884">
        <v>0</v>
      </c>
      <c r="AO1884">
        <v>0</v>
      </c>
      <c r="AP1884">
        <v>0</v>
      </c>
      <c r="AQ1884">
        <v>18.04</v>
      </c>
      <c r="AR1884">
        <v>0</v>
      </c>
      <c r="AS1884">
        <v>0</v>
      </c>
      <c r="AT1884">
        <v>0</v>
      </c>
      <c r="AU1884">
        <v>0</v>
      </c>
      <c r="AV1884">
        <v>0</v>
      </c>
      <c r="AW1884">
        <v>0</v>
      </c>
      <c r="AX1884">
        <v>0</v>
      </c>
      <c r="AY1884">
        <v>0</v>
      </c>
      <c r="AZ1884">
        <v>0</v>
      </c>
      <c r="BA1884">
        <v>0</v>
      </c>
      <c r="BB1884">
        <v>0</v>
      </c>
      <c r="BC1884">
        <v>0</v>
      </c>
      <c r="BD1884">
        <v>0</v>
      </c>
      <c r="BE1884">
        <v>0</v>
      </c>
      <c r="BF1884">
        <v>0</v>
      </c>
      <c r="BG1884">
        <v>0</v>
      </c>
      <c r="BH1884">
        <v>1</v>
      </c>
      <c r="BI1884">
        <v>2</v>
      </c>
      <c r="BJ1884">
        <v>4.3</v>
      </c>
      <c r="BK1884">
        <v>5</v>
      </c>
      <c r="BL1884">
        <v>56.01</v>
      </c>
      <c r="BM1884">
        <v>8.4</v>
      </c>
      <c r="BN1884">
        <v>64.41</v>
      </c>
      <c r="BO1884">
        <v>64.41</v>
      </c>
      <c r="BQ1884" t="s">
        <v>831</v>
      </c>
      <c r="BR1884" t="s">
        <v>84</v>
      </c>
      <c r="BS1884" s="3">
        <v>45883</v>
      </c>
      <c r="BT1884" s="4">
        <v>0.62361111111111112</v>
      </c>
      <c r="BU1884" t="s">
        <v>2504</v>
      </c>
      <c r="BV1884" t="s">
        <v>86</v>
      </c>
      <c r="BY1884">
        <v>21489</v>
      </c>
      <c r="CA1884" t="s">
        <v>2446</v>
      </c>
      <c r="CC1884" t="s">
        <v>76</v>
      </c>
      <c r="CD1884">
        <v>1601</v>
      </c>
      <c r="CE1884" t="s">
        <v>147</v>
      </c>
      <c r="CF1884" s="3">
        <v>45883</v>
      </c>
      <c r="CI1884">
        <v>1</v>
      </c>
      <c r="CJ1884">
        <v>1</v>
      </c>
      <c r="CK1884">
        <v>32</v>
      </c>
      <c r="CL1884" t="s">
        <v>90</v>
      </c>
    </row>
    <row r="1885" spans="1:90" x14ac:dyDescent="0.3">
      <c r="A1885" t="s">
        <v>72</v>
      </c>
      <c r="B1885" t="s">
        <v>73</v>
      </c>
      <c r="C1885" t="s">
        <v>74</v>
      </c>
      <c r="E1885" t="str">
        <f>"080067222365"</f>
        <v>080067222365</v>
      </c>
      <c r="F1885" s="3">
        <v>45882</v>
      </c>
      <c r="G1885">
        <v>202605</v>
      </c>
      <c r="H1885" t="s">
        <v>75</v>
      </c>
      <c r="I1885" t="s">
        <v>76</v>
      </c>
      <c r="J1885" t="s">
        <v>77</v>
      </c>
      <c r="K1885" t="s">
        <v>78</v>
      </c>
      <c r="L1885" t="s">
        <v>198</v>
      </c>
      <c r="M1885" t="s">
        <v>199</v>
      </c>
      <c r="N1885" t="s">
        <v>680</v>
      </c>
      <c r="O1885" t="s">
        <v>82</v>
      </c>
      <c r="P1885" t="str">
        <f>"4170054741                    "</f>
        <v xml:space="preserve">4170054741                    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>
        <v>0</v>
      </c>
      <c r="AJ1885">
        <v>0</v>
      </c>
      <c r="AK1885">
        <v>0</v>
      </c>
      <c r="AL1885">
        <v>0</v>
      </c>
      <c r="AM1885">
        <v>0</v>
      </c>
      <c r="AN1885">
        <v>0</v>
      </c>
      <c r="AO1885">
        <v>0</v>
      </c>
      <c r="AP1885">
        <v>0</v>
      </c>
      <c r="AQ1885">
        <v>23.09</v>
      </c>
      <c r="AR1885">
        <v>0</v>
      </c>
      <c r="AS1885">
        <v>0</v>
      </c>
      <c r="AT1885">
        <v>0</v>
      </c>
      <c r="AU1885">
        <v>0</v>
      </c>
      <c r="AV1885">
        <v>0</v>
      </c>
      <c r="AW1885">
        <v>0</v>
      </c>
      <c r="AX1885">
        <v>0</v>
      </c>
      <c r="AY1885">
        <v>0</v>
      </c>
      <c r="AZ1885">
        <v>0</v>
      </c>
      <c r="BA1885">
        <v>0</v>
      </c>
      <c r="BB1885">
        <v>0</v>
      </c>
      <c r="BC1885">
        <v>0</v>
      </c>
      <c r="BD1885">
        <v>0</v>
      </c>
      <c r="BE1885">
        <v>0</v>
      </c>
      <c r="BF1885">
        <v>0</v>
      </c>
      <c r="BG1885">
        <v>0</v>
      </c>
      <c r="BH1885">
        <v>1</v>
      </c>
      <c r="BI1885">
        <v>1</v>
      </c>
      <c r="BJ1885">
        <v>0.2</v>
      </c>
      <c r="BK1885">
        <v>1</v>
      </c>
      <c r="BL1885">
        <v>71.69</v>
      </c>
      <c r="BM1885">
        <v>10.75</v>
      </c>
      <c r="BN1885">
        <v>82.44</v>
      </c>
      <c r="BO1885">
        <v>82.44</v>
      </c>
      <c r="BQ1885" t="s">
        <v>681</v>
      </c>
      <c r="BR1885" t="s">
        <v>84</v>
      </c>
      <c r="BS1885" s="3">
        <v>45883</v>
      </c>
      <c r="BT1885" s="4">
        <v>0.36736111111111114</v>
      </c>
      <c r="BU1885" t="s">
        <v>682</v>
      </c>
      <c r="BV1885" t="s">
        <v>86</v>
      </c>
      <c r="BY1885">
        <v>1200</v>
      </c>
      <c r="CA1885" t="s">
        <v>413</v>
      </c>
      <c r="CC1885" t="s">
        <v>199</v>
      </c>
      <c r="CD1885">
        <v>6001</v>
      </c>
      <c r="CE1885" t="s">
        <v>109</v>
      </c>
      <c r="CF1885" s="3">
        <v>45883</v>
      </c>
      <c r="CI1885">
        <v>1</v>
      </c>
      <c r="CJ1885">
        <v>1</v>
      </c>
      <c r="CK1885">
        <v>21</v>
      </c>
      <c r="CL1885" t="s">
        <v>90</v>
      </c>
    </row>
    <row r="1886" spans="1:90" x14ac:dyDescent="0.3">
      <c r="A1886" t="s">
        <v>72</v>
      </c>
      <c r="B1886" t="s">
        <v>73</v>
      </c>
      <c r="C1886" t="s">
        <v>74</v>
      </c>
      <c r="E1886" t="str">
        <f>"080067222381"</f>
        <v>080067222381</v>
      </c>
      <c r="F1886" s="3">
        <v>45882</v>
      </c>
      <c r="G1886">
        <v>202605</v>
      </c>
      <c r="H1886" t="s">
        <v>75</v>
      </c>
      <c r="I1886" t="s">
        <v>76</v>
      </c>
      <c r="J1886" t="s">
        <v>77</v>
      </c>
      <c r="K1886" t="s">
        <v>78</v>
      </c>
      <c r="L1886" t="s">
        <v>198</v>
      </c>
      <c r="M1886" t="s">
        <v>199</v>
      </c>
      <c r="N1886" t="s">
        <v>680</v>
      </c>
      <c r="O1886" t="s">
        <v>82</v>
      </c>
      <c r="P1886" t="str">
        <f>"4170054742                    "</f>
        <v xml:space="preserve">4170054742                    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0</v>
      </c>
      <c r="AI1886">
        <v>0</v>
      </c>
      <c r="AJ1886">
        <v>0</v>
      </c>
      <c r="AK1886">
        <v>0</v>
      </c>
      <c r="AL1886">
        <v>0</v>
      </c>
      <c r="AM1886">
        <v>0</v>
      </c>
      <c r="AN1886">
        <v>0</v>
      </c>
      <c r="AO1886">
        <v>0</v>
      </c>
      <c r="AP1886">
        <v>0</v>
      </c>
      <c r="AQ1886">
        <v>23.09</v>
      </c>
      <c r="AR1886">
        <v>0</v>
      </c>
      <c r="AS1886">
        <v>0</v>
      </c>
      <c r="AT1886">
        <v>0</v>
      </c>
      <c r="AU1886">
        <v>0</v>
      </c>
      <c r="AV1886">
        <v>0</v>
      </c>
      <c r="AW1886">
        <v>0</v>
      </c>
      <c r="AX1886">
        <v>0</v>
      </c>
      <c r="AY1886">
        <v>0</v>
      </c>
      <c r="AZ1886">
        <v>0</v>
      </c>
      <c r="BA1886">
        <v>0</v>
      </c>
      <c r="BB1886">
        <v>0</v>
      </c>
      <c r="BC1886">
        <v>0</v>
      </c>
      <c r="BD1886">
        <v>0</v>
      </c>
      <c r="BE1886">
        <v>0</v>
      </c>
      <c r="BF1886">
        <v>0</v>
      </c>
      <c r="BG1886">
        <v>0</v>
      </c>
      <c r="BH1886">
        <v>1</v>
      </c>
      <c r="BI1886">
        <v>1</v>
      </c>
      <c r="BJ1886">
        <v>0.2</v>
      </c>
      <c r="BK1886">
        <v>1</v>
      </c>
      <c r="BL1886">
        <v>71.69</v>
      </c>
      <c r="BM1886">
        <v>10.75</v>
      </c>
      <c r="BN1886">
        <v>82.44</v>
      </c>
      <c r="BO1886">
        <v>82.44</v>
      </c>
      <c r="BQ1886" t="s">
        <v>681</v>
      </c>
      <c r="BR1886" t="s">
        <v>84</v>
      </c>
      <c r="BS1886" s="3">
        <v>45883</v>
      </c>
      <c r="BT1886" s="4">
        <v>0.36736111111111114</v>
      </c>
      <c r="BU1886" t="s">
        <v>682</v>
      </c>
      <c r="BV1886" t="s">
        <v>86</v>
      </c>
      <c r="BY1886">
        <v>1200</v>
      </c>
      <c r="CA1886" t="s">
        <v>413</v>
      </c>
      <c r="CC1886" t="s">
        <v>199</v>
      </c>
      <c r="CD1886">
        <v>6001</v>
      </c>
      <c r="CE1886" t="s">
        <v>178</v>
      </c>
      <c r="CF1886" s="3">
        <v>45883</v>
      </c>
      <c r="CI1886">
        <v>1</v>
      </c>
      <c r="CJ1886">
        <v>1</v>
      </c>
      <c r="CK1886">
        <v>21</v>
      </c>
      <c r="CL1886" t="s">
        <v>90</v>
      </c>
    </row>
    <row r="1887" spans="1:90" x14ac:dyDescent="0.3">
      <c r="A1887" t="s">
        <v>72</v>
      </c>
      <c r="B1887" t="s">
        <v>73</v>
      </c>
      <c r="C1887" t="s">
        <v>74</v>
      </c>
      <c r="E1887" t="str">
        <f>"080067222380"</f>
        <v>080067222380</v>
      </c>
      <c r="F1887" s="3">
        <v>45882</v>
      </c>
      <c r="G1887">
        <v>202605</v>
      </c>
      <c r="H1887" t="s">
        <v>75</v>
      </c>
      <c r="I1887" t="s">
        <v>76</v>
      </c>
      <c r="J1887" t="s">
        <v>77</v>
      </c>
      <c r="K1887" t="s">
        <v>78</v>
      </c>
      <c r="L1887" t="s">
        <v>400</v>
      </c>
      <c r="M1887" t="s">
        <v>401</v>
      </c>
      <c r="N1887" t="s">
        <v>2368</v>
      </c>
      <c r="O1887" t="s">
        <v>95</v>
      </c>
      <c r="P1887" t="str">
        <f>"4170054723                    "</f>
        <v xml:space="preserve">4170054723                    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0</v>
      </c>
      <c r="AI1887">
        <v>0</v>
      </c>
      <c r="AJ1887">
        <v>0</v>
      </c>
      <c r="AK1887">
        <v>0</v>
      </c>
      <c r="AL1887">
        <v>0</v>
      </c>
      <c r="AM1887">
        <v>0</v>
      </c>
      <c r="AN1887">
        <v>0</v>
      </c>
      <c r="AO1887">
        <v>0</v>
      </c>
      <c r="AP1887">
        <v>0</v>
      </c>
      <c r="AQ1887">
        <v>57.54</v>
      </c>
      <c r="AR1887">
        <v>0</v>
      </c>
      <c r="AS1887">
        <v>0</v>
      </c>
      <c r="AT1887">
        <v>0</v>
      </c>
      <c r="AU1887">
        <v>0</v>
      </c>
      <c r="AV1887">
        <v>0</v>
      </c>
      <c r="AW1887">
        <v>0</v>
      </c>
      <c r="AX1887">
        <v>0</v>
      </c>
      <c r="AY1887">
        <v>0</v>
      </c>
      <c r="AZ1887">
        <v>0</v>
      </c>
      <c r="BA1887">
        <v>0</v>
      </c>
      <c r="BB1887">
        <v>0</v>
      </c>
      <c r="BC1887">
        <v>0</v>
      </c>
      <c r="BD1887">
        <v>0</v>
      </c>
      <c r="BE1887">
        <v>0</v>
      </c>
      <c r="BF1887">
        <v>0</v>
      </c>
      <c r="BG1887">
        <v>0</v>
      </c>
      <c r="BH1887">
        <v>1</v>
      </c>
      <c r="BI1887">
        <v>12</v>
      </c>
      <c r="BJ1887">
        <v>21.2</v>
      </c>
      <c r="BK1887">
        <v>22</v>
      </c>
      <c r="BL1887">
        <v>184.55</v>
      </c>
      <c r="BM1887">
        <v>27.68</v>
      </c>
      <c r="BN1887">
        <v>212.23</v>
      </c>
      <c r="BO1887">
        <v>212.23</v>
      </c>
      <c r="BQ1887" t="s">
        <v>2369</v>
      </c>
      <c r="BR1887" t="s">
        <v>84</v>
      </c>
      <c r="BS1887" s="3">
        <v>45887</v>
      </c>
      <c r="BT1887" s="4">
        <v>0.42152777777777778</v>
      </c>
      <c r="BU1887" t="s">
        <v>2526</v>
      </c>
      <c r="BV1887" t="s">
        <v>86</v>
      </c>
      <c r="BY1887">
        <v>105840</v>
      </c>
      <c r="CA1887" t="s">
        <v>405</v>
      </c>
      <c r="CC1887" t="s">
        <v>401</v>
      </c>
      <c r="CD1887">
        <v>6229</v>
      </c>
      <c r="CE1887" t="s">
        <v>178</v>
      </c>
      <c r="CF1887" s="3">
        <v>45887</v>
      </c>
      <c r="CI1887">
        <v>3</v>
      </c>
      <c r="CJ1887">
        <v>3</v>
      </c>
      <c r="CK1887">
        <v>41</v>
      </c>
      <c r="CL1887" t="s">
        <v>90</v>
      </c>
    </row>
    <row r="1888" spans="1:90" x14ac:dyDescent="0.3">
      <c r="A1888" t="s">
        <v>72</v>
      </c>
      <c r="B1888" t="s">
        <v>73</v>
      </c>
      <c r="C1888" t="s">
        <v>74</v>
      </c>
      <c r="E1888" t="str">
        <f>"080067222407"</f>
        <v>080067222407</v>
      </c>
      <c r="F1888" s="3">
        <v>45882</v>
      </c>
      <c r="G1888">
        <v>202605</v>
      </c>
      <c r="H1888" t="s">
        <v>75</v>
      </c>
      <c r="I1888" t="s">
        <v>76</v>
      </c>
      <c r="J1888" t="s">
        <v>77</v>
      </c>
      <c r="K1888" t="s">
        <v>78</v>
      </c>
      <c r="L1888" t="s">
        <v>198</v>
      </c>
      <c r="M1888" t="s">
        <v>199</v>
      </c>
      <c r="N1888" t="s">
        <v>680</v>
      </c>
      <c r="O1888" t="s">
        <v>82</v>
      </c>
      <c r="P1888" t="str">
        <f>"4170054743                    "</f>
        <v xml:space="preserve">4170054743                    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0</v>
      </c>
      <c r="AI1888">
        <v>0</v>
      </c>
      <c r="AJ1888">
        <v>0</v>
      </c>
      <c r="AK1888">
        <v>0</v>
      </c>
      <c r="AL1888">
        <v>0</v>
      </c>
      <c r="AM1888">
        <v>0</v>
      </c>
      <c r="AN1888">
        <v>0</v>
      </c>
      <c r="AO1888">
        <v>0</v>
      </c>
      <c r="AP1888">
        <v>0</v>
      </c>
      <c r="AQ1888">
        <v>23.09</v>
      </c>
      <c r="AR1888">
        <v>0</v>
      </c>
      <c r="AS1888">
        <v>0</v>
      </c>
      <c r="AT1888">
        <v>0</v>
      </c>
      <c r="AU1888">
        <v>0</v>
      </c>
      <c r="AV1888">
        <v>0</v>
      </c>
      <c r="AW1888">
        <v>0</v>
      </c>
      <c r="AX1888">
        <v>0</v>
      </c>
      <c r="AY1888">
        <v>0</v>
      </c>
      <c r="AZ1888">
        <v>0</v>
      </c>
      <c r="BA1888">
        <v>0</v>
      </c>
      <c r="BB1888">
        <v>0</v>
      </c>
      <c r="BC1888">
        <v>0</v>
      </c>
      <c r="BD1888">
        <v>0</v>
      </c>
      <c r="BE1888">
        <v>0</v>
      </c>
      <c r="BF1888">
        <v>0</v>
      </c>
      <c r="BG1888">
        <v>0</v>
      </c>
      <c r="BH1888">
        <v>1</v>
      </c>
      <c r="BI1888">
        <v>1</v>
      </c>
      <c r="BJ1888">
        <v>0.2</v>
      </c>
      <c r="BK1888">
        <v>1</v>
      </c>
      <c r="BL1888">
        <v>71.69</v>
      </c>
      <c r="BM1888">
        <v>10.75</v>
      </c>
      <c r="BN1888">
        <v>82.44</v>
      </c>
      <c r="BO1888">
        <v>82.44</v>
      </c>
      <c r="BQ1888" t="s">
        <v>681</v>
      </c>
      <c r="BR1888" t="s">
        <v>84</v>
      </c>
      <c r="BS1888" s="3">
        <v>45883</v>
      </c>
      <c r="BT1888" s="4">
        <v>0.36736111111111114</v>
      </c>
      <c r="BU1888" t="s">
        <v>682</v>
      </c>
      <c r="BV1888" t="s">
        <v>86</v>
      </c>
      <c r="BY1888">
        <v>1200</v>
      </c>
      <c r="CA1888" t="s">
        <v>413</v>
      </c>
      <c r="CC1888" t="s">
        <v>199</v>
      </c>
      <c r="CD1888">
        <v>6001</v>
      </c>
      <c r="CE1888" t="s">
        <v>109</v>
      </c>
      <c r="CF1888" s="3">
        <v>45883</v>
      </c>
      <c r="CI1888">
        <v>1</v>
      </c>
      <c r="CJ1888">
        <v>1</v>
      </c>
      <c r="CK1888">
        <v>21</v>
      </c>
      <c r="CL1888" t="s">
        <v>90</v>
      </c>
    </row>
    <row r="1889" spans="1:90" x14ac:dyDescent="0.3">
      <c r="A1889" t="s">
        <v>72</v>
      </c>
      <c r="B1889" t="s">
        <v>73</v>
      </c>
      <c r="C1889" t="s">
        <v>74</v>
      </c>
      <c r="E1889" t="str">
        <f>"080067222409"</f>
        <v>080067222409</v>
      </c>
      <c r="F1889" s="3">
        <v>45882</v>
      </c>
      <c r="G1889">
        <v>202605</v>
      </c>
      <c r="H1889" t="s">
        <v>75</v>
      </c>
      <c r="I1889" t="s">
        <v>76</v>
      </c>
      <c r="J1889" t="s">
        <v>77</v>
      </c>
      <c r="K1889" t="s">
        <v>78</v>
      </c>
      <c r="L1889" t="s">
        <v>400</v>
      </c>
      <c r="M1889" t="s">
        <v>401</v>
      </c>
      <c r="N1889" t="s">
        <v>788</v>
      </c>
      <c r="O1889" t="s">
        <v>82</v>
      </c>
      <c r="P1889" t="str">
        <f>"4170054713                    "</f>
        <v xml:space="preserve">4170054713                    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0</v>
      </c>
      <c r="AI1889">
        <v>0</v>
      </c>
      <c r="AJ1889">
        <v>0</v>
      </c>
      <c r="AK1889">
        <v>0</v>
      </c>
      <c r="AL1889">
        <v>0</v>
      </c>
      <c r="AM1889">
        <v>0</v>
      </c>
      <c r="AN1889">
        <v>0</v>
      </c>
      <c r="AO1889">
        <v>0</v>
      </c>
      <c r="AP1889">
        <v>0</v>
      </c>
      <c r="AQ1889">
        <v>40.380000000000003</v>
      </c>
      <c r="AR1889">
        <v>0</v>
      </c>
      <c r="AS1889">
        <v>0</v>
      </c>
      <c r="AT1889">
        <v>0</v>
      </c>
      <c r="AU1889">
        <v>0</v>
      </c>
      <c r="AV1889">
        <v>0</v>
      </c>
      <c r="AW1889">
        <v>0</v>
      </c>
      <c r="AX1889">
        <v>0</v>
      </c>
      <c r="AY1889">
        <v>0</v>
      </c>
      <c r="AZ1889">
        <v>0</v>
      </c>
      <c r="BA1889">
        <v>0</v>
      </c>
      <c r="BB1889">
        <v>0</v>
      </c>
      <c r="BC1889">
        <v>0</v>
      </c>
      <c r="BD1889">
        <v>0</v>
      </c>
      <c r="BE1889">
        <v>0</v>
      </c>
      <c r="BF1889">
        <v>0</v>
      </c>
      <c r="BG1889">
        <v>0</v>
      </c>
      <c r="BH1889">
        <v>1</v>
      </c>
      <c r="BI1889">
        <v>1</v>
      </c>
      <c r="BJ1889">
        <v>3.1</v>
      </c>
      <c r="BK1889">
        <v>3.5</v>
      </c>
      <c r="BL1889">
        <v>125.4</v>
      </c>
      <c r="BM1889">
        <v>18.809999999999999</v>
      </c>
      <c r="BN1889">
        <v>144.21</v>
      </c>
      <c r="BO1889">
        <v>144.21</v>
      </c>
      <c r="BQ1889" t="s">
        <v>789</v>
      </c>
      <c r="BR1889" t="s">
        <v>84</v>
      </c>
      <c r="BS1889" s="3">
        <v>45883</v>
      </c>
      <c r="BT1889" s="4">
        <v>0.51944444444444449</v>
      </c>
      <c r="BU1889" t="s">
        <v>2527</v>
      </c>
      <c r="BV1889" t="s">
        <v>90</v>
      </c>
      <c r="BY1889">
        <v>15360</v>
      </c>
      <c r="CC1889" t="s">
        <v>401</v>
      </c>
      <c r="CD1889">
        <v>6230</v>
      </c>
      <c r="CE1889" t="s">
        <v>147</v>
      </c>
      <c r="CF1889" s="3">
        <v>45883</v>
      </c>
      <c r="CI1889">
        <v>1</v>
      </c>
      <c r="CJ1889">
        <v>1</v>
      </c>
      <c r="CK1889">
        <v>21</v>
      </c>
      <c r="CL1889" t="s">
        <v>90</v>
      </c>
    </row>
    <row r="1890" spans="1:90" x14ac:dyDescent="0.3">
      <c r="A1890" t="s">
        <v>72</v>
      </c>
      <c r="B1890" t="s">
        <v>73</v>
      </c>
      <c r="C1890" t="s">
        <v>74</v>
      </c>
      <c r="E1890" t="str">
        <f>"080067222436"</f>
        <v>080067222436</v>
      </c>
      <c r="F1890" s="3">
        <v>45882</v>
      </c>
      <c r="G1890">
        <v>202605</v>
      </c>
      <c r="H1890" t="s">
        <v>75</v>
      </c>
      <c r="I1890" t="s">
        <v>76</v>
      </c>
      <c r="J1890" t="s">
        <v>77</v>
      </c>
      <c r="K1890" t="s">
        <v>78</v>
      </c>
      <c r="L1890" t="s">
        <v>303</v>
      </c>
      <c r="M1890" t="s">
        <v>304</v>
      </c>
      <c r="N1890" t="s">
        <v>840</v>
      </c>
      <c r="O1890" t="s">
        <v>82</v>
      </c>
      <c r="P1890" t="str">
        <f>"4170054680                    "</f>
        <v xml:space="preserve">4170054680                    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0</v>
      </c>
      <c r="AL1890">
        <v>0</v>
      </c>
      <c r="AM1890">
        <v>0</v>
      </c>
      <c r="AN1890">
        <v>0</v>
      </c>
      <c r="AO1890">
        <v>0</v>
      </c>
      <c r="AP1890">
        <v>0</v>
      </c>
      <c r="AQ1890">
        <v>44.73</v>
      </c>
      <c r="AR1890">
        <v>0</v>
      </c>
      <c r="AS1890">
        <v>0</v>
      </c>
      <c r="AT1890">
        <v>0</v>
      </c>
      <c r="AU1890">
        <v>0</v>
      </c>
      <c r="AV1890">
        <v>0</v>
      </c>
      <c r="AW1890">
        <v>0</v>
      </c>
      <c r="AX1890">
        <v>0</v>
      </c>
      <c r="AY1890">
        <v>0</v>
      </c>
      <c r="AZ1890">
        <v>0</v>
      </c>
      <c r="BA1890">
        <v>0</v>
      </c>
      <c r="BB1890">
        <v>0</v>
      </c>
      <c r="BC1890">
        <v>0</v>
      </c>
      <c r="BD1890">
        <v>0</v>
      </c>
      <c r="BE1890">
        <v>0</v>
      </c>
      <c r="BF1890">
        <v>0</v>
      </c>
      <c r="BG1890">
        <v>0</v>
      </c>
      <c r="BH1890">
        <v>1</v>
      </c>
      <c r="BI1890">
        <v>1</v>
      </c>
      <c r="BJ1890">
        <v>0.2</v>
      </c>
      <c r="BK1890">
        <v>1</v>
      </c>
      <c r="BL1890">
        <v>138.88999999999999</v>
      </c>
      <c r="BM1890">
        <v>20.83</v>
      </c>
      <c r="BN1890">
        <v>159.72</v>
      </c>
      <c r="BO1890">
        <v>159.72</v>
      </c>
      <c r="BQ1890" t="s">
        <v>841</v>
      </c>
      <c r="BR1890" t="s">
        <v>84</v>
      </c>
      <c r="BS1890" s="3">
        <v>45883</v>
      </c>
      <c r="BT1890" s="4">
        <v>0.46597222222222223</v>
      </c>
      <c r="BU1890" t="s">
        <v>1491</v>
      </c>
      <c r="BV1890" t="s">
        <v>86</v>
      </c>
      <c r="BY1890">
        <v>1200</v>
      </c>
      <c r="CA1890" t="s">
        <v>308</v>
      </c>
      <c r="CC1890" t="s">
        <v>304</v>
      </c>
      <c r="CD1890">
        <v>7130</v>
      </c>
      <c r="CE1890" t="s">
        <v>109</v>
      </c>
      <c r="CF1890" s="3">
        <v>45884</v>
      </c>
      <c r="CI1890">
        <v>1</v>
      </c>
      <c r="CJ1890">
        <v>1</v>
      </c>
      <c r="CK1890">
        <v>23</v>
      </c>
      <c r="CL1890" t="s">
        <v>90</v>
      </c>
    </row>
    <row r="1891" spans="1:90" x14ac:dyDescent="0.3">
      <c r="A1891" t="s">
        <v>72</v>
      </c>
      <c r="B1891" t="s">
        <v>73</v>
      </c>
      <c r="C1891" t="s">
        <v>74</v>
      </c>
      <c r="E1891" t="str">
        <f>"080067222441"</f>
        <v>080067222441</v>
      </c>
      <c r="F1891" s="3">
        <v>45882</v>
      </c>
      <c r="G1891">
        <v>202605</v>
      </c>
      <c r="H1891" t="s">
        <v>75</v>
      </c>
      <c r="I1891" t="s">
        <v>76</v>
      </c>
      <c r="J1891" t="s">
        <v>77</v>
      </c>
      <c r="K1891" t="s">
        <v>78</v>
      </c>
      <c r="L1891" t="s">
        <v>207</v>
      </c>
      <c r="M1891" t="s">
        <v>208</v>
      </c>
      <c r="N1891" t="s">
        <v>209</v>
      </c>
      <c r="O1891" t="s">
        <v>82</v>
      </c>
      <c r="P1891" t="str">
        <f>"4170054712                    "</f>
        <v xml:space="preserve">4170054712                    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0</v>
      </c>
      <c r="AM1891">
        <v>0</v>
      </c>
      <c r="AN1891">
        <v>0</v>
      </c>
      <c r="AO1891">
        <v>0</v>
      </c>
      <c r="AP1891">
        <v>0</v>
      </c>
      <c r="AQ1891">
        <v>75.02</v>
      </c>
      <c r="AR1891">
        <v>0</v>
      </c>
      <c r="AS1891">
        <v>0</v>
      </c>
      <c r="AT1891">
        <v>0</v>
      </c>
      <c r="AU1891">
        <v>0</v>
      </c>
      <c r="AV1891">
        <v>0</v>
      </c>
      <c r="AW1891">
        <v>0</v>
      </c>
      <c r="AX1891">
        <v>0</v>
      </c>
      <c r="AY1891">
        <v>0</v>
      </c>
      <c r="AZ1891">
        <v>0</v>
      </c>
      <c r="BA1891">
        <v>0</v>
      </c>
      <c r="BB1891">
        <v>0</v>
      </c>
      <c r="BC1891">
        <v>0</v>
      </c>
      <c r="BD1891">
        <v>0</v>
      </c>
      <c r="BE1891">
        <v>0</v>
      </c>
      <c r="BF1891">
        <v>0</v>
      </c>
      <c r="BG1891">
        <v>0</v>
      </c>
      <c r="BH1891">
        <v>1</v>
      </c>
      <c r="BI1891">
        <v>1</v>
      </c>
      <c r="BJ1891">
        <v>3.1</v>
      </c>
      <c r="BK1891">
        <v>3.5</v>
      </c>
      <c r="BL1891">
        <v>232.96</v>
      </c>
      <c r="BM1891">
        <v>34.94</v>
      </c>
      <c r="BN1891">
        <v>267.89999999999998</v>
      </c>
      <c r="BO1891">
        <v>267.89999999999998</v>
      </c>
      <c r="BQ1891" t="s">
        <v>210</v>
      </c>
      <c r="BR1891" t="s">
        <v>84</v>
      </c>
      <c r="BS1891" s="3">
        <v>45883</v>
      </c>
      <c r="BT1891" s="4">
        <v>0.53333333333333333</v>
      </c>
      <c r="BU1891" t="s">
        <v>2387</v>
      </c>
      <c r="BV1891" t="s">
        <v>86</v>
      </c>
      <c r="BY1891">
        <v>15360</v>
      </c>
      <c r="CA1891" t="s">
        <v>2388</v>
      </c>
      <c r="CC1891" t="s">
        <v>208</v>
      </c>
      <c r="CD1891">
        <v>7300</v>
      </c>
      <c r="CE1891" t="s">
        <v>147</v>
      </c>
      <c r="CF1891" s="3">
        <v>45884</v>
      </c>
      <c r="CI1891">
        <v>1</v>
      </c>
      <c r="CJ1891">
        <v>1</v>
      </c>
      <c r="CK1891">
        <v>23</v>
      </c>
      <c r="CL1891" t="s">
        <v>90</v>
      </c>
    </row>
    <row r="1892" spans="1:90" x14ac:dyDescent="0.3">
      <c r="A1892" t="s">
        <v>72</v>
      </c>
      <c r="B1892" t="s">
        <v>73</v>
      </c>
      <c r="C1892" t="s">
        <v>74</v>
      </c>
      <c r="E1892" t="str">
        <f>"080067222465"</f>
        <v>080067222465</v>
      </c>
      <c r="F1892" s="3">
        <v>45882</v>
      </c>
      <c r="G1892">
        <v>202605</v>
      </c>
      <c r="H1892" t="s">
        <v>75</v>
      </c>
      <c r="I1892" t="s">
        <v>76</v>
      </c>
      <c r="J1892" t="s">
        <v>77</v>
      </c>
      <c r="K1892" t="s">
        <v>78</v>
      </c>
      <c r="L1892" t="s">
        <v>223</v>
      </c>
      <c r="M1892" t="s">
        <v>224</v>
      </c>
      <c r="N1892" t="s">
        <v>225</v>
      </c>
      <c r="O1892" t="s">
        <v>82</v>
      </c>
      <c r="P1892" t="str">
        <f>"4170054711                    "</f>
        <v xml:space="preserve">4170054711                    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0</v>
      </c>
      <c r="AI1892">
        <v>0</v>
      </c>
      <c r="AJ1892">
        <v>0</v>
      </c>
      <c r="AK1892">
        <v>0</v>
      </c>
      <c r="AL1892">
        <v>0</v>
      </c>
      <c r="AM1892">
        <v>0</v>
      </c>
      <c r="AN1892">
        <v>0</v>
      </c>
      <c r="AO1892">
        <v>0</v>
      </c>
      <c r="AP1892">
        <v>0</v>
      </c>
      <c r="AQ1892">
        <v>40.380000000000003</v>
      </c>
      <c r="AR1892">
        <v>0</v>
      </c>
      <c r="AS1892">
        <v>0</v>
      </c>
      <c r="AT1892">
        <v>0</v>
      </c>
      <c r="AU1892">
        <v>0</v>
      </c>
      <c r="AV1892">
        <v>0</v>
      </c>
      <c r="AW1892">
        <v>0</v>
      </c>
      <c r="AX1892">
        <v>0</v>
      </c>
      <c r="AY1892">
        <v>0</v>
      </c>
      <c r="AZ1892">
        <v>0</v>
      </c>
      <c r="BA1892">
        <v>0</v>
      </c>
      <c r="BB1892">
        <v>0</v>
      </c>
      <c r="BC1892">
        <v>0</v>
      </c>
      <c r="BD1892">
        <v>0</v>
      </c>
      <c r="BE1892">
        <v>0</v>
      </c>
      <c r="BF1892">
        <v>0</v>
      </c>
      <c r="BG1892">
        <v>0</v>
      </c>
      <c r="BH1892">
        <v>1</v>
      </c>
      <c r="BI1892">
        <v>1</v>
      </c>
      <c r="BJ1892">
        <v>3.1</v>
      </c>
      <c r="BK1892">
        <v>3.5</v>
      </c>
      <c r="BL1892">
        <v>125.4</v>
      </c>
      <c r="BM1892">
        <v>18.809999999999999</v>
      </c>
      <c r="BN1892">
        <v>144.21</v>
      </c>
      <c r="BO1892">
        <v>144.21</v>
      </c>
      <c r="BQ1892" t="s">
        <v>226</v>
      </c>
      <c r="BR1892" t="s">
        <v>84</v>
      </c>
      <c r="BS1892" s="3">
        <v>45883</v>
      </c>
      <c r="BT1892" s="4">
        <v>0.46388888888888891</v>
      </c>
      <c r="BU1892" t="s">
        <v>2440</v>
      </c>
      <c r="BV1892" t="s">
        <v>90</v>
      </c>
      <c r="BY1892">
        <v>15360</v>
      </c>
      <c r="CA1892" t="s">
        <v>228</v>
      </c>
      <c r="CC1892" t="s">
        <v>224</v>
      </c>
      <c r="CD1892">
        <v>5201</v>
      </c>
      <c r="CE1892" t="s">
        <v>147</v>
      </c>
      <c r="CF1892" s="3">
        <v>45884</v>
      </c>
      <c r="CI1892">
        <v>1</v>
      </c>
      <c r="CJ1892">
        <v>1</v>
      </c>
      <c r="CK1892">
        <v>21</v>
      </c>
      <c r="CL1892" t="s">
        <v>90</v>
      </c>
    </row>
    <row r="1893" spans="1:90" x14ac:dyDescent="0.3">
      <c r="A1893" t="s">
        <v>72</v>
      </c>
      <c r="B1893" t="s">
        <v>73</v>
      </c>
      <c r="C1893" t="s">
        <v>74</v>
      </c>
      <c r="E1893" t="str">
        <f>"080067222464"</f>
        <v>080067222464</v>
      </c>
      <c r="F1893" s="3">
        <v>45882</v>
      </c>
      <c r="G1893">
        <v>202605</v>
      </c>
      <c r="H1893" t="s">
        <v>75</v>
      </c>
      <c r="I1893" t="s">
        <v>76</v>
      </c>
      <c r="J1893" t="s">
        <v>77</v>
      </c>
      <c r="K1893" t="s">
        <v>78</v>
      </c>
      <c r="L1893" t="s">
        <v>137</v>
      </c>
      <c r="M1893" t="s">
        <v>138</v>
      </c>
      <c r="N1893" t="s">
        <v>505</v>
      </c>
      <c r="O1893" t="s">
        <v>82</v>
      </c>
      <c r="P1893" t="str">
        <f>"4170054672                    "</f>
        <v xml:space="preserve">4170054672                    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0</v>
      </c>
      <c r="AI1893">
        <v>0</v>
      </c>
      <c r="AJ1893">
        <v>0</v>
      </c>
      <c r="AK1893">
        <v>0</v>
      </c>
      <c r="AL1893">
        <v>0</v>
      </c>
      <c r="AM1893">
        <v>0</v>
      </c>
      <c r="AN1893">
        <v>0</v>
      </c>
      <c r="AO1893">
        <v>0</v>
      </c>
      <c r="AP1893">
        <v>0</v>
      </c>
      <c r="AQ1893">
        <v>23.09</v>
      </c>
      <c r="AR1893">
        <v>0</v>
      </c>
      <c r="AS1893">
        <v>0</v>
      </c>
      <c r="AT1893">
        <v>0</v>
      </c>
      <c r="AU1893">
        <v>0</v>
      </c>
      <c r="AV1893">
        <v>0</v>
      </c>
      <c r="AW1893">
        <v>0</v>
      </c>
      <c r="AX1893">
        <v>0</v>
      </c>
      <c r="AY1893">
        <v>0</v>
      </c>
      <c r="AZ1893">
        <v>0</v>
      </c>
      <c r="BA1893">
        <v>0</v>
      </c>
      <c r="BB1893">
        <v>0</v>
      </c>
      <c r="BC1893">
        <v>0</v>
      </c>
      <c r="BD1893">
        <v>0</v>
      </c>
      <c r="BE1893">
        <v>0</v>
      </c>
      <c r="BF1893">
        <v>0</v>
      </c>
      <c r="BG1893">
        <v>0</v>
      </c>
      <c r="BH1893">
        <v>1</v>
      </c>
      <c r="BI1893">
        <v>1</v>
      </c>
      <c r="BJ1893">
        <v>0.2</v>
      </c>
      <c r="BK1893">
        <v>1</v>
      </c>
      <c r="BL1893">
        <v>71.69</v>
      </c>
      <c r="BM1893">
        <v>10.75</v>
      </c>
      <c r="BN1893">
        <v>82.44</v>
      </c>
      <c r="BO1893">
        <v>82.44</v>
      </c>
      <c r="BQ1893" t="s">
        <v>506</v>
      </c>
      <c r="BR1893" t="s">
        <v>84</v>
      </c>
      <c r="BS1893" s="3">
        <v>45883</v>
      </c>
      <c r="BT1893" s="4">
        <v>0.35625000000000001</v>
      </c>
      <c r="BU1893" t="s">
        <v>2528</v>
      </c>
      <c r="BV1893" t="s">
        <v>86</v>
      </c>
      <c r="BY1893">
        <v>1200</v>
      </c>
      <c r="CA1893" t="s">
        <v>2514</v>
      </c>
      <c r="CC1893" t="s">
        <v>138</v>
      </c>
      <c r="CD1893">
        <v>3600</v>
      </c>
      <c r="CE1893" t="s">
        <v>109</v>
      </c>
      <c r="CF1893" s="3">
        <v>45883</v>
      </c>
      <c r="CI1893">
        <v>1</v>
      </c>
      <c r="CJ1893">
        <v>1</v>
      </c>
      <c r="CK1893">
        <v>21</v>
      </c>
      <c r="CL1893" t="s">
        <v>90</v>
      </c>
    </row>
    <row r="1894" spans="1:90" x14ac:dyDescent="0.3">
      <c r="A1894" t="s">
        <v>72</v>
      </c>
      <c r="B1894" t="s">
        <v>73</v>
      </c>
      <c r="C1894" t="s">
        <v>74</v>
      </c>
      <c r="E1894" t="str">
        <f>"080067222517"</f>
        <v>080067222517</v>
      </c>
      <c r="F1894" s="3">
        <v>45882</v>
      </c>
      <c r="G1894">
        <v>202605</v>
      </c>
      <c r="H1894" t="s">
        <v>75</v>
      </c>
      <c r="I1894" t="s">
        <v>76</v>
      </c>
      <c r="J1894" t="s">
        <v>77</v>
      </c>
      <c r="K1894" t="s">
        <v>78</v>
      </c>
      <c r="L1894" t="s">
        <v>123</v>
      </c>
      <c r="M1894" t="s">
        <v>124</v>
      </c>
      <c r="N1894" t="s">
        <v>168</v>
      </c>
      <c r="O1894" t="s">
        <v>82</v>
      </c>
      <c r="P1894" t="str">
        <f>"4170054543                    "</f>
        <v xml:space="preserve">4170054543                    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0</v>
      </c>
      <c r="AO1894">
        <v>0</v>
      </c>
      <c r="AP1894">
        <v>0</v>
      </c>
      <c r="AQ1894">
        <v>57.68</v>
      </c>
      <c r="AR1894">
        <v>0</v>
      </c>
      <c r="AS1894">
        <v>0</v>
      </c>
      <c r="AT1894">
        <v>0</v>
      </c>
      <c r="AU1894">
        <v>0</v>
      </c>
      <c r="AV1894">
        <v>0</v>
      </c>
      <c r="AW1894">
        <v>0</v>
      </c>
      <c r="AX1894">
        <v>0</v>
      </c>
      <c r="AY1894">
        <v>0</v>
      </c>
      <c r="AZ1894">
        <v>0</v>
      </c>
      <c r="BA1894">
        <v>0</v>
      </c>
      <c r="BB1894">
        <v>0</v>
      </c>
      <c r="BC1894">
        <v>0</v>
      </c>
      <c r="BD1894">
        <v>0</v>
      </c>
      <c r="BE1894">
        <v>0</v>
      </c>
      <c r="BF1894">
        <v>0</v>
      </c>
      <c r="BG1894">
        <v>0</v>
      </c>
      <c r="BH1894">
        <v>1</v>
      </c>
      <c r="BI1894">
        <v>5</v>
      </c>
      <c r="BJ1894">
        <v>4.8</v>
      </c>
      <c r="BK1894">
        <v>5</v>
      </c>
      <c r="BL1894">
        <v>179.12</v>
      </c>
      <c r="BM1894">
        <v>26.87</v>
      </c>
      <c r="BN1894">
        <v>205.99</v>
      </c>
      <c r="BO1894">
        <v>205.99</v>
      </c>
      <c r="BQ1894" t="s">
        <v>169</v>
      </c>
      <c r="BR1894" t="s">
        <v>84</v>
      </c>
      <c r="BS1894" s="3">
        <v>45883</v>
      </c>
      <c r="BT1894" s="4">
        <v>0.42708333333333331</v>
      </c>
      <c r="BU1894" t="s">
        <v>2390</v>
      </c>
      <c r="BV1894" t="s">
        <v>86</v>
      </c>
      <c r="BY1894">
        <v>23751</v>
      </c>
      <c r="CA1894" t="s">
        <v>171</v>
      </c>
      <c r="CC1894" t="s">
        <v>124</v>
      </c>
      <c r="CD1894">
        <v>7535</v>
      </c>
      <c r="CE1894" t="s">
        <v>147</v>
      </c>
      <c r="CF1894" s="3">
        <v>45884</v>
      </c>
      <c r="CI1894">
        <v>1</v>
      </c>
      <c r="CJ1894">
        <v>1</v>
      </c>
      <c r="CK1894">
        <v>21</v>
      </c>
      <c r="CL1894" t="s">
        <v>90</v>
      </c>
    </row>
    <row r="1895" spans="1:90" x14ac:dyDescent="0.3">
      <c r="A1895" t="s">
        <v>72</v>
      </c>
      <c r="B1895" t="s">
        <v>73</v>
      </c>
      <c r="C1895" t="s">
        <v>74</v>
      </c>
      <c r="E1895" t="str">
        <f>"080067222537"</f>
        <v>080067222537</v>
      </c>
      <c r="F1895" s="3">
        <v>45882</v>
      </c>
      <c r="G1895">
        <v>202605</v>
      </c>
      <c r="H1895" t="s">
        <v>75</v>
      </c>
      <c r="I1895" t="s">
        <v>76</v>
      </c>
      <c r="J1895" t="s">
        <v>77</v>
      </c>
      <c r="K1895" t="s">
        <v>78</v>
      </c>
      <c r="L1895" t="s">
        <v>123</v>
      </c>
      <c r="M1895" t="s">
        <v>124</v>
      </c>
      <c r="N1895" t="s">
        <v>2529</v>
      </c>
      <c r="O1895" t="s">
        <v>82</v>
      </c>
      <c r="P1895" t="str">
        <f>"4170054513                    "</f>
        <v xml:space="preserve">4170054513                    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>
        <v>0</v>
      </c>
      <c r="AJ1895">
        <v>0</v>
      </c>
      <c r="AK1895">
        <v>0</v>
      </c>
      <c r="AL1895">
        <v>0</v>
      </c>
      <c r="AM1895">
        <v>0</v>
      </c>
      <c r="AN1895">
        <v>0</v>
      </c>
      <c r="AO1895">
        <v>0</v>
      </c>
      <c r="AP1895">
        <v>0</v>
      </c>
      <c r="AQ1895">
        <v>23.09</v>
      </c>
      <c r="AR1895">
        <v>0</v>
      </c>
      <c r="AS1895">
        <v>0</v>
      </c>
      <c r="AT1895">
        <v>0</v>
      </c>
      <c r="AU1895">
        <v>0</v>
      </c>
      <c r="AV1895">
        <v>0</v>
      </c>
      <c r="AW1895">
        <v>0</v>
      </c>
      <c r="AX1895">
        <v>0</v>
      </c>
      <c r="AY1895">
        <v>0</v>
      </c>
      <c r="AZ1895">
        <v>0</v>
      </c>
      <c r="BA1895">
        <v>0</v>
      </c>
      <c r="BB1895">
        <v>0</v>
      </c>
      <c r="BC1895">
        <v>0</v>
      </c>
      <c r="BD1895">
        <v>0</v>
      </c>
      <c r="BE1895">
        <v>0</v>
      </c>
      <c r="BF1895">
        <v>0</v>
      </c>
      <c r="BG1895">
        <v>0</v>
      </c>
      <c r="BH1895">
        <v>1</v>
      </c>
      <c r="BI1895">
        <v>1</v>
      </c>
      <c r="BJ1895">
        <v>0.2</v>
      </c>
      <c r="BK1895">
        <v>1</v>
      </c>
      <c r="BL1895">
        <v>71.69</v>
      </c>
      <c r="BM1895">
        <v>10.75</v>
      </c>
      <c r="BN1895">
        <v>82.44</v>
      </c>
      <c r="BO1895">
        <v>82.44</v>
      </c>
      <c r="BQ1895" t="s">
        <v>2530</v>
      </c>
      <c r="BR1895" t="s">
        <v>84</v>
      </c>
      <c r="BS1895" s="3">
        <v>45887</v>
      </c>
      <c r="BT1895" s="4">
        <v>0.6479166666666667</v>
      </c>
      <c r="BU1895" t="s">
        <v>176</v>
      </c>
      <c r="BV1895" t="s">
        <v>90</v>
      </c>
      <c r="BY1895">
        <v>1200</v>
      </c>
      <c r="CA1895" t="s">
        <v>177</v>
      </c>
      <c r="CC1895" t="s">
        <v>124</v>
      </c>
      <c r="CD1895">
        <v>7439</v>
      </c>
      <c r="CE1895" t="s">
        <v>109</v>
      </c>
      <c r="CI1895">
        <v>1</v>
      </c>
      <c r="CJ1895">
        <v>3</v>
      </c>
      <c r="CK1895">
        <v>21</v>
      </c>
      <c r="CL1895" t="s">
        <v>90</v>
      </c>
    </row>
    <row r="1896" spans="1:90" x14ac:dyDescent="0.3">
      <c r="A1896" t="s">
        <v>72</v>
      </c>
      <c r="B1896" t="s">
        <v>73</v>
      </c>
      <c r="C1896" t="s">
        <v>74</v>
      </c>
      <c r="E1896" t="str">
        <f>"080067222543"</f>
        <v>080067222543</v>
      </c>
      <c r="F1896" s="3">
        <v>45882</v>
      </c>
      <c r="G1896">
        <v>202605</v>
      </c>
      <c r="H1896" t="s">
        <v>75</v>
      </c>
      <c r="I1896" t="s">
        <v>76</v>
      </c>
      <c r="J1896" t="s">
        <v>77</v>
      </c>
      <c r="K1896" t="s">
        <v>78</v>
      </c>
      <c r="L1896" t="s">
        <v>123</v>
      </c>
      <c r="M1896" t="s">
        <v>124</v>
      </c>
      <c r="N1896" t="s">
        <v>125</v>
      </c>
      <c r="O1896" t="s">
        <v>82</v>
      </c>
      <c r="P1896" t="str">
        <f>"4170054537                    "</f>
        <v xml:space="preserve">4170054537                    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0</v>
      </c>
      <c r="AO1896">
        <v>0</v>
      </c>
      <c r="AP1896">
        <v>0</v>
      </c>
      <c r="AQ1896">
        <v>40.380000000000003</v>
      </c>
      <c r="AR1896">
        <v>0</v>
      </c>
      <c r="AS1896">
        <v>0</v>
      </c>
      <c r="AT1896">
        <v>0</v>
      </c>
      <c r="AU1896">
        <v>0</v>
      </c>
      <c r="AV1896">
        <v>0</v>
      </c>
      <c r="AW1896">
        <v>0</v>
      </c>
      <c r="AX1896">
        <v>0</v>
      </c>
      <c r="AY1896">
        <v>0</v>
      </c>
      <c r="AZ1896">
        <v>0</v>
      </c>
      <c r="BA1896">
        <v>0</v>
      </c>
      <c r="BB1896">
        <v>0</v>
      </c>
      <c r="BC1896">
        <v>0</v>
      </c>
      <c r="BD1896">
        <v>0</v>
      </c>
      <c r="BE1896">
        <v>0</v>
      </c>
      <c r="BF1896">
        <v>0</v>
      </c>
      <c r="BG1896">
        <v>0</v>
      </c>
      <c r="BH1896">
        <v>1</v>
      </c>
      <c r="BI1896">
        <v>3</v>
      </c>
      <c r="BJ1896">
        <v>3.4</v>
      </c>
      <c r="BK1896">
        <v>3.5</v>
      </c>
      <c r="BL1896">
        <v>125.4</v>
      </c>
      <c r="BM1896">
        <v>18.809999999999999</v>
      </c>
      <c r="BN1896">
        <v>144.21</v>
      </c>
      <c r="BO1896">
        <v>144.21</v>
      </c>
      <c r="BQ1896" t="s">
        <v>126</v>
      </c>
      <c r="BR1896" t="s">
        <v>84</v>
      </c>
      <c r="BS1896" s="3">
        <v>45883</v>
      </c>
      <c r="BT1896" s="4">
        <v>0.33888888888888891</v>
      </c>
      <c r="BU1896" t="s">
        <v>605</v>
      </c>
      <c r="BV1896" t="s">
        <v>86</v>
      </c>
      <c r="BY1896">
        <v>16965</v>
      </c>
      <c r="CA1896" t="s">
        <v>128</v>
      </c>
      <c r="CC1896" t="s">
        <v>124</v>
      </c>
      <c r="CD1896">
        <v>7530</v>
      </c>
      <c r="CE1896" t="s">
        <v>147</v>
      </c>
      <c r="CF1896" s="3">
        <v>45884</v>
      </c>
      <c r="CI1896">
        <v>1</v>
      </c>
      <c r="CJ1896">
        <v>1</v>
      </c>
      <c r="CK1896">
        <v>21</v>
      </c>
      <c r="CL1896" t="s">
        <v>90</v>
      </c>
    </row>
    <row r="1897" spans="1:90" x14ac:dyDescent="0.3">
      <c r="A1897" t="s">
        <v>72</v>
      </c>
      <c r="B1897" t="s">
        <v>73</v>
      </c>
      <c r="C1897" t="s">
        <v>74</v>
      </c>
      <c r="E1897" t="str">
        <f>"080067222550"</f>
        <v>080067222550</v>
      </c>
      <c r="F1897" s="3">
        <v>45882</v>
      </c>
      <c r="G1897">
        <v>202605</v>
      </c>
      <c r="H1897" t="s">
        <v>75</v>
      </c>
      <c r="I1897" t="s">
        <v>76</v>
      </c>
      <c r="J1897" t="s">
        <v>77</v>
      </c>
      <c r="K1897" t="s">
        <v>78</v>
      </c>
      <c r="L1897" t="s">
        <v>198</v>
      </c>
      <c r="M1897" t="s">
        <v>199</v>
      </c>
      <c r="N1897" t="s">
        <v>680</v>
      </c>
      <c r="O1897" t="s">
        <v>82</v>
      </c>
      <c r="P1897" t="str">
        <f>"4170054744                    "</f>
        <v xml:space="preserve">4170054744                    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0</v>
      </c>
      <c r="AO1897">
        <v>0</v>
      </c>
      <c r="AP1897">
        <v>0</v>
      </c>
      <c r="AQ1897">
        <v>23.09</v>
      </c>
      <c r="AR1897">
        <v>0</v>
      </c>
      <c r="AS1897">
        <v>0</v>
      </c>
      <c r="AT1897">
        <v>0</v>
      </c>
      <c r="AU1897">
        <v>0</v>
      </c>
      <c r="AV1897">
        <v>0</v>
      </c>
      <c r="AW1897">
        <v>0</v>
      </c>
      <c r="AX1897">
        <v>0</v>
      </c>
      <c r="AY1897">
        <v>0</v>
      </c>
      <c r="AZ1897">
        <v>0</v>
      </c>
      <c r="BA1897">
        <v>0</v>
      </c>
      <c r="BB1897">
        <v>0</v>
      </c>
      <c r="BC1897">
        <v>0</v>
      </c>
      <c r="BD1897">
        <v>0</v>
      </c>
      <c r="BE1897">
        <v>0</v>
      </c>
      <c r="BF1897">
        <v>0</v>
      </c>
      <c r="BG1897">
        <v>0</v>
      </c>
      <c r="BH1897">
        <v>1</v>
      </c>
      <c r="BI1897">
        <v>1</v>
      </c>
      <c r="BJ1897">
        <v>0.2</v>
      </c>
      <c r="BK1897">
        <v>1</v>
      </c>
      <c r="BL1897">
        <v>71.69</v>
      </c>
      <c r="BM1897">
        <v>10.75</v>
      </c>
      <c r="BN1897">
        <v>82.44</v>
      </c>
      <c r="BO1897">
        <v>82.44</v>
      </c>
      <c r="BQ1897" t="s">
        <v>681</v>
      </c>
      <c r="BR1897" t="s">
        <v>84</v>
      </c>
      <c r="BS1897" s="3">
        <v>45883</v>
      </c>
      <c r="BT1897" s="4">
        <v>0.36736111111111114</v>
      </c>
      <c r="BU1897" t="s">
        <v>682</v>
      </c>
      <c r="BV1897" t="s">
        <v>86</v>
      </c>
      <c r="BY1897">
        <v>1200</v>
      </c>
      <c r="CA1897" t="s">
        <v>413</v>
      </c>
      <c r="CC1897" t="s">
        <v>199</v>
      </c>
      <c r="CD1897">
        <v>6001</v>
      </c>
      <c r="CE1897" t="s">
        <v>109</v>
      </c>
      <c r="CF1897" s="3">
        <v>45883</v>
      </c>
      <c r="CI1897">
        <v>1</v>
      </c>
      <c r="CJ1897">
        <v>1</v>
      </c>
      <c r="CK1897">
        <v>21</v>
      </c>
      <c r="CL1897" t="s">
        <v>90</v>
      </c>
    </row>
    <row r="1898" spans="1:90" x14ac:dyDescent="0.3">
      <c r="A1898" t="s">
        <v>72</v>
      </c>
      <c r="B1898" t="s">
        <v>73</v>
      </c>
      <c r="C1898" t="s">
        <v>74</v>
      </c>
      <c r="E1898" t="str">
        <f>"080067222557"</f>
        <v>080067222557</v>
      </c>
      <c r="F1898" s="3">
        <v>45882</v>
      </c>
      <c r="G1898">
        <v>202605</v>
      </c>
      <c r="H1898" t="s">
        <v>75</v>
      </c>
      <c r="I1898" t="s">
        <v>76</v>
      </c>
      <c r="J1898" t="s">
        <v>77</v>
      </c>
      <c r="K1898" t="s">
        <v>78</v>
      </c>
      <c r="L1898" t="s">
        <v>162</v>
      </c>
      <c r="M1898" t="s">
        <v>163</v>
      </c>
      <c r="N1898" t="s">
        <v>246</v>
      </c>
      <c r="O1898" t="s">
        <v>82</v>
      </c>
      <c r="P1898" t="str">
        <f>"4170054716                    "</f>
        <v xml:space="preserve">4170054716                    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0</v>
      </c>
      <c r="AJ1898">
        <v>0</v>
      </c>
      <c r="AK1898">
        <v>0</v>
      </c>
      <c r="AL1898">
        <v>0</v>
      </c>
      <c r="AM1898">
        <v>0</v>
      </c>
      <c r="AN1898">
        <v>0</v>
      </c>
      <c r="AO1898">
        <v>0</v>
      </c>
      <c r="AP1898">
        <v>0</v>
      </c>
      <c r="AQ1898">
        <v>23.09</v>
      </c>
      <c r="AR1898">
        <v>0</v>
      </c>
      <c r="AS1898">
        <v>0</v>
      </c>
      <c r="AT1898">
        <v>0</v>
      </c>
      <c r="AU1898">
        <v>0</v>
      </c>
      <c r="AV1898">
        <v>0</v>
      </c>
      <c r="AW1898">
        <v>0</v>
      </c>
      <c r="AX1898">
        <v>0</v>
      </c>
      <c r="AY1898">
        <v>0</v>
      </c>
      <c r="AZ1898">
        <v>0</v>
      </c>
      <c r="BA1898">
        <v>0</v>
      </c>
      <c r="BB1898">
        <v>0</v>
      </c>
      <c r="BC1898">
        <v>0</v>
      </c>
      <c r="BD1898">
        <v>0</v>
      </c>
      <c r="BE1898">
        <v>0</v>
      </c>
      <c r="BF1898">
        <v>0</v>
      </c>
      <c r="BG1898">
        <v>0</v>
      </c>
      <c r="BH1898">
        <v>1</v>
      </c>
      <c r="BI1898">
        <v>1</v>
      </c>
      <c r="BJ1898">
        <v>1.6</v>
      </c>
      <c r="BK1898">
        <v>2</v>
      </c>
      <c r="BL1898">
        <v>71.69</v>
      </c>
      <c r="BM1898">
        <v>10.75</v>
      </c>
      <c r="BN1898">
        <v>82.44</v>
      </c>
      <c r="BO1898">
        <v>82.44</v>
      </c>
      <c r="BQ1898" t="s">
        <v>247</v>
      </c>
      <c r="BR1898" t="s">
        <v>84</v>
      </c>
      <c r="BS1898" s="3">
        <v>45883</v>
      </c>
      <c r="BT1898" s="4">
        <v>0.41666666666666669</v>
      </c>
      <c r="BU1898" t="s">
        <v>485</v>
      </c>
      <c r="BV1898" t="s">
        <v>86</v>
      </c>
      <c r="BY1898">
        <v>7980</v>
      </c>
      <c r="CC1898" t="s">
        <v>163</v>
      </c>
      <c r="CD1898">
        <v>3201</v>
      </c>
      <c r="CE1898" t="s">
        <v>147</v>
      </c>
      <c r="CF1898" s="3">
        <v>45884</v>
      </c>
      <c r="CI1898">
        <v>1</v>
      </c>
      <c r="CJ1898">
        <v>1</v>
      </c>
      <c r="CK1898">
        <v>21</v>
      </c>
      <c r="CL1898" t="s">
        <v>90</v>
      </c>
    </row>
    <row r="1899" spans="1:90" x14ac:dyDescent="0.3">
      <c r="A1899" t="s">
        <v>72</v>
      </c>
      <c r="B1899" t="s">
        <v>73</v>
      </c>
      <c r="C1899" t="s">
        <v>74</v>
      </c>
      <c r="E1899" t="str">
        <f>"080067222561"</f>
        <v>080067222561</v>
      </c>
      <c r="F1899" s="3">
        <v>45882</v>
      </c>
      <c r="G1899">
        <v>202605</v>
      </c>
      <c r="H1899" t="s">
        <v>75</v>
      </c>
      <c r="I1899" t="s">
        <v>76</v>
      </c>
      <c r="J1899" t="s">
        <v>77</v>
      </c>
      <c r="K1899" t="s">
        <v>78</v>
      </c>
      <c r="L1899" t="s">
        <v>198</v>
      </c>
      <c r="M1899" t="s">
        <v>199</v>
      </c>
      <c r="N1899" t="s">
        <v>680</v>
      </c>
      <c r="O1899" t="s">
        <v>82</v>
      </c>
      <c r="P1899" t="str">
        <f>"4170054745                    "</f>
        <v xml:space="preserve">4170054745                    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0</v>
      </c>
      <c r="AM1899">
        <v>0</v>
      </c>
      <c r="AN1899">
        <v>0</v>
      </c>
      <c r="AO1899">
        <v>0</v>
      </c>
      <c r="AP1899">
        <v>0</v>
      </c>
      <c r="AQ1899">
        <v>23.09</v>
      </c>
      <c r="AR1899">
        <v>0</v>
      </c>
      <c r="AS1899">
        <v>0</v>
      </c>
      <c r="AT1899">
        <v>0</v>
      </c>
      <c r="AU1899">
        <v>0</v>
      </c>
      <c r="AV1899">
        <v>0</v>
      </c>
      <c r="AW1899">
        <v>0</v>
      </c>
      <c r="AX1899">
        <v>0</v>
      </c>
      <c r="AY1899">
        <v>0</v>
      </c>
      <c r="AZ1899">
        <v>0</v>
      </c>
      <c r="BA1899">
        <v>0</v>
      </c>
      <c r="BB1899">
        <v>0</v>
      </c>
      <c r="BC1899">
        <v>0</v>
      </c>
      <c r="BD1899">
        <v>0</v>
      </c>
      <c r="BE1899">
        <v>0</v>
      </c>
      <c r="BF1899">
        <v>0</v>
      </c>
      <c r="BG1899">
        <v>0</v>
      </c>
      <c r="BH1899">
        <v>1</v>
      </c>
      <c r="BI1899">
        <v>1</v>
      </c>
      <c r="BJ1899">
        <v>0.2</v>
      </c>
      <c r="BK1899">
        <v>1</v>
      </c>
      <c r="BL1899">
        <v>71.69</v>
      </c>
      <c r="BM1899">
        <v>10.75</v>
      </c>
      <c r="BN1899">
        <v>82.44</v>
      </c>
      <c r="BO1899">
        <v>82.44</v>
      </c>
      <c r="BQ1899" t="s">
        <v>681</v>
      </c>
      <c r="BR1899" t="s">
        <v>84</v>
      </c>
      <c r="BS1899" s="3">
        <v>45883</v>
      </c>
      <c r="BT1899" s="4">
        <v>0.36736111111111114</v>
      </c>
      <c r="BU1899" t="s">
        <v>682</v>
      </c>
      <c r="BV1899" t="s">
        <v>86</v>
      </c>
      <c r="BY1899">
        <v>1200</v>
      </c>
      <c r="CA1899" t="s">
        <v>413</v>
      </c>
      <c r="CC1899" t="s">
        <v>199</v>
      </c>
      <c r="CD1899">
        <v>6001</v>
      </c>
      <c r="CE1899" t="s">
        <v>109</v>
      </c>
      <c r="CF1899" s="3">
        <v>45883</v>
      </c>
      <c r="CI1899">
        <v>1</v>
      </c>
      <c r="CJ1899">
        <v>1</v>
      </c>
      <c r="CK1899">
        <v>21</v>
      </c>
      <c r="CL1899" t="s">
        <v>90</v>
      </c>
    </row>
    <row r="1900" spans="1:90" x14ac:dyDescent="0.3">
      <c r="A1900" t="s">
        <v>72</v>
      </c>
      <c r="B1900" t="s">
        <v>73</v>
      </c>
      <c r="C1900" t="s">
        <v>74</v>
      </c>
      <c r="E1900" t="str">
        <f>"080067222571"</f>
        <v>080067222571</v>
      </c>
      <c r="F1900" s="3">
        <v>45882</v>
      </c>
      <c r="G1900">
        <v>202605</v>
      </c>
      <c r="H1900" t="s">
        <v>75</v>
      </c>
      <c r="I1900" t="s">
        <v>76</v>
      </c>
      <c r="J1900" t="s">
        <v>77</v>
      </c>
      <c r="K1900" t="s">
        <v>78</v>
      </c>
      <c r="L1900" t="s">
        <v>373</v>
      </c>
      <c r="M1900" t="s">
        <v>374</v>
      </c>
      <c r="N1900" t="s">
        <v>1695</v>
      </c>
      <c r="O1900" t="s">
        <v>82</v>
      </c>
      <c r="P1900" t="str">
        <f>"4170054722                    "</f>
        <v xml:space="preserve">4170054722                    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0</v>
      </c>
      <c r="AK1900">
        <v>0</v>
      </c>
      <c r="AL1900">
        <v>0</v>
      </c>
      <c r="AM1900">
        <v>0</v>
      </c>
      <c r="AN1900">
        <v>0</v>
      </c>
      <c r="AO1900">
        <v>0</v>
      </c>
      <c r="AP1900">
        <v>0</v>
      </c>
      <c r="AQ1900">
        <v>23.09</v>
      </c>
      <c r="AR1900">
        <v>0</v>
      </c>
      <c r="AS1900">
        <v>0</v>
      </c>
      <c r="AT1900">
        <v>0</v>
      </c>
      <c r="AU1900">
        <v>0</v>
      </c>
      <c r="AV1900">
        <v>0</v>
      </c>
      <c r="AW1900">
        <v>0</v>
      </c>
      <c r="AX1900">
        <v>0</v>
      </c>
      <c r="AY1900">
        <v>0</v>
      </c>
      <c r="AZ1900">
        <v>0</v>
      </c>
      <c r="BA1900">
        <v>0</v>
      </c>
      <c r="BB1900">
        <v>0</v>
      </c>
      <c r="BC1900">
        <v>0</v>
      </c>
      <c r="BD1900">
        <v>0</v>
      </c>
      <c r="BE1900">
        <v>0</v>
      </c>
      <c r="BF1900">
        <v>0</v>
      </c>
      <c r="BG1900">
        <v>0</v>
      </c>
      <c r="BH1900">
        <v>1</v>
      </c>
      <c r="BI1900">
        <v>1</v>
      </c>
      <c r="BJ1900">
        <v>0.2</v>
      </c>
      <c r="BK1900">
        <v>1</v>
      </c>
      <c r="BL1900">
        <v>71.69</v>
      </c>
      <c r="BM1900">
        <v>10.75</v>
      </c>
      <c r="BN1900">
        <v>82.44</v>
      </c>
      <c r="BO1900">
        <v>82.44</v>
      </c>
      <c r="BQ1900" t="s">
        <v>1696</v>
      </c>
      <c r="BR1900" t="s">
        <v>84</v>
      </c>
      <c r="BS1900" s="3">
        <v>45883</v>
      </c>
      <c r="BT1900" s="4">
        <v>0.4284722222222222</v>
      </c>
      <c r="BU1900" t="s">
        <v>1697</v>
      </c>
      <c r="BV1900" t="s">
        <v>86</v>
      </c>
      <c r="BY1900">
        <v>1200</v>
      </c>
      <c r="CA1900" t="s">
        <v>203</v>
      </c>
      <c r="CC1900" t="s">
        <v>374</v>
      </c>
      <c r="CD1900">
        <v>6220</v>
      </c>
      <c r="CE1900" t="s">
        <v>109</v>
      </c>
      <c r="CF1900" s="3">
        <v>45883</v>
      </c>
      <c r="CI1900">
        <v>1</v>
      </c>
      <c r="CJ1900">
        <v>1</v>
      </c>
      <c r="CK1900">
        <v>21</v>
      </c>
      <c r="CL1900" t="s">
        <v>90</v>
      </c>
    </row>
    <row r="1901" spans="1:90" x14ac:dyDescent="0.3">
      <c r="A1901" t="s">
        <v>72</v>
      </c>
      <c r="B1901" t="s">
        <v>73</v>
      </c>
      <c r="C1901" t="s">
        <v>74</v>
      </c>
      <c r="E1901" t="str">
        <f>"080067222575"</f>
        <v>080067222575</v>
      </c>
      <c r="F1901" s="3">
        <v>45882</v>
      </c>
      <c r="G1901">
        <v>202605</v>
      </c>
      <c r="H1901" t="s">
        <v>75</v>
      </c>
      <c r="I1901" t="s">
        <v>76</v>
      </c>
      <c r="J1901" t="s">
        <v>77</v>
      </c>
      <c r="K1901" t="s">
        <v>78</v>
      </c>
      <c r="L1901" t="s">
        <v>325</v>
      </c>
      <c r="M1901" t="s">
        <v>326</v>
      </c>
      <c r="N1901" t="s">
        <v>2531</v>
      </c>
      <c r="O1901" t="s">
        <v>95</v>
      </c>
      <c r="P1901" t="str">
        <f>"4170054566                    "</f>
        <v xml:space="preserve">4170054566                    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Q1901">
        <v>34.450000000000003</v>
      </c>
      <c r="AR1901">
        <v>0</v>
      </c>
      <c r="AS1901">
        <v>0</v>
      </c>
      <c r="AT1901">
        <v>0</v>
      </c>
      <c r="AU1901">
        <v>0</v>
      </c>
      <c r="AV1901">
        <v>0</v>
      </c>
      <c r="AW1901">
        <v>0</v>
      </c>
      <c r="AX1901">
        <v>0</v>
      </c>
      <c r="AY1901">
        <v>0</v>
      </c>
      <c r="AZ1901">
        <v>0</v>
      </c>
      <c r="BA1901">
        <v>0</v>
      </c>
      <c r="BB1901">
        <v>0</v>
      </c>
      <c r="BC1901">
        <v>0</v>
      </c>
      <c r="BD1901">
        <v>0</v>
      </c>
      <c r="BE1901">
        <v>0</v>
      </c>
      <c r="BF1901">
        <v>0</v>
      </c>
      <c r="BG1901">
        <v>0</v>
      </c>
      <c r="BH1901">
        <v>1</v>
      </c>
      <c r="BI1901">
        <v>6</v>
      </c>
      <c r="BJ1901">
        <v>2.6</v>
      </c>
      <c r="BK1901">
        <v>6</v>
      </c>
      <c r="BL1901">
        <v>112.84</v>
      </c>
      <c r="BM1901">
        <v>16.93</v>
      </c>
      <c r="BN1901">
        <v>129.77000000000001</v>
      </c>
      <c r="BO1901">
        <v>129.77000000000001</v>
      </c>
      <c r="BQ1901" t="s">
        <v>2532</v>
      </c>
      <c r="BR1901" t="s">
        <v>84</v>
      </c>
      <c r="BS1901" s="3">
        <v>45883</v>
      </c>
      <c r="BT1901" s="4">
        <v>0.41666666666666669</v>
      </c>
      <c r="BU1901" t="s">
        <v>2533</v>
      </c>
      <c r="BV1901" t="s">
        <v>86</v>
      </c>
      <c r="BY1901">
        <v>12768</v>
      </c>
      <c r="CA1901" t="s">
        <v>331</v>
      </c>
      <c r="CC1901" t="s">
        <v>326</v>
      </c>
      <c r="CD1901">
        <v>2013</v>
      </c>
      <c r="CE1901" t="s">
        <v>1164</v>
      </c>
      <c r="CF1901" s="3">
        <v>45884</v>
      </c>
      <c r="CI1901">
        <v>1</v>
      </c>
      <c r="CJ1901">
        <v>1</v>
      </c>
      <c r="CK1901">
        <v>42</v>
      </c>
      <c r="CL1901" t="s">
        <v>90</v>
      </c>
    </row>
    <row r="1902" spans="1:90" x14ac:dyDescent="0.3">
      <c r="A1902" t="s">
        <v>72</v>
      </c>
      <c r="B1902" t="s">
        <v>73</v>
      </c>
      <c r="C1902" t="s">
        <v>74</v>
      </c>
      <c r="E1902" t="str">
        <f>"080067222580"</f>
        <v>080067222580</v>
      </c>
      <c r="F1902" s="3">
        <v>45882</v>
      </c>
      <c r="G1902">
        <v>202605</v>
      </c>
      <c r="H1902" t="s">
        <v>75</v>
      </c>
      <c r="I1902" t="s">
        <v>76</v>
      </c>
      <c r="J1902" t="s">
        <v>77</v>
      </c>
      <c r="K1902" t="s">
        <v>78</v>
      </c>
      <c r="L1902" t="s">
        <v>217</v>
      </c>
      <c r="M1902" t="s">
        <v>218</v>
      </c>
      <c r="N1902" t="s">
        <v>1956</v>
      </c>
      <c r="O1902" t="s">
        <v>82</v>
      </c>
      <c r="P1902" t="str">
        <f>"4170054699                    "</f>
        <v xml:space="preserve">4170054699                    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0</v>
      </c>
      <c r="AI1902">
        <v>0</v>
      </c>
      <c r="AJ1902">
        <v>0</v>
      </c>
      <c r="AK1902">
        <v>0</v>
      </c>
      <c r="AL1902">
        <v>0</v>
      </c>
      <c r="AM1902">
        <v>0</v>
      </c>
      <c r="AN1902">
        <v>0</v>
      </c>
      <c r="AO1902">
        <v>0</v>
      </c>
      <c r="AP1902">
        <v>0</v>
      </c>
      <c r="AQ1902">
        <v>23.09</v>
      </c>
      <c r="AR1902">
        <v>0</v>
      </c>
      <c r="AS1902">
        <v>0</v>
      </c>
      <c r="AT1902">
        <v>0</v>
      </c>
      <c r="AU1902">
        <v>0</v>
      </c>
      <c r="AV1902">
        <v>0</v>
      </c>
      <c r="AW1902">
        <v>0</v>
      </c>
      <c r="AX1902">
        <v>0</v>
      </c>
      <c r="AY1902">
        <v>0</v>
      </c>
      <c r="AZ1902">
        <v>0</v>
      </c>
      <c r="BA1902">
        <v>0</v>
      </c>
      <c r="BB1902">
        <v>0</v>
      </c>
      <c r="BC1902">
        <v>0</v>
      </c>
      <c r="BD1902">
        <v>0</v>
      </c>
      <c r="BE1902">
        <v>0</v>
      </c>
      <c r="BF1902">
        <v>0</v>
      </c>
      <c r="BG1902">
        <v>0</v>
      </c>
      <c r="BH1902">
        <v>1</v>
      </c>
      <c r="BI1902">
        <v>1</v>
      </c>
      <c r="BJ1902">
        <v>0.2</v>
      </c>
      <c r="BK1902">
        <v>1</v>
      </c>
      <c r="BL1902">
        <v>71.69</v>
      </c>
      <c r="BM1902">
        <v>10.75</v>
      </c>
      <c r="BN1902">
        <v>82.44</v>
      </c>
      <c r="BO1902">
        <v>82.44</v>
      </c>
      <c r="BQ1902" t="s">
        <v>1957</v>
      </c>
      <c r="BR1902" t="s">
        <v>84</v>
      </c>
      <c r="BS1902" s="3">
        <v>45883</v>
      </c>
      <c r="BT1902" s="4">
        <v>0.4236111111111111</v>
      </c>
      <c r="BU1902" t="s">
        <v>2534</v>
      </c>
      <c r="BV1902" t="s">
        <v>86</v>
      </c>
      <c r="BY1902">
        <v>1200</v>
      </c>
      <c r="CA1902" t="s">
        <v>136</v>
      </c>
      <c r="CC1902" t="s">
        <v>218</v>
      </c>
      <c r="CD1902">
        <v>4052</v>
      </c>
      <c r="CE1902" t="s">
        <v>109</v>
      </c>
      <c r="CF1902" s="3">
        <v>45883</v>
      </c>
      <c r="CI1902">
        <v>1</v>
      </c>
      <c r="CJ1902">
        <v>1</v>
      </c>
      <c r="CK1902">
        <v>21</v>
      </c>
      <c r="CL1902" t="s">
        <v>90</v>
      </c>
    </row>
    <row r="1903" spans="1:90" x14ac:dyDescent="0.3">
      <c r="A1903" t="s">
        <v>72</v>
      </c>
      <c r="B1903" t="s">
        <v>73</v>
      </c>
      <c r="C1903" t="s">
        <v>74</v>
      </c>
      <c r="E1903" t="str">
        <f>"080067222586"</f>
        <v>080067222586</v>
      </c>
      <c r="F1903" s="3">
        <v>45882</v>
      </c>
      <c r="G1903">
        <v>202605</v>
      </c>
      <c r="H1903" t="s">
        <v>75</v>
      </c>
      <c r="I1903" t="s">
        <v>76</v>
      </c>
      <c r="J1903" t="s">
        <v>77</v>
      </c>
      <c r="K1903" t="s">
        <v>78</v>
      </c>
      <c r="L1903" t="s">
        <v>198</v>
      </c>
      <c r="M1903" t="s">
        <v>199</v>
      </c>
      <c r="N1903" t="s">
        <v>426</v>
      </c>
      <c r="O1903" t="s">
        <v>82</v>
      </c>
      <c r="P1903" t="str">
        <f>"4170054548                    "</f>
        <v xml:space="preserve">4170054548                    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0</v>
      </c>
      <c r="AI1903">
        <v>0</v>
      </c>
      <c r="AJ1903">
        <v>0</v>
      </c>
      <c r="AK1903">
        <v>0</v>
      </c>
      <c r="AL1903">
        <v>0</v>
      </c>
      <c r="AM1903">
        <v>0</v>
      </c>
      <c r="AN1903">
        <v>0</v>
      </c>
      <c r="AO1903">
        <v>0</v>
      </c>
      <c r="AP1903">
        <v>0</v>
      </c>
      <c r="AQ1903">
        <v>34.619999999999997</v>
      </c>
      <c r="AR1903">
        <v>0</v>
      </c>
      <c r="AS1903">
        <v>0</v>
      </c>
      <c r="AT1903">
        <v>0</v>
      </c>
      <c r="AU1903">
        <v>0</v>
      </c>
      <c r="AV1903">
        <v>0</v>
      </c>
      <c r="AW1903">
        <v>0</v>
      </c>
      <c r="AX1903">
        <v>0</v>
      </c>
      <c r="AY1903">
        <v>0</v>
      </c>
      <c r="AZ1903">
        <v>0</v>
      </c>
      <c r="BA1903">
        <v>0</v>
      </c>
      <c r="BB1903">
        <v>0</v>
      </c>
      <c r="BC1903">
        <v>0</v>
      </c>
      <c r="BD1903">
        <v>0</v>
      </c>
      <c r="BE1903">
        <v>0</v>
      </c>
      <c r="BF1903">
        <v>0</v>
      </c>
      <c r="BG1903">
        <v>0</v>
      </c>
      <c r="BH1903">
        <v>1</v>
      </c>
      <c r="BI1903">
        <v>3</v>
      </c>
      <c r="BJ1903">
        <v>1.7</v>
      </c>
      <c r="BK1903">
        <v>3</v>
      </c>
      <c r="BL1903">
        <v>107.5</v>
      </c>
      <c r="BM1903">
        <v>16.13</v>
      </c>
      <c r="BN1903">
        <v>123.63</v>
      </c>
      <c r="BO1903">
        <v>123.63</v>
      </c>
      <c r="BQ1903" t="s">
        <v>427</v>
      </c>
      <c r="BR1903" t="s">
        <v>84</v>
      </c>
      <c r="BS1903" s="3">
        <v>45883</v>
      </c>
      <c r="BT1903" s="4">
        <v>0.625</v>
      </c>
      <c r="BU1903" t="s">
        <v>2535</v>
      </c>
      <c r="BV1903" t="s">
        <v>90</v>
      </c>
      <c r="BY1903">
        <v>8512</v>
      </c>
      <c r="CC1903" t="s">
        <v>199</v>
      </c>
      <c r="CD1903">
        <v>6045</v>
      </c>
      <c r="CE1903" t="s">
        <v>147</v>
      </c>
      <c r="CF1903" s="3">
        <v>45884</v>
      </c>
      <c r="CI1903">
        <v>1</v>
      </c>
      <c r="CJ1903">
        <v>1</v>
      </c>
      <c r="CK1903">
        <v>21</v>
      </c>
      <c r="CL1903" t="s">
        <v>90</v>
      </c>
    </row>
    <row r="1904" spans="1:90" x14ac:dyDescent="0.3">
      <c r="A1904" t="s">
        <v>72</v>
      </c>
      <c r="B1904" t="s">
        <v>73</v>
      </c>
      <c r="C1904" t="s">
        <v>74</v>
      </c>
      <c r="E1904" t="str">
        <f>"080067222600"</f>
        <v>080067222600</v>
      </c>
      <c r="F1904" s="3">
        <v>45882</v>
      </c>
      <c r="G1904">
        <v>202605</v>
      </c>
      <c r="H1904" t="s">
        <v>75</v>
      </c>
      <c r="I1904" t="s">
        <v>76</v>
      </c>
      <c r="J1904" t="s">
        <v>77</v>
      </c>
      <c r="K1904" t="s">
        <v>78</v>
      </c>
      <c r="L1904" t="s">
        <v>303</v>
      </c>
      <c r="M1904" t="s">
        <v>304</v>
      </c>
      <c r="N1904" t="s">
        <v>1923</v>
      </c>
      <c r="O1904" t="s">
        <v>82</v>
      </c>
      <c r="P1904" t="str">
        <f>"4170054676                    "</f>
        <v xml:space="preserve">4170054676                    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0</v>
      </c>
      <c r="AI1904">
        <v>0</v>
      </c>
      <c r="AJ1904">
        <v>0</v>
      </c>
      <c r="AK1904">
        <v>0</v>
      </c>
      <c r="AL1904">
        <v>0</v>
      </c>
      <c r="AM1904">
        <v>0</v>
      </c>
      <c r="AN1904">
        <v>0</v>
      </c>
      <c r="AO1904">
        <v>0</v>
      </c>
      <c r="AP1904">
        <v>0</v>
      </c>
      <c r="AQ1904">
        <v>44.73</v>
      </c>
      <c r="AR1904">
        <v>0</v>
      </c>
      <c r="AS1904">
        <v>0</v>
      </c>
      <c r="AT1904">
        <v>0</v>
      </c>
      <c r="AU1904">
        <v>0</v>
      </c>
      <c r="AV1904">
        <v>0</v>
      </c>
      <c r="AW1904">
        <v>0</v>
      </c>
      <c r="AX1904">
        <v>0</v>
      </c>
      <c r="AY1904">
        <v>0</v>
      </c>
      <c r="AZ1904">
        <v>0</v>
      </c>
      <c r="BA1904">
        <v>0</v>
      </c>
      <c r="BB1904">
        <v>0</v>
      </c>
      <c r="BC1904">
        <v>0</v>
      </c>
      <c r="BD1904">
        <v>0</v>
      </c>
      <c r="BE1904">
        <v>0</v>
      </c>
      <c r="BF1904">
        <v>0</v>
      </c>
      <c r="BG1904">
        <v>0</v>
      </c>
      <c r="BH1904">
        <v>1</v>
      </c>
      <c r="BI1904">
        <v>1</v>
      </c>
      <c r="BJ1904">
        <v>0.2</v>
      </c>
      <c r="BK1904">
        <v>1</v>
      </c>
      <c r="BL1904">
        <v>138.88999999999999</v>
      </c>
      <c r="BM1904">
        <v>20.83</v>
      </c>
      <c r="BN1904">
        <v>159.72</v>
      </c>
      <c r="BO1904">
        <v>159.72</v>
      </c>
      <c r="BQ1904" t="s">
        <v>1924</v>
      </c>
      <c r="BR1904" t="s">
        <v>84</v>
      </c>
      <c r="BS1904" s="3">
        <v>45883</v>
      </c>
      <c r="BT1904" s="4">
        <v>0.41805555555555557</v>
      </c>
      <c r="BU1904" t="s">
        <v>2519</v>
      </c>
      <c r="BV1904" t="s">
        <v>86</v>
      </c>
      <c r="BY1904">
        <v>1200</v>
      </c>
      <c r="CA1904" t="s">
        <v>308</v>
      </c>
      <c r="CC1904" t="s">
        <v>304</v>
      </c>
      <c r="CD1904">
        <v>7130</v>
      </c>
      <c r="CE1904" t="s">
        <v>109</v>
      </c>
      <c r="CF1904" s="3">
        <v>45884</v>
      </c>
      <c r="CI1904">
        <v>1</v>
      </c>
      <c r="CJ1904">
        <v>1</v>
      </c>
      <c r="CK1904">
        <v>23</v>
      </c>
      <c r="CL1904" t="s">
        <v>90</v>
      </c>
    </row>
    <row r="1905" spans="1:90" x14ac:dyDescent="0.3">
      <c r="A1905" t="s">
        <v>72</v>
      </c>
      <c r="B1905" t="s">
        <v>73</v>
      </c>
      <c r="C1905" t="s">
        <v>74</v>
      </c>
      <c r="E1905" t="str">
        <f>"080067222609"</f>
        <v>080067222609</v>
      </c>
      <c r="F1905" s="3">
        <v>45882</v>
      </c>
      <c r="G1905">
        <v>202605</v>
      </c>
      <c r="H1905" t="s">
        <v>75</v>
      </c>
      <c r="I1905" t="s">
        <v>76</v>
      </c>
      <c r="J1905" t="s">
        <v>77</v>
      </c>
      <c r="K1905" t="s">
        <v>78</v>
      </c>
      <c r="L1905" t="s">
        <v>129</v>
      </c>
      <c r="M1905" t="s">
        <v>130</v>
      </c>
      <c r="N1905" t="s">
        <v>131</v>
      </c>
      <c r="O1905" t="s">
        <v>82</v>
      </c>
      <c r="P1905" t="str">
        <f>"4170054636                    "</f>
        <v xml:space="preserve">4170054636                    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0</v>
      </c>
      <c r="AM1905">
        <v>0</v>
      </c>
      <c r="AN1905">
        <v>0</v>
      </c>
      <c r="AO1905">
        <v>0</v>
      </c>
      <c r="AP1905">
        <v>0</v>
      </c>
      <c r="AQ1905">
        <v>23.09</v>
      </c>
      <c r="AR1905">
        <v>0</v>
      </c>
      <c r="AS1905">
        <v>0</v>
      </c>
      <c r="AT1905">
        <v>0</v>
      </c>
      <c r="AU1905">
        <v>0</v>
      </c>
      <c r="AV1905">
        <v>0</v>
      </c>
      <c r="AW1905">
        <v>0</v>
      </c>
      <c r="AX1905">
        <v>0</v>
      </c>
      <c r="AY1905">
        <v>0</v>
      </c>
      <c r="AZ1905">
        <v>0</v>
      </c>
      <c r="BA1905">
        <v>0</v>
      </c>
      <c r="BB1905">
        <v>0</v>
      </c>
      <c r="BC1905">
        <v>0</v>
      </c>
      <c r="BD1905">
        <v>0</v>
      </c>
      <c r="BE1905">
        <v>0</v>
      </c>
      <c r="BF1905">
        <v>0</v>
      </c>
      <c r="BG1905">
        <v>0</v>
      </c>
      <c r="BH1905">
        <v>1</v>
      </c>
      <c r="BI1905">
        <v>1</v>
      </c>
      <c r="BJ1905">
        <v>1.7</v>
      </c>
      <c r="BK1905">
        <v>2</v>
      </c>
      <c r="BL1905">
        <v>71.69</v>
      </c>
      <c r="BM1905">
        <v>10.75</v>
      </c>
      <c r="BN1905">
        <v>82.44</v>
      </c>
      <c r="BO1905">
        <v>82.44</v>
      </c>
      <c r="BQ1905" t="s">
        <v>132</v>
      </c>
      <c r="BR1905" t="s">
        <v>84</v>
      </c>
      <c r="BS1905" s="3">
        <v>45884</v>
      </c>
      <c r="BT1905" s="4">
        <v>0.4236111111111111</v>
      </c>
      <c r="BU1905" t="s">
        <v>133</v>
      </c>
      <c r="BV1905" t="s">
        <v>90</v>
      </c>
      <c r="BY1905">
        <v>8550</v>
      </c>
      <c r="CA1905" s="5" t="s">
        <v>2536</v>
      </c>
      <c r="CC1905" t="s">
        <v>130</v>
      </c>
      <c r="CD1905">
        <v>4133</v>
      </c>
      <c r="CE1905" t="s">
        <v>147</v>
      </c>
      <c r="CF1905" s="3">
        <v>45885</v>
      </c>
      <c r="CI1905">
        <v>1</v>
      </c>
      <c r="CJ1905">
        <v>2</v>
      </c>
      <c r="CK1905">
        <v>21</v>
      </c>
      <c r="CL1905" t="s">
        <v>90</v>
      </c>
    </row>
    <row r="1906" spans="1:90" x14ac:dyDescent="0.3">
      <c r="A1906" t="s">
        <v>72</v>
      </c>
      <c r="B1906" t="s">
        <v>73</v>
      </c>
      <c r="C1906" t="s">
        <v>74</v>
      </c>
      <c r="E1906" t="str">
        <f>"080067222622"</f>
        <v>080067222622</v>
      </c>
      <c r="F1906" s="3">
        <v>45882</v>
      </c>
      <c r="G1906">
        <v>202605</v>
      </c>
      <c r="H1906" t="s">
        <v>75</v>
      </c>
      <c r="I1906" t="s">
        <v>76</v>
      </c>
      <c r="J1906" t="s">
        <v>77</v>
      </c>
      <c r="K1906" t="s">
        <v>78</v>
      </c>
      <c r="L1906" t="s">
        <v>391</v>
      </c>
      <c r="M1906" t="s">
        <v>392</v>
      </c>
      <c r="N1906" t="s">
        <v>393</v>
      </c>
      <c r="O1906" t="s">
        <v>82</v>
      </c>
      <c r="P1906" t="str">
        <f>"4170054573                    "</f>
        <v xml:space="preserve">4170054573                    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0</v>
      </c>
      <c r="AI1906">
        <v>0</v>
      </c>
      <c r="AJ1906">
        <v>0</v>
      </c>
      <c r="AK1906">
        <v>0</v>
      </c>
      <c r="AL1906">
        <v>0</v>
      </c>
      <c r="AM1906">
        <v>0</v>
      </c>
      <c r="AN1906">
        <v>0</v>
      </c>
      <c r="AO1906">
        <v>0</v>
      </c>
      <c r="AP1906">
        <v>0</v>
      </c>
      <c r="AQ1906">
        <v>44.73</v>
      </c>
      <c r="AR1906">
        <v>0</v>
      </c>
      <c r="AS1906">
        <v>0</v>
      </c>
      <c r="AT1906">
        <v>0</v>
      </c>
      <c r="AU1906">
        <v>0</v>
      </c>
      <c r="AV1906">
        <v>0</v>
      </c>
      <c r="AW1906">
        <v>0</v>
      </c>
      <c r="AX1906">
        <v>0</v>
      </c>
      <c r="AY1906">
        <v>0</v>
      </c>
      <c r="AZ1906">
        <v>0</v>
      </c>
      <c r="BA1906">
        <v>0</v>
      </c>
      <c r="BB1906">
        <v>0</v>
      </c>
      <c r="BC1906">
        <v>0</v>
      </c>
      <c r="BD1906">
        <v>0</v>
      </c>
      <c r="BE1906">
        <v>0</v>
      </c>
      <c r="BF1906">
        <v>0</v>
      </c>
      <c r="BG1906">
        <v>0</v>
      </c>
      <c r="BH1906">
        <v>1</v>
      </c>
      <c r="BI1906">
        <v>1</v>
      </c>
      <c r="BJ1906">
        <v>0.2</v>
      </c>
      <c r="BK1906">
        <v>1</v>
      </c>
      <c r="BL1906">
        <v>138.88999999999999</v>
      </c>
      <c r="BM1906">
        <v>20.83</v>
      </c>
      <c r="BN1906">
        <v>159.72</v>
      </c>
      <c r="BO1906">
        <v>159.72</v>
      </c>
      <c r="BQ1906" t="s">
        <v>394</v>
      </c>
      <c r="BR1906" t="s">
        <v>84</v>
      </c>
      <c r="BS1906" s="3">
        <v>45883</v>
      </c>
      <c r="BT1906" s="4">
        <v>0.47569444444444442</v>
      </c>
      <c r="BU1906" t="s">
        <v>2244</v>
      </c>
      <c r="BV1906" t="s">
        <v>86</v>
      </c>
      <c r="BY1906">
        <v>1200</v>
      </c>
      <c r="CA1906" t="s">
        <v>1347</v>
      </c>
      <c r="CC1906" t="s">
        <v>392</v>
      </c>
      <c r="CD1906">
        <v>6715</v>
      </c>
      <c r="CE1906" t="s">
        <v>109</v>
      </c>
      <c r="CF1906" s="3">
        <v>45884</v>
      </c>
      <c r="CI1906">
        <v>2</v>
      </c>
      <c r="CJ1906">
        <v>1</v>
      </c>
      <c r="CK1906">
        <v>23</v>
      </c>
      <c r="CL1906" t="s">
        <v>90</v>
      </c>
    </row>
    <row r="1907" spans="1:90" x14ac:dyDescent="0.3">
      <c r="A1907" t="s">
        <v>72</v>
      </c>
      <c r="B1907" t="s">
        <v>73</v>
      </c>
      <c r="C1907" t="s">
        <v>74</v>
      </c>
      <c r="E1907" t="str">
        <f>"080067222633"</f>
        <v>080067222633</v>
      </c>
      <c r="F1907" s="3">
        <v>45882</v>
      </c>
      <c r="G1907">
        <v>202605</v>
      </c>
      <c r="H1907" t="s">
        <v>75</v>
      </c>
      <c r="I1907" t="s">
        <v>76</v>
      </c>
      <c r="J1907" t="s">
        <v>77</v>
      </c>
      <c r="K1907" t="s">
        <v>78</v>
      </c>
      <c r="L1907" t="s">
        <v>278</v>
      </c>
      <c r="M1907" t="s">
        <v>279</v>
      </c>
      <c r="N1907" t="s">
        <v>280</v>
      </c>
      <c r="O1907" t="s">
        <v>82</v>
      </c>
      <c r="P1907" t="str">
        <f>"4170054519                    "</f>
        <v xml:space="preserve">4170054519                    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0</v>
      </c>
      <c r="AI1907">
        <v>0</v>
      </c>
      <c r="AJ1907">
        <v>0</v>
      </c>
      <c r="AK1907">
        <v>0</v>
      </c>
      <c r="AL1907">
        <v>0</v>
      </c>
      <c r="AM1907">
        <v>0</v>
      </c>
      <c r="AN1907">
        <v>0</v>
      </c>
      <c r="AO1907">
        <v>0</v>
      </c>
      <c r="AP1907">
        <v>0</v>
      </c>
      <c r="AQ1907">
        <v>34.619999999999997</v>
      </c>
      <c r="AR1907">
        <v>0</v>
      </c>
      <c r="AS1907">
        <v>0</v>
      </c>
      <c r="AT1907">
        <v>0</v>
      </c>
      <c r="AU1907">
        <v>0</v>
      </c>
      <c r="AV1907">
        <v>0</v>
      </c>
      <c r="AW1907">
        <v>0</v>
      </c>
      <c r="AX1907">
        <v>0</v>
      </c>
      <c r="AY1907">
        <v>0</v>
      </c>
      <c r="AZ1907">
        <v>0</v>
      </c>
      <c r="BA1907">
        <v>0</v>
      </c>
      <c r="BB1907">
        <v>0</v>
      </c>
      <c r="BC1907">
        <v>0</v>
      </c>
      <c r="BD1907">
        <v>0</v>
      </c>
      <c r="BE1907">
        <v>0</v>
      </c>
      <c r="BF1907">
        <v>0</v>
      </c>
      <c r="BG1907">
        <v>0</v>
      </c>
      <c r="BH1907">
        <v>1</v>
      </c>
      <c r="BI1907">
        <v>3</v>
      </c>
      <c r="BJ1907">
        <v>1.1000000000000001</v>
      </c>
      <c r="BK1907">
        <v>3</v>
      </c>
      <c r="BL1907">
        <v>107.5</v>
      </c>
      <c r="BM1907">
        <v>16.13</v>
      </c>
      <c r="BN1907">
        <v>123.63</v>
      </c>
      <c r="BO1907">
        <v>123.63</v>
      </c>
      <c r="BQ1907" t="s">
        <v>281</v>
      </c>
      <c r="BR1907" t="s">
        <v>84</v>
      </c>
      <c r="BS1907" s="3">
        <v>45883</v>
      </c>
      <c r="BT1907" s="4">
        <v>0.64097222222222228</v>
      </c>
      <c r="BU1907" t="s">
        <v>282</v>
      </c>
      <c r="BV1907" t="s">
        <v>86</v>
      </c>
      <c r="BY1907">
        <v>5320</v>
      </c>
      <c r="CA1907" t="s">
        <v>283</v>
      </c>
      <c r="CC1907" t="s">
        <v>279</v>
      </c>
      <c r="CD1907" s="5" t="s">
        <v>284</v>
      </c>
      <c r="CE1907" t="s">
        <v>147</v>
      </c>
      <c r="CF1907" s="3">
        <v>45883</v>
      </c>
      <c r="CI1907">
        <v>1</v>
      </c>
      <c r="CJ1907">
        <v>1</v>
      </c>
      <c r="CK1907">
        <v>21</v>
      </c>
      <c r="CL1907" t="s">
        <v>90</v>
      </c>
    </row>
    <row r="1908" spans="1:90" x14ac:dyDescent="0.3">
      <c r="A1908" t="s">
        <v>72</v>
      </c>
      <c r="B1908" t="s">
        <v>73</v>
      </c>
      <c r="C1908" t="s">
        <v>74</v>
      </c>
      <c r="E1908" t="str">
        <f>"080067222675"</f>
        <v>080067222675</v>
      </c>
      <c r="F1908" s="3">
        <v>45882</v>
      </c>
      <c r="G1908">
        <v>202605</v>
      </c>
      <c r="H1908" t="s">
        <v>75</v>
      </c>
      <c r="I1908" t="s">
        <v>76</v>
      </c>
      <c r="J1908" t="s">
        <v>77</v>
      </c>
      <c r="K1908" t="s">
        <v>78</v>
      </c>
      <c r="L1908" t="s">
        <v>198</v>
      </c>
      <c r="M1908" t="s">
        <v>199</v>
      </c>
      <c r="N1908" t="s">
        <v>430</v>
      </c>
      <c r="O1908" t="s">
        <v>82</v>
      </c>
      <c r="P1908" t="str">
        <f>"4170054597                    "</f>
        <v xml:space="preserve">4170054597                    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0</v>
      </c>
      <c r="AO1908">
        <v>0</v>
      </c>
      <c r="AP1908">
        <v>0</v>
      </c>
      <c r="AQ1908">
        <v>23.09</v>
      </c>
      <c r="AR1908">
        <v>0</v>
      </c>
      <c r="AS1908">
        <v>0</v>
      </c>
      <c r="AT1908">
        <v>0</v>
      </c>
      <c r="AU1908">
        <v>0</v>
      </c>
      <c r="AV1908">
        <v>0</v>
      </c>
      <c r="AW1908">
        <v>0</v>
      </c>
      <c r="AX1908">
        <v>0</v>
      </c>
      <c r="AY1908">
        <v>0</v>
      </c>
      <c r="AZ1908">
        <v>0</v>
      </c>
      <c r="BA1908">
        <v>0</v>
      </c>
      <c r="BB1908">
        <v>0</v>
      </c>
      <c r="BC1908">
        <v>0</v>
      </c>
      <c r="BD1908">
        <v>0</v>
      </c>
      <c r="BE1908">
        <v>0</v>
      </c>
      <c r="BF1908">
        <v>0</v>
      </c>
      <c r="BG1908">
        <v>0</v>
      </c>
      <c r="BH1908">
        <v>1</v>
      </c>
      <c r="BI1908">
        <v>1</v>
      </c>
      <c r="BJ1908">
        <v>1.7</v>
      </c>
      <c r="BK1908">
        <v>2</v>
      </c>
      <c r="BL1908">
        <v>71.69</v>
      </c>
      <c r="BM1908">
        <v>10.75</v>
      </c>
      <c r="BN1908">
        <v>82.44</v>
      </c>
      <c r="BO1908">
        <v>82.44</v>
      </c>
      <c r="BQ1908" t="s">
        <v>431</v>
      </c>
      <c r="BR1908" t="s">
        <v>84</v>
      </c>
      <c r="BS1908" s="3">
        <v>45883</v>
      </c>
      <c r="BT1908" s="4">
        <v>0.33750000000000002</v>
      </c>
      <c r="BU1908" t="s">
        <v>1902</v>
      </c>
      <c r="BV1908" t="s">
        <v>86</v>
      </c>
      <c r="BY1908">
        <v>8550</v>
      </c>
      <c r="CA1908" t="s">
        <v>433</v>
      </c>
      <c r="CC1908" t="s">
        <v>199</v>
      </c>
      <c r="CD1908">
        <v>6001</v>
      </c>
      <c r="CE1908" t="s">
        <v>117</v>
      </c>
      <c r="CF1908" s="3">
        <v>45883</v>
      </c>
      <c r="CI1908">
        <v>1</v>
      </c>
      <c r="CJ1908">
        <v>1</v>
      </c>
      <c r="CK1908">
        <v>21</v>
      </c>
      <c r="CL1908" t="s">
        <v>90</v>
      </c>
    </row>
    <row r="1909" spans="1:90" x14ac:dyDescent="0.3">
      <c r="A1909" t="s">
        <v>72</v>
      </c>
      <c r="B1909" t="s">
        <v>73</v>
      </c>
      <c r="C1909" t="s">
        <v>74</v>
      </c>
      <c r="E1909" t="str">
        <f>"080067222708"</f>
        <v>080067222708</v>
      </c>
      <c r="F1909" s="3">
        <v>45882</v>
      </c>
      <c r="G1909">
        <v>202605</v>
      </c>
      <c r="H1909" t="s">
        <v>75</v>
      </c>
      <c r="I1909" t="s">
        <v>76</v>
      </c>
      <c r="J1909" t="s">
        <v>77</v>
      </c>
      <c r="K1909" t="s">
        <v>78</v>
      </c>
      <c r="L1909" t="s">
        <v>241</v>
      </c>
      <c r="M1909" t="s">
        <v>242</v>
      </c>
      <c r="N1909" t="s">
        <v>2537</v>
      </c>
      <c r="O1909" t="s">
        <v>82</v>
      </c>
      <c r="P1909" t="str">
        <f>"4170054603                    "</f>
        <v xml:space="preserve">4170054603                    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0</v>
      </c>
      <c r="AM1909">
        <v>0</v>
      </c>
      <c r="AN1909">
        <v>0</v>
      </c>
      <c r="AO1909">
        <v>0</v>
      </c>
      <c r="AP1909">
        <v>0</v>
      </c>
      <c r="AQ1909">
        <v>18.03</v>
      </c>
      <c r="AR1909">
        <v>0</v>
      </c>
      <c r="AS1909">
        <v>0</v>
      </c>
      <c r="AT1909">
        <v>0</v>
      </c>
      <c r="AU1909">
        <v>0</v>
      </c>
      <c r="AV1909">
        <v>0</v>
      </c>
      <c r="AW1909">
        <v>0</v>
      </c>
      <c r="AX1909">
        <v>0</v>
      </c>
      <c r="AY1909">
        <v>0</v>
      </c>
      <c r="AZ1909">
        <v>0</v>
      </c>
      <c r="BA1909">
        <v>0</v>
      </c>
      <c r="BB1909">
        <v>0</v>
      </c>
      <c r="BC1909">
        <v>0</v>
      </c>
      <c r="BD1909">
        <v>0</v>
      </c>
      <c r="BE1909">
        <v>0</v>
      </c>
      <c r="BF1909">
        <v>0</v>
      </c>
      <c r="BG1909">
        <v>0</v>
      </c>
      <c r="BH1909">
        <v>1</v>
      </c>
      <c r="BI1909">
        <v>1</v>
      </c>
      <c r="BJ1909">
        <v>1.7</v>
      </c>
      <c r="BK1909">
        <v>2</v>
      </c>
      <c r="BL1909">
        <v>55.99</v>
      </c>
      <c r="BM1909">
        <v>8.4</v>
      </c>
      <c r="BN1909">
        <v>64.39</v>
      </c>
      <c r="BO1909">
        <v>64.39</v>
      </c>
      <c r="BQ1909" t="s">
        <v>2538</v>
      </c>
      <c r="BR1909" t="s">
        <v>84</v>
      </c>
      <c r="BS1909" s="3">
        <v>45883</v>
      </c>
      <c r="BT1909" s="4">
        <v>0.42222222222222222</v>
      </c>
      <c r="BU1909" t="s">
        <v>1208</v>
      </c>
      <c r="BV1909" t="s">
        <v>86</v>
      </c>
      <c r="BY1909">
        <v>8550</v>
      </c>
      <c r="CA1909" t="s">
        <v>576</v>
      </c>
      <c r="CC1909" t="s">
        <v>242</v>
      </c>
      <c r="CD1909">
        <v>1469</v>
      </c>
      <c r="CE1909" t="s">
        <v>117</v>
      </c>
      <c r="CF1909" s="3">
        <v>45883</v>
      </c>
      <c r="CI1909">
        <v>1</v>
      </c>
      <c r="CJ1909">
        <v>1</v>
      </c>
      <c r="CK1909">
        <v>22</v>
      </c>
      <c r="CL1909" t="s">
        <v>90</v>
      </c>
    </row>
    <row r="1910" spans="1:90" x14ac:dyDescent="0.3">
      <c r="A1910" t="s">
        <v>72</v>
      </c>
      <c r="B1910" t="s">
        <v>73</v>
      </c>
      <c r="C1910" t="s">
        <v>74</v>
      </c>
      <c r="E1910" t="str">
        <f>"080067222908"</f>
        <v>080067222908</v>
      </c>
      <c r="F1910" s="3">
        <v>45882</v>
      </c>
      <c r="G1910">
        <v>202605</v>
      </c>
      <c r="H1910" t="s">
        <v>75</v>
      </c>
      <c r="I1910" t="s">
        <v>76</v>
      </c>
      <c r="J1910" t="s">
        <v>77</v>
      </c>
      <c r="K1910" t="s">
        <v>78</v>
      </c>
      <c r="L1910" t="s">
        <v>400</v>
      </c>
      <c r="M1910" t="s">
        <v>401</v>
      </c>
      <c r="N1910" t="s">
        <v>2539</v>
      </c>
      <c r="O1910" t="s">
        <v>82</v>
      </c>
      <c r="P1910" t="str">
        <f>"4170054581                    "</f>
        <v xml:space="preserve">4170054581                    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0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Q1910">
        <v>103.82</v>
      </c>
      <c r="AR1910">
        <v>0</v>
      </c>
      <c r="AS1910">
        <v>0</v>
      </c>
      <c r="AT1910">
        <v>0</v>
      </c>
      <c r="AU1910">
        <v>0</v>
      </c>
      <c r="AV1910">
        <v>0</v>
      </c>
      <c r="AW1910">
        <v>0</v>
      </c>
      <c r="AX1910">
        <v>0</v>
      </c>
      <c r="AY1910">
        <v>0</v>
      </c>
      <c r="AZ1910">
        <v>0</v>
      </c>
      <c r="BA1910">
        <v>0</v>
      </c>
      <c r="BB1910">
        <v>0</v>
      </c>
      <c r="BC1910">
        <v>0</v>
      </c>
      <c r="BD1910">
        <v>0</v>
      </c>
      <c r="BE1910">
        <v>0</v>
      </c>
      <c r="BF1910">
        <v>0</v>
      </c>
      <c r="BG1910">
        <v>0</v>
      </c>
      <c r="BH1910">
        <v>1</v>
      </c>
      <c r="BI1910">
        <v>9</v>
      </c>
      <c r="BJ1910">
        <v>4.3</v>
      </c>
      <c r="BK1910">
        <v>9</v>
      </c>
      <c r="BL1910">
        <v>322.38</v>
      </c>
      <c r="BM1910">
        <v>48.36</v>
      </c>
      <c r="BN1910">
        <v>370.74</v>
      </c>
      <c r="BO1910">
        <v>370.74</v>
      </c>
      <c r="BQ1910" t="s">
        <v>2540</v>
      </c>
      <c r="BR1910" t="s">
        <v>84</v>
      </c>
      <c r="BS1910" s="3">
        <v>45883</v>
      </c>
      <c r="BT1910" s="4">
        <v>0.3576388888888889</v>
      </c>
      <c r="BU1910" t="s">
        <v>2541</v>
      </c>
      <c r="BV1910" t="s">
        <v>86</v>
      </c>
      <c r="BY1910">
        <v>21489</v>
      </c>
      <c r="CA1910" t="s">
        <v>405</v>
      </c>
      <c r="CC1910" t="s">
        <v>401</v>
      </c>
      <c r="CD1910">
        <v>6230</v>
      </c>
      <c r="CE1910" t="s">
        <v>147</v>
      </c>
      <c r="CF1910" s="3">
        <v>45883</v>
      </c>
      <c r="CI1910">
        <v>1</v>
      </c>
      <c r="CJ1910">
        <v>1</v>
      </c>
      <c r="CK1910">
        <v>21</v>
      </c>
      <c r="CL1910" t="s">
        <v>90</v>
      </c>
    </row>
    <row r="1911" spans="1:90" x14ac:dyDescent="0.3">
      <c r="A1911" t="s">
        <v>72</v>
      </c>
      <c r="B1911" t="s">
        <v>73</v>
      </c>
      <c r="C1911" t="s">
        <v>74</v>
      </c>
      <c r="E1911" t="str">
        <f>"080067222939"</f>
        <v>080067222939</v>
      </c>
      <c r="F1911" s="3">
        <v>45882</v>
      </c>
      <c r="G1911">
        <v>202605</v>
      </c>
      <c r="H1911" t="s">
        <v>75</v>
      </c>
      <c r="I1911" t="s">
        <v>76</v>
      </c>
      <c r="J1911" t="s">
        <v>77</v>
      </c>
      <c r="K1911" t="s">
        <v>78</v>
      </c>
      <c r="L1911" t="s">
        <v>278</v>
      </c>
      <c r="M1911" t="s">
        <v>279</v>
      </c>
      <c r="N1911" t="s">
        <v>749</v>
      </c>
      <c r="O1911" t="s">
        <v>95</v>
      </c>
      <c r="P1911" t="str">
        <f>"4170054587                    "</f>
        <v xml:space="preserve">4170054587                    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0</v>
      </c>
      <c r="AQ1911">
        <v>44.64</v>
      </c>
      <c r="AR1911">
        <v>0</v>
      </c>
      <c r="AS1911">
        <v>0</v>
      </c>
      <c r="AT1911">
        <v>0</v>
      </c>
      <c r="AU1911">
        <v>0</v>
      </c>
      <c r="AV1911">
        <v>0</v>
      </c>
      <c r="AW1911">
        <v>0</v>
      </c>
      <c r="AX1911">
        <v>0</v>
      </c>
      <c r="AY1911">
        <v>0</v>
      </c>
      <c r="AZ1911">
        <v>0</v>
      </c>
      <c r="BA1911">
        <v>0</v>
      </c>
      <c r="BB1911">
        <v>0</v>
      </c>
      <c r="BC1911">
        <v>0</v>
      </c>
      <c r="BD1911">
        <v>0</v>
      </c>
      <c r="BE1911">
        <v>0</v>
      </c>
      <c r="BF1911">
        <v>0</v>
      </c>
      <c r="BG1911">
        <v>0</v>
      </c>
      <c r="BH1911">
        <v>1</v>
      </c>
      <c r="BI1911">
        <v>11</v>
      </c>
      <c r="BJ1911">
        <v>4.5</v>
      </c>
      <c r="BK1911">
        <v>11</v>
      </c>
      <c r="BL1911">
        <v>144.49</v>
      </c>
      <c r="BM1911">
        <v>21.67</v>
      </c>
      <c r="BN1911">
        <v>166.16</v>
      </c>
      <c r="BO1911">
        <v>166.16</v>
      </c>
      <c r="BQ1911" t="s">
        <v>750</v>
      </c>
      <c r="BR1911" t="s">
        <v>84</v>
      </c>
      <c r="BS1911" s="3">
        <v>45883</v>
      </c>
      <c r="BT1911" s="4">
        <v>0.36666666666666664</v>
      </c>
      <c r="BU1911" t="s">
        <v>2392</v>
      </c>
      <c r="BV1911" t="s">
        <v>86</v>
      </c>
      <c r="BY1911">
        <v>22620</v>
      </c>
      <c r="CA1911" t="s">
        <v>283</v>
      </c>
      <c r="CC1911" t="s">
        <v>279</v>
      </c>
      <c r="CD1911" s="5" t="s">
        <v>753</v>
      </c>
      <c r="CE1911" t="s">
        <v>147</v>
      </c>
      <c r="CF1911" s="3">
        <v>45883</v>
      </c>
      <c r="CI1911">
        <v>1</v>
      </c>
      <c r="CJ1911">
        <v>1</v>
      </c>
      <c r="CK1911">
        <v>41</v>
      </c>
      <c r="CL1911" t="s">
        <v>90</v>
      </c>
    </row>
    <row r="1912" spans="1:90" x14ac:dyDescent="0.3">
      <c r="A1912" t="s">
        <v>72</v>
      </c>
      <c r="B1912" t="s">
        <v>73</v>
      </c>
      <c r="C1912" t="s">
        <v>74</v>
      </c>
      <c r="E1912" t="str">
        <f>"080067222981"</f>
        <v>080067222981</v>
      </c>
      <c r="F1912" s="3">
        <v>45882</v>
      </c>
      <c r="G1912">
        <v>202605</v>
      </c>
      <c r="H1912" t="s">
        <v>75</v>
      </c>
      <c r="I1912" t="s">
        <v>76</v>
      </c>
      <c r="J1912" t="s">
        <v>77</v>
      </c>
      <c r="K1912" t="s">
        <v>78</v>
      </c>
      <c r="L1912" t="s">
        <v>118</v>
      </c>
      <c r="M1912" t="s">
        <v>118</v>
      </c>
      <c r="N1912" t="s">
        <v>833</v>
      </c>
      <c r="O1912" t="s">
        <v>82</v>
      </c>
      <c r="P1912" t="str">
        <f>"4170054718                    "</f>
        <v xml:space="preserve">4170054718                    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0</v>
      </c>
      <c r="AQ1912">
        <v>44.73</v>
      </c>
      <c r="AR1912">
        <v>0</v>
      </c>
      <c r="AS1912">
        <v>0</v>
      </c>
      <c r="AT1912">
        <v>0</v>
      </c>
      <c r="AU1912">
        <v>0</v>
      </c>
      <c r="AV1912">
        <v>0</v>
      </c>
      <c r="AW1912">
        <v>0</v>
      </c>
      <c r="AX1912">
        <v>0</v>
      </c>
      <c r="AY1912">
        <v>0</v>
      </c>
      <c r="AZ1912">
        <v>0</v>
      </c>
      <c r="BA1912">
        <v>0</v>
      </c>
      <c r="BB1912">
        <v>0</v>
      </c>
      <c r="BC1912">
        <v>0</v>
      </c>
      <c r="BD1912">
        <v>0</v>
      </c>
      <c r="BE1912">
        <v>0</v>
      </c>
      <c r="BF1912">
        <v>0</v>
      </c>
      <c r="BG1912">
        <v>0</v>
      </c>
      <c r="BH1912">
        <v>1</v>
      </c>
      <c r="BI1912">
        <v>2</v>
      </c>
      <c r="BJ1912">
        <v>0.6</v>
      </c>
      <c r="BK1912">
        <v>2</v>
      </c>
      <c r="BL1912">
        <v>138.88999999999999</v>
      </c>
      <c r="BM1912">
        <v>20.83</v>
      </c>
      <c r="BN1912">
        <v>159.72</v>
      </c>
      <c r="BO1912">
        <v>159.72</v>
      </c>
      <c r="BQ1912" t="s">
        <v>834</v>
      </c>
      <c r="BR1912" t="s">
        <v>84</v>
      </c>
      <c r="BS1912" s="3">
        <v>45883</v>
      </c>
      <c r="BT1912" s="4">
        <v>0.53749999999999998</v>
      </c>
      <c r="BU1912" t="s">
        <v>2542</v>
      </c>
      <c r="BV1912" t="s">
        <v>86</v>
      </c>
      <c r="BY1912">
        <v>3192</v>
      </c>
      <c r="CA1912" t="s">
        <v>122</v>
      </c>
      <c r="CC1912" t="s">
        <v>118</v>
      </c>
      <c r="CD1912">
        <v>7646</v>
      </c>
      <c r="CE1912" t="s">
        <v>147</v>
      </c>
      <c r="CF1912" s="3">
        <v>45884</v>
      </c>
      <c r="CI1912">
        <v>1</v>
      </c>
      <c r="CJ1912">
        <v>1</v>
      </c>
      <c r="CK1912">
        <v>23</v>
      </c>
      <c r="CL1912" t="s">
        <v>90</v>
      </c>
    </row>
    <row r="1913" spans="1:90" x14ac:dyDescent="0.3">
      <c r="A1913" t="s">
        <v>72</v>
      </c>
      <c r="B1913" t="s">
        <v>73</v>
      </c>
      <c r="C1913" t="s">
        <v>74</v>
      </c>
      <c r="E1913" t="str">
        <f>"080067222997"</f>
        <v>080067222997</v>
      </c>
      <c r="F1913" s="3">
        <v>45882</v>
      </c>
      <c r="G1913">
        <v>202605</v>
      </c>
      <c r="H1913" t="s">
        <v>75</v>
      </c>
      <c r="I1913" t="s">
        <v>76</v>
      </c>
      <c r="J1913" t="s">
        <v>77</v>
      </c>
      <c r="K1913" t="s">
        <v>78</v>
      </c>
      <c r="L1913" t="s">
        <v>198</v>
      </c>
      <c r="M1913" t="s">
        <v>199</v>
      </c>
      <c r="N1913" t="s">
        <v>920</v>
      </c>
      <c r="O1913" t="s">
        <v>82</v>
      </c>
      <c r="P1913" t="str">
        <f>"4170054535                    "</f>
        <v xml:space="preserve">4170054535                    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>
        <v>0</v>
      </c>
      <c r="AJ1913"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0</v>
      </c>
      <c r="AQ1913">
        <v>34.619999999999997</v>
      </c>
      <c r="AR1913">
        <v>0</v>
      </c>
      <c r="AS1913">
        <v>0</v>
      </c>
      <c r="AT1913">
        <v>0</v>
      </c>
      <c r="AU1913">
        <v>0</v>
      </c>
      <c r="AV1913">
        <v>0</v>
      </c>
      <c r="AW1913">
        <v>0</v>
      </c>
      <c r="AX1913">
        <v>0</v>
      </c>
      <c r="AY1913">
        <v>0</v>
      </c>
      <c r="AZ1913">
        <v>0</v>
      </c>
      <c r="BA1913">
        <v>0</v>
      </c>
      <c r="BB1913">
        <v>0</v>
      </c>
      <c r="BC1913">
        <v>0</v>
      </c>
      <c r="BD1913">
        <v>0</v>
      </c>
      <c r="BE1913">
        <v>0</v>
      </c>
      <c r="BF1913">
        <v>0</v>
      </c>
      <c r="BG1913">
        <v>0</v>
      </c>
      <c r="BH1913">
        <v>1</v>
      </c>
      <c r="BI1913">
        <v>3</v>
      </c>
      <c r="BJ1913">
        <v>1.7</v>
      </c>
      <c r="BK1913">
        <v>3</v>
      </c>
      <c r="BL1913">
        <v>107.5</v>
      </c>
      <c r="BM1913">
        <v>16.13</v>
      </c>
      <c r="BN1913">
        <v>123.63</v>
      </c>
      <c r="BO1913">
        <v>123.63</v>
      </c>
      <c r="BQ1913" t="s">
        <v>921</v>
      </c>
      <c r="BR1913" t="s">
        <v>84</v>
      </c>
      <c r="BS1913" s="3">
        <v>45883</v>
      </c>
      <c r="BT1913" s="4">
        <v>0.49236111111111114</v>
      </c>
      <c r="BU1913" t="s">
        <v>1392</v>
      </c>
      <c r="BV1913" t="s">
        <v>90</v>
      </c>
      <c r="BY1913">
        <v>8550</v>
      </c>
      <c r="CA1913" t="s">
        <v>413</v>
      </c>
      <c r="CC1913" t="s">
        <v>199</v>
      </c>
      <c r="CD1913">
        <v>6056</v>
      </c>
      <c r="CE1913" t="s">
        <v>147</v>
      </c>
      <c r="CF1913" s="3">
        <v>45883</v>
      </c>
      <c r="CI1913">
        <v>1</v>
      </c>
      <c r="CJ1913">
        <v>1</v>
      </c>
      <c r="CK1913">
        <v>21</v>
      </c>
      <c r="CL1913" t="s">
        <v>90</v>
      </c>
    </row>
    <row r="1914" spans="1:90" x14ac:dyDescent="0.3">
      <c r="A1914" t="s">
        <v>72</v>
      </c>
      <c r="B1914" t="s">
        <v>73</v>
      </c>
      <c r="C1914" t="s">
        <v>74</v>
      </c>
      <c r="E1914" t="str">
        <f>"080067223044"</f>
        <v>080067223044</v>
      </c>
      <c r="F1914" s="3">
        <v>45882</v>
      </c>
      <c r="G1914">
        <v>202605</v>
      </c>
      <c r="H1914" t="s">
        <v>75</v>
      </c>
      <c r="I1914" t="s">
        <v>76</v>
      </c>
      <c r="J1914" t="s">
        <v>77</v>
      </c>
      <c r="K1914" t="s">
        <v>78</v>
      </c>
      <c r="L1914" t="s">
        <v>123</v>
      </c>
      <c r="M1914" t="s">
        <v>124</v>
      </c>
      <c r="N1914" t="s">
        <v>125</v>
      </c>
      <c r="O1914" t="s">
        <v>82</v>
      </c>
      <c r="P1914" t="str">
        <f>"4170054549                    "</f>
        <v xml:space="preserve">4170054549                    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Q1914">
        <v>23.09</v>
      </c>
      <c r="AR1914">
        <v>0</v>
      </c>
      <c r="AS1914">
        <v>0</v>
      </c>
      <c r="AT1914">
        <v>0</v>
      </c>
      <c r="AU1914">
        <v>0</v>
      </c>
      <c r="AV1914">
        <v>0</v>
      </c>
      <c r="AW1914">
        <v>0</v>
      </c>
      <c r="AX1914">
        <v>0</v>
      </c>
      <c r="AY1914">
        <v>0</v>
      </c>
      <c r="AZ1914">
        <v>0</v>
      </c>
      <c r="BA1914">
        <v>0</v>
      </c>
      <c r="BB1914">
        <v>0</v>
      </c>
      <c r="BC1914">
        <v>0</v>
      </c>
      <c r="BD1914">
        <v>0</v>
      </c>
      <c r="BE1914">
        <v>0</v>
      </c>
      <c r="BF1914">
        <v>0</v>
      </c>
      <c r="BG1914">
        <v>0</v>
      </c>
      <c r="BH1914">
        <v>1</v>
      </c>
      <c r="BI1914">
        <v>1</v>
      </c>
      <c r="BJ1914">
        <v>0.2</v>
      </c>
      <c r="BK1914">
        <v>1</v>
      </c>
      <c r="BL1914">
        <v>71.69</v>
      </c>
      <c r="BM1914">
        <v>10.75</v>
      </c>
      <c r="BN1914">
        <v>82.44</v>
      </c>
      <c r="BO1914">
        <v>82.44</v>
      </c>
      <c r="BQ1914" t="s">
        <v>126</v>
      </c>
      <c r="BR1914" t="s">
        <v>84</v>
      </c>
      <c r="BS1914" s="3">
        <v>45883</v>
      </c>
      <c r="BT1914" s="4">
        <v>0.33888888888888891</v>
      </c>
      <c r="BU1914" t="s">
        <v>605</v>
      </c>
      <c r="BV1914" t="s">
        <v>86</v>
      </c>
      <c r="BY1914">
        <v>1200</v>
      </c>
      <c r="CA1914" t="s">
        <v>128</v>
      </c>
      <c r="CC1914" t="s">
        <v>124</v>
      </c>
      <c r="CD1914">
        <v>7530</v>
      </c>
      <c r="CE1914" t="s">
        <v>109</v>
      </c>
      <c r="CF1914" s="3">
        <v>45884</v>
      </c>
      <c r="CI1914">
        <v>1</v>
      </c>
      <c r="CJ1914">
        <v>1</v>
      </c>
      <c r="CK1914">
        <v>21</v>
      </c>
      <c r="CL1914" t="s">
        <v>90</v>
      </c>
    </row>
    <row r="1915" spans="1:90" x14ac:dyDescent="0.3">
      <c r="A1915" t="s">
        <v>72</v>
      </c>
      <c r="B1915" t="s">
        <v>73</v>
      </c>
      <c r="C1915" t="s">
        <v>74</v>
      </c>
      <c r="E1915" t="str">
        <f>"080067223069"</f>
        <v>080067223069</v>
      </c>
      <c r="F1915" s="3">
        <v>45882</v>
      </c>
      <c r="G1915">
        <v>202605</v>
      </c>
      <c r="H1915" t="s">
        <v>75</v>
      </c>
      <c r="I1915" t="s">
        <v>76</v>
      </c>
      <c r="J1915" t="s">
        <v>77</v>
      </c>
      <c r="K1915" t="s">
        <v>78</v>
      </c>
      <c r="L1915" t="s">
        <v>75</v>
      </c>
      <c r="M1915" t="s">
        <v>76</v>
      </c>
      <c r="N1915" t="s">
        <v>1020</v>
      </c>
      <c r="O1915" t="s">
        <v>82</v>
      </c>
      <c r="P1915" t="str">
        <f>"4170054518                    "</f>
        <v xml:space="preserve">4170054518                    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0</v>
      </c>
      <c r="AI1915">
        <v>0</v>
      </c>
      <c r="AJ1915"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0</v>
      </c>
      <c r="AQ1915">
        <v>18.03</v>
      </c>
      <c r="AR1915">
        <v>0</v>
      </c>
      <c r="AS1915">
        <v>0</v>
      </c>
      <c r="AT1915">
        <v>0</v>
      </c>
      <c r="AU1915">
        <v>0</v>
      </c>
      <c r="AV1915">
        <v>0</v>
      </c>
      <c r="AW1915">
        <v>0</v>
      </c>
      <c r="AX1915">
        <v>0</v>
      </c>
      <c r="AY1915">
        <v>0</v>
      </c>
      <c r="AZ1915">
        <v>0</v>
      </c>
      <c r="BA1915">
        <v>0</v>
      </c>
      <c r="BB1915">
        <v>0</v>
      </c>
      <c r="BC1915">
        <v>0</v>
      </c>
      <c r="BD1915">
        <v>0</v>
      </c>
      <c r="BE1915">
        <v>0</v>
      </c>
      <c r="BF1915">
        <v>0</v>
      </c>
      <c r="BG1915">
        <v>0</v>
      </c>
      <c r="BH1915">
        <v>1</v>
      </c>
      <c r="BI1915">
        <v>1</v>
      </c>
      <c r="BJ1915">
        <v>0.2</v>
      </c>
      <c r="BK1915">
        <v>1</v>
      </c>
      <c r="BL1915">
        <v>55.99</v>
      </c>
      <c r="BM1915">
        <v>8.4</v>
      </c>
      <c r="BN1915">
        <v>64.39</v>
      </c>
      <c r="BO1915">
        <v>64.39</v>
      </c>
      <c r="BQ1915" t="s">
        <v>1021</v>
      </c>
      <c r="BR1915" t="s">
        <v>84</v>
      </c>
      <c r="BS1915" s="3">
        <v>45883</v>
      </c>
      <c r="BT1915" s="4">
        <v>0.39791666666666664</v>
      </c>
      <c r="BU1915" t="s">
        <v>2365</v>
      </c>
      <c r="BV1915" t="s">
        <v>86</v>
      </c>
      <c r="BY1915">
        <v>1200</v>
      </c>
      <c r="CA1915" t="s">
        <v>146</v>
      </c>
      <c r="CC1915" t="s">
        <v>76</v>
      </c>
      <c r="CD1915">
        <v>1645</v>
      </c>
      <c r="CE1915" t="s">
        <v>109</v>
      </c>
      <c r="CF1915" s="3">
        <v>45883</v>
      </c>
      <c r="CI1915">
        <v>1</v>
      </c>
      <c r="CJ1915">
        <v>1</v>
      </c>
      <c r="CK1915">
        <v>22</v>
      </c>
      <c r="CL1915" t="s">
        <v>90</v>
      </c>
    </row>
    <row r="1916" spans="1:90" x14ac:dyDescent="0.3">
      <c r="A1916" t="s">
        <v>72</v>
      </c>
      <c r="B1916" t="s">
        <v>73</v>
      </c>
      <c r="C1916" t="s">
        <v>74</v>
      </c>
      <c r="E1916" t="str">
        <f>"080067223097"</f>
        <v>080067223097</v>
      </c>
      <c r="F1916" s="3">
        <v>45882</v>
      </c>
      <c r="G1916">
        <v>202605</v>
      </c>
      <c r="H1916" t="s">
        <v>75</v>
      </c>
      <c r="I1916" t="s">
        <v>76</v>
      </c>
      <c r="J1916" t="s">
        <v>77</v>
      </c>
      <c r="K1916" t="s">
        <v>78</v>
      </c>
      <c r="L1916" t="s">
        <v>241</v>
      </c>
      <c r="M1916" t="s">
        <v>242</v>
      </c>
      <c r="N1916" t="s">
        <v>717</v>
      </c>
      <c r="O1916" t="s">
        <v>113</v>
      </c>
      <c r="P1916" t="str">
        <f>"4170054495                    "</f>
        <v xml:space="preserve">4170054495                    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0</v>
      </c>
      <c r="AQ1916">
        <v>18.04</v>
      </c>
      <c r="AR1916">
        <v>0</v>
      </c>
      <c r="AS1916">
        <v>0</v>
      </c>
      <c r="AT1916">
        <v>0</v>
      </c>
      <c r="AU1916">
        <v>0</v>
      </c>
      <c r="AV1916">
        <v>0</v>
      </c>
      <c r="AW1916">
        <v>0</v>
      </c>
      <c r="AX1916">
        <v>0</v>
      </c>
      <c r="AY1916">
        <v>0</v>
      </c>
      <c r="AZ1916">
        <v>0</v>
      </c>
      <c r="BA1916">
        <v>0</v>
      </c>
      <c r="BB1916">
        <v>0</v>
      </c>
      <c r="BC1916">
        <v>0</v>
      </c>
      <c r="BD1916">
        <v>0</v>
      </c>
      <c r="BE1916">
        <v>0</v>
      </c>
      <c r="BF1916">
        <v>0</v>
      </c>
      <c r="BG1916">
        <v>0</v>
      </c>
      <c r="BH1916">
        <v>1</v>
      </c>
      <c r="BI1916">
        <v>5</v>
      </c>
      <c r="BJ1916">
        <v>3.5</v>
      </c>
      <c r="BK1916">
        <v>5</v>
      </c>
      <c r="BL1916">
        <v>56.01</v>
      </c>
      <c r="BM1916">
        <v>8.4</v>
      </c>
      <c r="BN1916">
        <v>64.41</v>
      </c>
      <c r="BO1916">
        <v>64.41</v>
      </c>
      <c r="BQ1916" t="s">
        <v>718</v>
      </c>
      <c r="BR1916" t="s">
        <v>84</v>
      </c>
      <c r="BS1916" s="3">
        <v>45883</v>
      </c>
      <c r="BT1916" s="4">
        <v>0.45277777777777778</v>
      </c>
      <c r="BU1916" t="s">
        <v>2543</v>
      </c>
      <c r="BV1916" t="s">
        <v>86</v>
      </c>
      <c r="BY1916">
        <v>17280</v>
      </c>
      <c r="CA1916" t="s">
        <v>720</v>
      </c>
      <c r="CC1916" t="s">
        <v>242</v>
      </c>
      <c r="CD1916">
        <v>1459</v>
      </c>
      <c r="CE1916" t="s">
        <v>117</v>
      </c>
      <c r="CF1916" s="3">
        <v>45883</v>
      </c>
      <c r="CI1916">
        <v>1</v>
      </c>
      <c r="CJ1916">
        <v>1</v>
      </c>
      <c r="CK1916">
        <v>32</v>
      </c>
      <c r="CL1916" t="s">
        <v>90</v>
      </c>
    </row>
    <row r="1917" spans="1:90" x14ac:dyDescent="0.3">
      <c r="A1917" t="s">
        <v>72</v>
      </c>
      <c r="B1917" t="s">
        <v>73</v>
      </c>
      <c r="C1917" t="s">
        <v>74</v>
      </c>
      <c r="E1917" t="str">
        <f>"080067223133"</f>
        <v>080067223133</v>
      </c>
      <c r="F1917" s="3">
        <v>45882</v>
      </c>
      <c r="G1917">
        <v>202605</v>
      </c>
      <c r="H1917" t="s">
        <v>75</v>
      </c>
      <c r="I1917" t="s">
        <v>76</v>
      </c>
      <c r="J1917" t="s">
        <v>77</v>
      </c>
      <c r="K1917" t="s">
        <v>78</v>
      </c>
      <c r="L1917" t="s">
        <v>75</v>
      </c>
      <c r="M1917" t="s">
        <v>76</v>
      </c>
      <c r="N1917" t="s">
        <v>1020</v>
      </c>
      <c r="O1917" t="s">
        <v>82</v>
      </c>
      <c r="P1917" t="str">
        <f>"4170054607                    "</f>
        <v xml:space="preserve">4170054607                    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0</v>
      </c>
      <c r="AQ1917">
        <v>18.03</v>
      </c>
      <c r="AR1917">
        <v>0</v>
      </c>
      <c r="AS1917">
        <v>0</v>
      </c>
      <c r="AT1917">
        <v>0</v>
      </c>
      <c r="AU1917">
        <v>0</v>
      </c>
      <c r="AV1917">
        <v>0</v>
      </c>
      <c r="AW1917">
        <v>0</v>
      </c>
      <c r="AX1917">
        <v>0</v>
      </c>
      <c r="AY1917">
        <v>0</v>
      </c>
      <c r="AZ1917">
        <v>0</v>
      </c>
      <c r="BA1917">
        <v>0</v>
      </c>
      <c r="BB1917">
        <v>0</v>
      </c>
      <c r="BC1917">
        <v>0</v>
      </c>
      <c r="BD1917">
        <v>0</v>
      </c>
      <c r="BE1917">
        <v>0</v>
      </c>
      <c r="BF1917">
        <v>0</v>
      </c>
      <c r="BG1917">
        <v>0</v>
      </c>
      <c r="BH1917">
        <v>1</v>
      </c>
      <c r="BI1917">
        <v>1</v>
      </c>
      <c r="BJ1917">
        <v>0.2</v>
      </c>
      <c r="BK1917">
        <v>1</v>
      </c>
      <c r="BL1917">
        <v>55.99</v>
      </c>
      <c r="BM1917">
        <v>8.4</v>
      </c>
      <c r="BN1917">
        <v>64.39</v>
      </c>
      <c r="BO1917">
        <v>64.39</v>
      </c>
      <c r="BQ1917" t="s">
        <v>1021</v>
      </c>
      <c r="BR1917" t="s">
        <v>84</v>
      </c>
      <c r="BS1917" s="3">
        <v>45883</v>
      </c>
      <c r="BT1917" s="4">
        <v>0.37569444444444444</v>
      </c>
      <c r="BU1917" t="s">
        <v>2544</v>
      </c>
      <c r="BV1917" t="s">
        <v>86</v>
      </c>
      <c r="BY1917">
        <v>1200</v>
      </c>
      <c r="CA1917" t="s">
        <v>146</v>
      </c>
      <c r="CC1917" t="s">
        <v>76</v>
      </c>
      <c r="CD1917">
        <v>1645</v>
      </c>
      <c r="CE1917" t="s">
        <v>109</v>
      </c>
      <c r="CF1917" s="3">
        <v>45883</v>
      </c>
      <c r="CI1917">
        <v>1</v>
      </c>
      <c r="CJ1917">
        <v>1</v>
      </c>
      <c r="CK1917">
        <v>22</v>
      </c>
      <c r="CL1917" t="s">
        <v>90</v>
      </c>
    </row>
    <row r="1918" spans="1:90" x14ac:dyDescent="0.3">
      <c r="A1918" t="s">
        <v>72</v>
      </c>
      <c r="B1918" t="s">
        <v>73</v>
      </c>
      <c r="C1918" t="s">
        <v>74</v>
      </c>
      <c r="E1918" t="str">
        <f>"080067223150"</f>
        <v>080067223150</v>
      </c>
      <c r="F1918" s="3">
        <v>45882</v>
      </c>
      <c r="G1918">
        <v>202605</v>
      </c>
      <c r="H1918" t="s">
        <v>75</v>
      </c>
      <c r="I1918" t="s">
        <v>76</v>
      </c>
      <c r="J1918" t="s">
        <v>77</v>
      </c>
      <c r="K1918" t="s">
        <v>78</v>
      </c>
      <c r="L1918" t="s">
        <v>1157</v>
      </c>
      <c r="M1918" t="s">
        <v>1158</v>
      </c>
      <c r="N1918" t="s">
        <v>2328</v>
      </c>
      <c r="O1918" t="s">
        <v>95</v>
      </c>
      <c r="P1918" t="str">
        <f>"4170054623                    "</f>
        <v xml:space="preserve">4170054623                    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Q1918">
        <v>62.96</v>
      </c>
      <c r="AR1918">
        <v>0</v>
      </c>
      <c r="AS1918">
        <v>0</v>
      </c>
      <c r="AT1918">
        <v>0</v>
      </c>
      <c r="AU1918">
        <v>0</v>
      </c>
      <c r="AV1918">
        <v>0</v>
      </c>
      <c r="AW1918">
        <v>0</v>
      </c>
      <c r="AX1918">
        <v>0</v>
      </c>
      <c r="AY1918">
        <v>0</v>
      </c>
      <c r="AZ1918">
        <v>0</v>
      </c>
      <c r="BA1918">
        <v>0</v>
      </c>
      <c r="BB1918">
        <v>0</v>
      </c>
      <c r="BC1918">
        <v>0</v>
      </c>
      <c r="BD1918">
        <v>0</v>
      </c>
      <c r="BE1918">
        <v>0</v>
      </c>
      <c r="BF1918">
        <v>0</v>
      </c>
      <c r="BG1918">
        <v>0</v>
      </c>
      <c r="BH1918">
        <v>1</v>
      </c>
      <c r="BI1918">
        <v>3</v>
      </c>
      <c r="BJ1918">
        <v>2</v>
      </c>
      <c r="BK1918">
        <v>3</v>
      </c>
      <c r="BL1918">
        <v>201.38</v>
      </c>
      <c r="BM1918">
        <v>30.21</v>
      </c>
      <c r="BN1918">
        <v>231.59</v>
      </c>
      <c r="BO1918">
        <v>231.59</v>
      </c>
      <c r="BQ1918" t="s">
        <v>2329</v>
      </c>
      <c r="BR1918" t="s">
        <v>84</v>
      </c>
      <c r="BS1918" s="3">
        <v>45883</v>
      </c>
      <c r="BT1918" s="4">
        <v>0.40138888888888891</v>
      </c>
      <c r="BU1918" t="s">
        <v>2545</v>
      </c>
      <c r="BV1918" t="s">
        <v>86</v>
      </c>
      <c r="BY1918">
        <v>10108</v>
      </c>
      <c r="CA1918" t="s">
        <v>2172</v>
      </c>
      <c r="CC1918" t="s">
        <v>1158</v>
      </c>
      <c r="CD1918">
        <v>2302</v>
      </c>
      <c r="CE1918" t="s">
        <v>2546</v>
      </c>
      <c r="CF1918" s="3">
        <v>45883</v>
      </c>
      <c r="CI1918">
        <v>1</v>
      </c>
      <c r="CJ1918">
        <v>1</v>
      </c>
      <c r="CK1918">
        <v>43</v>
      </c>
      <c r="CL1918" t="s">
        <v>90</v>
      </c>
    </row>
    <row r="1919" spans="1:90" x14ac:dyDescent="0.3">
      <c r="A1919" t="s">
        <v>72</v>
      </c>
      <c r="B1919" t="s">
        <v>73</v>
      </c>
      <c r="C1919" t="s">
        <v>74</v>
      </c>
      <c r="E1919" t="str">
        <f>"080067223164"</f>
        <v>080067223164</v>
      </c>
      <c r="F1919" s="3">
        <v>45882</v>
      </c>
      <c r="G1919">
        <v>202605</v>
      </c>
      <c r="H1919" t="s">
        <v>75</v>
      </c>
      <c r="I1919" t="s">
        <v>76</v>
      </c>
      <c r="J1919" t="s">
        <v>77</v>
      </c>
      <c r="K1919" t="s">
        <v>78</v>
      </c>
      <c r="L1919" t="s">
        <v>123</v>
      </c>
      <c r="M1919" t="s">
        <v>124</v>
      </c>
      <c r="N1919" t="s">
        <v>1321</v>
      </c>
      <c r="O1919" t="s">
        <v>82</v>
      </c>
      <c r="P1919" t="str">
        <f>"4170054670                    "</f>
        <v xml:space="preserve">4170054670                    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0</v>
      </c>
      <c r="AQ1919">
        <v>23.09</v>
      </c>
      <c r="AR1919">
        <v>0</v>
      </c>
      <c r="AS1919">
        <v>0</v>
      </c>
      <c r="AT1919">
        <v>0</v>
      </c>
      <c r="AU1919">
        <v>0</v>
      </c>
      <c r="AV1919">
        <v>0</v>
      </c>
      <c r="AW1919">
        <v>0</v>
      </c>
      <c r="AX1919">
        <v>0</v>
      </c>
      <c r="AY1919">
        <v>0</v>
      </c>
      <c r="AZ1919">
        <v>0</v>
      </c>
      <c r="BA1919">
        <v>0</v>
      </c>
      <c r="BB1919">
        <v>0</v>
      </c>
      <c r="BC1919">
        <v>0</v>
      </c>
      <c r="BD1919">
        <v>0</v>
      </c>
      <c r="BE1919">
        <v>0</v>
      </c>
      <c r="BF1919">
        <v>0</v>
      </c>
      <c r="BG1919">
        <v>0</v>
      </c>
      <c r="BH1919">
        <v>1</v>
      </c>
      <c r="BI1919">
        <v>1</v>
      </c>
      <c r="BJ1919">
        <v>0.2</v>
      </c>
      <c r="BK1919">
        <v>1</v>
      </c>
      <c r="BL1919">
        <v>71.69</v>
      </c>
      <c r="BM1919">
        <v>10.75</v>
      </c>
      <c r="BN1919">
        <v>82.44</v>
      </c>
      <c r="BO1919">
        <v>82.44</v>
      </c>
      <c r="BQ1919" t="s">
        <v>1322</v>
      </c>
      <c r="BR1919" t="s">
        <v>84</v>
      </c>
      <c r="BS1919" s="3">
        <v>45883</v>
      </c>
      <c r="BT1919" s="4">
        <v>0.34166666666666667</v>
      </c>
      <c r="BU1919" t="s">
        <v>1323</v>
      </c>
      <c r="BV1919" t="s">
        <v>86</v>
      </c>
      <c r="BY1919">
        <v>1200</v>
      </c>
      <c r="CA1919" t="s">
        <v>128</v>
      </c>
      <c r="CC1919" t="s">
        <v>124</v>
      </c>
      <c r="CD1919">
        <v>7530</v>
      </c>
      <c r="CE1919" t="s">
        <v>109</v>
      </c>
      <c r="CF1919" s="3">
        <v>45884</v>
      </c>
      <c r="CI1919">
        <v>1</v>
      </c>
      <c r="CJ1919">
        <v>1</v>
      </c>
      <c r="CK1919">
        <v>21</v>
      </c>
      <c r="CL1919" t="s">
        <v>90</v>
      </c>
    </row>
    <row r="1920" spans="1:90" x14ac:dyDescent="0.3">
      <c r="A1920" t="s">
        <v>72</v>
      </c>
      <c r="B1920" t="s">
        <v>73</v>
      </c>
      <c r="C1920" t="s">
        <v>74</v>
      </c>
      <c r="E1920" t="str">
        <f>"080067223234"</f>
        <v>080067223234</v>
      </c>
      <c r="F1920" s="3">
        <v>45882</v>
      </c>
      <c r="G1920">
        <v>202605</v>
      </c>
      <c r="H1920" t="s">
        <v>75</v>
      </c>
      <c r="I1920" t="s">
        <v>76</v>
      </c>
      <c r="J1920" t="s">
        <v>77</v>
      </c>
      <c r="K1920" t="s">
        <v>78</v>
      </c>
      <c r="L1920" t="s">
        <v>303</v>
      </c>
      <c r="M1920" t="s">
        <v>304</v>
      </c>
      <c r="N1920" t="s">
        <v>840</v>
      </c>
      <c r="O1920" t="s">
        <v>82</v>
      </c>
      <c r="P1920" t="str">
        <f>"4170054625                    "</f>
        <v xml:space="preserve">4170054625                    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0</v>
      </c>
      <c r="AI1920">
        <v>0</v>
      </c>
      <c r="AJ1920">
        <v>0</v>
      </c>
      <c r="AK1920">
        <v>0</v>
      </c>
      <c r="AL1920">
        <v>0</v>
      </c>
      <c r="AM1920">
        <v>0</v>
      </c>
      <c r="AN1920">
        <v>0</v>
      </c>
      <c r="AO1920">
        <v>0</v>
      </c>
      <c r="AP1920">
        <v>0</v>
      </c>
      <c r="AQ1920">
        <v>44.73</v>
      </c>
      <c r="AR1920">
        <v>0</v>
      </c>
      <c r="AS1920">
        <v>0</v>
      </c>
      <c r="AT1920">
        <v>0</v>
      </c>
      <c r="AU1920">
        <v>0</v>
      </c>
      <c r="AV1920">
        <v>0</v>
      </c>
      <c r="AW1920">
        <v>0</v>
      </c>
      <c r="AX1920">
        <v>0</v>
      </c>
      <c r="AY1920">
        <v>0</v>
      </c>
      <c r="AZ1920">
        <v>0</v>
      </c>
      <c r="BA1920">
        <v>0</v>
      </c>
      <c r="BB1920">
        <v>0</v>
      </c>
      <c r="BC1920">
        <v>0</v>
      </c>
      <c r="BD1920">
        <v>0</v>
      </c>
      <c r="BE1920">
        <v>0</v>
      </c>
      <c r="BF1920">
        <v>0</v>
      </c>
      <c r="BG1920">
        <v>0</v>
      </c>
      <c r="BH1920">
        <v>1</v>
      </c>
      <c r="BI1920">
        <v>1</v>
      </c>
      <c r="BJ1920">
        <v>0.2</v>
      </c>
      <c r="BK1920">
        <v>1</v>
      </c>
      <c r="BL1920">
        <v>138.88999999999999</v>
      </c>
      <c r="BM1920">
        <v>20.83</v>
      </c>
      <c r="BN1920">
        <v>159.72</v>
      </c>
      <c r="BO1920">
        <v>159.72</v>
      </c>
      <c r="BQ1920" t="s">
        <v>841</v>
      </c>
      <c r="BR1920" t="s">
        <v>84</v>
      </c>
      <c r="BS1920" s="3">
        <v>45883</v>
      </c>
      <c r="BT1920" s="4">
        <v>0.46597222222222223</v>
      </c>
      <c r="BU1920" t="s">
        <v>1491</v>
      </c>
      <c r="BV1920" t="s">
        <v>86</v>
      </c>
      <c r="BY1920">
        <v>1200</v>
      </c>
      <c r="CA1920" t="s">
        <v>308</v>
      </c>
      <c r="CC1920" t="s">
        <v>304</v>
      </c>
      <c r="CD1920">
        <v>7130</v>
      </c>
      <c r="CE1920" t="s">
        <v>109</v>
      </c>
      <c r="CF1920" s="3">
        <v>45884</v>
      </c>
      <c r="CI1920">
        <v>1</v>
      </c>
      <c r="CJ1920">
        <v>1</v>
      </c>
      <c r="CK1920">
        <v>23</v>
      </c>
      <c r="CL1920" t="s">
        <v>90</v>
      </c>
    </row>
    <row r="1921" spans="1:90" x14ac:dyDescent="0.3">
      <c r="A1921" t="s">
        <v>72</v>
      </c>
      <c r="B1921" t="s">
        <v>73</v>
      </c>
      <c r="C1921" t="s">
        <v>74</v>
      </c>
      <c r="E1921" t="str">
        <f>"080067223218"</f>
        <v>080067223218</v>
      </c>
      <c r="F1921" s="3">
        <v>45882</v>
      </c>
      <c r="G1921">
        <v>202605</v>
      </c>
      <c r="H1921" t="s">
        <v>75</v>
      </c>
      <c r="I1921" t="s">
        <v>76</v>
      </c>
      <c r="J1921" t="s">
        <v>77</v>
      </c>
      <c r="K1921" t="s">
        <v>78</v>
      </c>
      <c r="L1921" t="s">
        <v>123</v>
      </c>
      <c r="M1921" t="s">
        <v>124</v>
      </c>
      <c r="N1921" t="s">
        <v>406</v>
      </c>
      <c r="O1921" t="s">
        <v>82</v>
      </c>
      <c r="P1921" t="str">
        <f>"4170054708                    "</f>
        <v xml:space="preserve">4170054708                    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0</v>
      </c>
      <c r="AI1921">
        <v>0</v>
      </c>
      <c r="AJ1921"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0</v>
      </c>
      <c r="AQ1921">
        <v>23.09</v>
      </c>
      <c r="AR1921">
        <v>0</v>
      </c>
      <c r="AS1921">
        <v>0</v>
      </c>
      <c r="AT1921">
        <v>0</v>
      </c>
      <c r="AU1921">
        <v>0</v>
      </c>
      <c r="AV1921">
        <v>0</v>
      </c>
      <c r="AW1921">
        <v>0</v>
      </c>
      <c r="AX1921">
        <v>0</v>
      </c>
      <c r="AY1921">
        <v>0</v>
      </c>
      <c r="AZ1921">
        <v>0</v>
      </c>
      <c r="BA1921">
        <v>0</v>
      </c>
      <c r="BB1921">
        <v>0</v>
      </c>
      <c r="BC1921">
        <v>0</v>
      </c>
      <c r="BD1921">
        <v>0</v>
      </c>
      <c r="BE1921">
        <v>0</v>
      </c>
      <c r="BF1921">
        <v>0</v>
      </c>
      <c r="BG1921">
        <v>0</v>
      </c>
      <c r="BH1921">
        <v>1</v>
      </c>
      <c r="BI1921">
        <v>1</v>
      </c>
      <c r="BJ1921">
        <v>0.2</v>
      </c>
      <c r="BK1921">
        <v>1</v>
      </c>
      <c r="BL1921">
        <v>71.69</v>
      </c>
      <c r="BM1921">
        <v>10.75</v>
      </c>
      <c r="BN1921">
        <v>82.44</v>
      </c>
      <c r="BO1921">
        <v>82.44</v>
      </c>
      <c r="BQ1921" t="s">
        <v>407</v>
      </c>
      <c r="BR1921" t="s">
        <v>84</v>
      </c>
      <c r="BS1921" s="3">
        <v>45883</v>
      </c>
      <c r="BT1921" s="4">
        <v>0.40486111111111112</v>
      </c>
      <c r="BU1921" t="s">
        <v>2360</v>
      </c>
      <c r="BV1921" t="s">
        <v>86</v>
      </c>
      <c r="BY1921">
        <v>1200</v>
      </c>
      <c r="CA1921" t="s">
        <v>2361</v>
      </c>
      <c r="CC1921" t="s">
        <v>124</v>
      </c>
      <c r="CD1921">
        <v>7441</v>
      </c>
      <c r="CE1921" t="s">
        <v>109</v>
      </c>
      <c r="CF1921" s="3">
        <v>45884</v>
      </c>
      <c r="CI1921">
        <v>1</v>
      </c>
      <c r="CJ1921">
        <v>1</v>
      </c>
      <c r="CK1921">
        <v>21</v>
      </c>
      <c r="CL1921" t="s">
        <v>90</v>
      </c>
    </row>
    <row r="1922" spans="1:90" x14ac:dyDescent="0.3">
      <c r="A1922" t="s">
        <v>72</v>
      </c>
      <c r="B1922" t="s">
        <v>73</v>
      </c>
      <c r="C1922" t="s">
        <v>74</v>
      </c>
      <c r="E1922" t="str">
        <f>"080067223244"</f>
        <v>080067223244</v>
      </c>
      <c r="F1922" s="3">
        <v>45882</v>
      </c>
      <c r="G1922">
        <v>202605</v>
      </c>
      <c r="H1922" t="s">
        <v>75</v>
      </c>
      <c r="I1922" t="s">
        <v>76</v>
      </c>
      <c r="J1922" t="s">
        <v>77</v>
      </c>
      <c r="K1922" t="s">
        <v>78</v>
      </c>
      <c r="L1922" t="s">
        <v>162</v>
      </c>
      <c r="M1922" t="s">
        <v>163</v>
      </c>
      <c r="N1922" t="s">
        <v>1064</v>
      </c>
      <c r="O1922" t="s">
        <v>82</v>
      </c>
      <c r="P1922" t="str">
        <f>"4170054781                    "</f>
        <v xml:space="preserve">4170054781                    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0</v>
      </c>
      <c r="AI1922">
        <v>0</v>
      </c>
      <c r="AJ1922">
        <v>0</v>
      </c>
      <c r="AK1922">
        <v>0</v>
      </c>
      <c r="AL1922">
        <v>0</v>
      </c>
      <c r="AM1922">
        <v>0</v>
      </c>
      <c r="AN1922">
        <v>0</v>
      </c>
      <c r="AO1922">
        <v>0</v>
      </c>
      <c r="AP1922">
        <v>0</v>
      </c>
      <c r="AQ1922">
        <v>126.88</v>
      </c>
      <c r="AR1922">
        <v>0</v>
      </c>
      <c r="AS1922">
        <v>0</v>
      </c>
      <c r="AT1922">
        <v>0</v>
      </c>
      <c r="AU1922">
        <v>0</v>
      </c>
      <c r="AV1922">
        <v>0</v>
      </c>
      <c r="AW1922">
        <v>0</v>
      </c>
      <c r="AX1922">
        <v>0</v>
      </c>
      <c r="AY1922">
        <v>0</v>
      </c>
      <c r="AZ1922">
        <v>0</v>
      </c>
      <c r="BA1922">
        <v>0</v>
      </c>
      <c r="BB1922">
        <v>0</v>
      </c>
      <c r="BC1922">
        <v>0</v>
      </c>
      <c r="BD1922">
        <v>0</v>
      </c>
      <c r="BE1922">
        <v>0</v>
      </c>
      <c r="BF1922">
        <v>0</v>
      </c>
      <c r="BG1922">
        <v>0</v>
      </c>
      <c r="BH1922">
        <v>1</v>
      </c>
      <c r="BI1922">
        <v>11</v>
      </c>
      <c r="BJ1922">
        <v>8.9</v>
      </c>
      <c r="BK1922">
        <v>11</v>
      </c>
      <c r="BL1922">
        <v>394</v>
      </c>
      <c r="BM1922">
        <v>59.1</v>
      </c>
      <c r="BN1922">
        <v>453.1</v>
      </c>
      <c r="BO1922">
        <v>453.1</v>
      </c>
      <c r="BQ1922" t="s">
        <v>1065</v>
      </c>
      <c r="BR1922" t="s">
        <v>84</v>
      </c>
      <c r="BS1922" s="3">
        <v>45883</v>
      </c>
      <c r="BT1922" s="4">
        <v>0.41666666666666669</v>
      </c>
      <c r="BU1922" t="s">
        <v>2462</v>
      </c>
      <c r="BV1922" t="s">
        <v>86</v>
      </c>
      <c r="BY1922">
        <v>44640</v>
      </c>
      <c r="CA1922" t="s">
        <v>919</v>
      </c>
      <c r="CC1922" t="s">
        <v>163</v>
      </c>
      <c r="CD1922">
        <v>3200</v>
      </c>
      <c r="CE1922" t="s">
        <v>147</v>
      </c>
      <c r="CF1922" s="3">
        <v>45884</v>
      </c>
      <c r="CI1922">
        <v>1</v>
      </c>
      <c r="CJ1922">
        <v>1</v>
      </c>
      <c r="CK1922">
        <v>21</v>
      </c>
      <c r="CL1922" t="s">
        <v>90</v>
      </c>
    </row>
    <row r="1923" spans="1:90" x14ac:dyDescent="0.3">
      <c r="A1923" t="s">
        <v>72</v>
      </c>
      <c r="B1923" t="s">
        <v>73</v>
      </c>
      <c r="C1923" t="s">
        <v>74</v>
      </c>
      <c r="E1923" t="str">
        <f>"080067223315"</f>
        <v>080067223315</v>
      </c>
      <c r="F1923" s="3">
        <v>45882</v>
      </c>
      <c r="G1923">
        <v>202605</v>
      </c>
      <c r="H1923" t="s">
        <v>75</v>
      </c>
      <c r="I1923" t="s">
        <v>76</v>
      </c>
      <c r="J1923" t="s">
        <v>77</v>
      </c>
      <c r="K1923" t="s">
        <v>78</v>
      </c>
      <c r="L1923" t="s">
        <v>123</v>
      </c>
      <c r="M1923" t="s">
        <v>124</v>
      </c>
      <c r="N1923" t="s">
        <v>1001</v>
      </c>
      <c r="O1923" t="s">
        <v>82</v>
      </c>
      <c r="P1923" t="str">
        <f>"4170054592                    "</f>
        <v xml:space="preserve">4170054592                    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0</v>
      </c>
      <c r="AI1923">
        <v>0</v>
      </c>
      <c r="AJ1923">
        <v>0</v>
      </c>
      <c r="AK1923">
        <v>0</v>
      </c>
      <c r="AL1923">
        <v>0</v>
      </c>
      <c r="AM1923">
        <v>0</v>
      </c>
      <c r="AN1923">
        <v>0</v>
      </c>
      <c r="AO1923">
        <v>0</v>
      </c>
      <c r="AP1923">
        <v>0</v>
      </c>
      <c r="AQ1923">
        <v>23.09</v>
      </c>
      <c r="AR1923">
        <v>0</v>
      </c>
      <c r="AS1923">
        <v>0</v>
      </c>
      <c r="AT1923">
        <v>0</v>
      </c>
      <c r="AU1923">
        <v>0</v>
      </c>
      <c r="AV1923">
        <v>0</v>
      </c>
      <c r="AW1923">
        <v>0</v>
      </c>
      <c r="AX1923">
        <v>0</v>
      </c>
      <c r="AY1923">
        <v>0</v>
      </c>
      <c r="AZ1923">
        <v>0</v>
      </c>
      <c r="BA1923">
        <v>0</v>
      </c>
      <c r="BB1923">
        <v>0</v>
      </c>
      <c r="BC1923">
        <v>0</v>
      </c>
      <c r="BD1923">
        <v>0</v>
      </c>
      <c r="BE1923">
        <v>0</v>
      </c>
      <c r="BF1923">
        <v>0</v>
      </c>
      <c r="BG1923">
        <v>0</v>
      </c>
      <c r="BH1923">
        <v>1</v>
      </c>
      <c r="BI1923">
        <v>1</v>
      </c>
      <c r="BJ1923">
        <v>0.2</v>
      </c>
      <c r="BK1923">
        <v>1</v>
      </c>
      <c r="BL1923">
        <v>71.69</v>
      </c>
      <c r="BM1923">
        <v>10.75</v>
      </c>
      <c r="BN1923">
        <v>82.44</v>
      </c>
      <c r="BO1923">
        <v>82.44</v>
      </c>
      <c r="BQ1923" t="s">
        <v>1002</v>
      </c>
      <c r="BR1923" t="s">
        <v>84</v>
      </c>
      <c r="BS1923" s="3">
        <v>45883</v>
      </c>
      <c r="BT1923" s="4">
        <v>0.43263888888888891</v>
      </c>
      <c r="BU1923" t="s">
        <v>1482</v>
      </c>
      <c r="BV1923" t="s">
        <v>86</v>
      </c>
      <c r="BY1923">
        <v>1200</v>
      </c>
      <c r="CA1923" t="s">
        <v>1483</v>
      </c>
      <c r="CC1923" t="s">
        <v>124</v>
      </c>
      <c r="CD1923">
        <v>7945</v>
      </c>
      <c r="CE1923" t="s">
        <v>109</v>
      </c>
      <c r="CF1923" s="3">
        <v>45884</v>
      </c>
      <c r="CI1923">
        <v>1</v>
      </c>
      <c r="CJ1923">
        <v>1</v>
      </c>
      <c r="CK1923">
        <v>21</v>
      </c>
      <c r="CL1923" t="s">
        <v>90</v>
      </c>
    </row>
    <row r="1924" spans="1:90" x14ac:dyDescent="0.3">
      <c r="A1924" t="s">
        <v>72</v>
      </c>
      <c r="B1924" t="s">
        <v>73</v>
      </c>
      <c r="C1924" t="s">
        <v>74</v>
      </c>
      <c r="E1924" t="str">
        <f>"080067223316"</f>
        <v>080067223316</v>
      </c>
      <c r="F1924" s="3">
        <v>45882</v>
      </c>
      <c r="G1924">
        <v>202605</v>
      </c>
      <c r="H1924" t="s">
        <v>75</v>
      </c>
      <c r="I1924" t="s">
        <v>76</v>
      </c>
      <c r="J1924" t="s">
        <v>77</v>
      </c>
      <c r="K1924" t="s">
        <v>78</v>
      </c>
      <c r="L1924" t="s">
        <v>123</v>
      </c>
      <c r="M1924" t="s">
        <v>124</v>
      </c>
      <c r="N1924" t="s">
        <v>677</v>
      </c>
      <c r="O1924" t="s">
        <v>82</v>
      </c>
      <c r="P1924" t="str">
        <f>"4170054697                    "</f>
        <v xml:space="preserve">4170054697                    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0</v>
      </c>
      <c r="AQ1924">
        <v>196.08</v>
      </c>
      <c r="AR1924">
        <v>0</v>
      </c>
      <c r="AS1924">
        <v>0</v>
      </c>
      <c r="AT1924">
        <v>0</v>
      </c>
      <c r="AU1924">
        <v>0</v>
      </c>
      <c r="AV1924">
        <v>0</v>
      </c>
      <c r="AW1924">
        <v>0</v>
      </c>
      <c r="AX1924">
        <v>0</v>
      </c>
      <c r="AY1924">
        <v>0</v>
      </c>
      <c r="AZ1924">
        <v>0</v>
      </c>
      <c r="BA1924">
        <v>0</v>
      </c>
      <c r="BB1924">
        <v>0</v>
      </c>
      <c r="BC1924">
        <v>0</v>
      </c>
      <c r="BD1924">
        <v>0</v>
      </c>
      <c r="BE1924">
        <v>0</v>
      </c>
      <c r="BF1924">
        <v>0</v>
      </c>
      <c r="BG1924">
        <v>0</v>
      </c>
      <c r="BH1924">
        <v>1</v>
      </c>
      <c r="BI1924">
        <v>17</v>
      </c>
      <c r="BJ1924">
        <v>10</v>
      </c>
      <c r="BK1924">
        <v>17</v>
      </c>
      <c r="BL1924">
        <v>608.88</v>
      </c>
      <c r="BM1924">
        <v>91.33</v>
      </c>
      <c r="BN1924">
        <v>700.21</v>
      </c>
      <c r="BO1924">
        <v>700.21</v>
      </c>
      <c r="BQ1924" t="s">
        <v>678</v>
      </c>
      <c r="BR1924" t="s">
        <v>84</v>
      </c>
      <c r="BS1924" s="3">
        <v>45883</v>
      </c>
      <c r="BT1924" s="4">
        <v>0.42708333333333331</v>
      </c>
      <c r="BU1924" t="s">
        <v>2390</v>
      </c>
      <c r="BV1924" t="s">
        <v>86</v>
      </c>
      <c r="BY1924">
        <v>50160</v>
      </c>
      <c r="CA1924" t="s">
        <v>171</v>
      </c>
      <c r="CC1924" t="s">
        <v>124</v>
      </c>
      <c r="CD1924">
        <v>7530</v>
      </c>
      <c r="CE1924" t="s">
        <v>147</v>
      </c>
      <c r="CF1924" s="3">
        <v>45884</v>
      </c>
      <c r="CI1924">
        <v>1</v>
      </c>
      <c r="CJ1924">
        <v>1</v>
      </c>
      <c r="CK1924">
        <v>21</v>
      </c>
      <c r="CL1924" t="s">
        <v>90</v>
      </c>
    </row>
    <row r="1925" spans="1:90" x14ac:dyDescent="0.3">
      <c r="A1925" t="s">
        <v>72</v>
      </c>
      <c r="B1925" t="s">
        <v>73</v>
      </c>
      <c r="C1925" t="s">
        <v>74</v>
      </c>
      <c r="E1925" t="str">
        <f>"080067223292"</f>
        <v>080067223292</v>
      </c>
      <c r="F1925" s="3">
        <v>45882</v>
      </c>
      <c r="G1925">
        <v>202605</v>
      </c>
      <c r="H1925" t="s">
        <v>75</v>
      </c>
      <c r="I1925" t="s">
        <v>76</v>
      </c>
      <c r="J1925" t="s">
        <v>77</v>
      </c>
      <c r="K1925" t="s">
        <v>78</v>
      </c>
      <c r="L1925" t="s">
        <v>162</v>
      </c>
      <c r="M1925" t="s">
        <v>163</v>
      </c>
      <c r="N1925" t="s">
        <v>1064</v>
      </c>
      <c r="O1925" t="s">
        <v>82</v>
      </c>
      <c r="P1925" t="str">
        <f>"4170054446                    "</f>
        <v xml:space="preserve">4170054446                    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Q1925">
        <v>23.09</v>
      </c>
      <c r="AR1925">
        <v>0</v>
      </c>
      <c r="AS1925">
        <v>0</v>
      </c>
      <c r="AT1925">
        <v>0</v>
      </c>
      <c r="AU1925">
        <v>0</v>
      </c>
      <c r="AV1925">
        <v>0</v>
      </c>
      <c r="AW1925">
        <v>0</v>
      </c>
      <c r="AX1925">
        <v>0</v>
      </c>
      <c r="AY1925">
        <v>0</v>
      </c>
      <c r="AZ1925">
        <v>0</v>
      </c>
      <c r="BA1925">
        <v>0</v>
      </c>
      <c r="BB1925">
        <v>0</v>
      </c>
      <c r="BC1925">
        <v>0</v>
      </c>
      <c r="BD1925">
        <v>0</v>
      </c>
      <c r="BE1925">
        <v>0</v>
      </c>
      <c r="BF1925">
        <v>0</v>
      </c>
      <c r="BG1925">
        <v>0</v>
      </c>
      <c r="BH1925">
        <v>1</v>
      </c>
      <c r="BI1925">
        <v>1</v>
      </c>
      <c r="BJ1925">
        <v>0.2</v>
      </c>
      <c r="BK1925">
        <v>1</v>
      </c>
      <c r="BL1925">
        <v>71.69</v>
      </c>
      <c r="BM1925">
        <v>10.75</v>
      </c>
      <c r="BN1925">
        <v>82.44</v>
      </c>
      <c r="BO1925">
        <v>82.44</v>
      </c>
      <c r="BQ1925" t="s">
        <v>1065</v>
      </c>
      <c r="BR1925" t="s">
        <v>84</v>
      </c>
      <c r="BS1925" s="3">
        <v>45883</v>
      </c>
      <c r="BT1925" s="4">
        <v>0.41666666666666669</v>
      </c>
      <c r="BU1925" t="s">
        <v>2462</v>
      </c>
      <c r="BV1925" t="s">
        <v>86</v>
      </c>
      <c r="BY1925">
        <v>1200</v>
      </c>
      <c r="CA1925" t="s">
        <v>919</v>
      </c>
      <c r="CC1925" t="s">
        <v>163</v>
      </c>
      <c r="CD1925">
        <v>3200</v>
      </c>
      <c r="CE1925" t="s">
        <v>109</v>
      </c>
      <c r="CF1925" s="3">
        <v>45884</v>
      </c>
      <c r="CI1925">
        <v>1</v>
      </c>
      <c r="CJ1925">
        <v>1</v>
      </c>
      <c r="CK1925">
        <v>21</v>
      </c>
      <c r="CL1925" t="s">
        <v>90</v>
      </c>
    </row>
    <row r="1926" spans="1:90" x14ac:dyDescent="0.3">
      <c r="A1926" t="s">
        <v>72</v>
      </c>
      <c r="B1926" t="s">
        <v>73</v>
      </c>
      <c r="C1926" t="s">
        <v>74</v>
      </c>
      <c r="E1926" t="str">
        <f>"080067223353"</f>
        <v>080067223353</v>
      </c>
      <c r="F1926" s="3">
        <v>45882</v>
      </c>
      <c r="G1926">
        <v>202605</v>
      </c>
      <c r="H1926" t="s">
        <v>75</v>
      </c>
      <c r="I1926" t="s">
        <v>76</v>
      </c>
      <c r="J1926" t="s">
        <v>77</v>
      </c>
      <c r="K1926" t="s">
        <v>78</v>
      </c>
      <c r="L1926" t="s">
        <v>75</v>
      </c>
      <c r="M1926" t="s">
        <v>76</v>
      </c>
      <c r="N1926" t="s">
        <v>537</v>
      </c>
      <c r="O1926" t="s">
        <v>82</v>
      </c>
      <c r="P1926" t="str">
        <f>"4170054674                    "</f>
        <v xml:space="preserve">4170054674                    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0</v>
      </c>
      <c r="AI1926">
        <v>0</v>
      </c>
      <c r="AJ1926">
        <v>0</v>
      </c>
      <c r="AK1926">
        <v>0</v>
      </c>
      <c r="AL1926">
        <v>0</v>
      </c>
      <c r="AM1926">
        <v>0</v>
      </c>
      <c r="AN1926">
        <v>0</v>
      </c>
      <c r="AO1926">
        <v>0</v>
      </c>
      <c r="AP1926">
        <v>0</v>
      </c>
      <c r="AQ1926">
        <v>18.03</v>
      </c>
      <c r="AR1926">
        <v>0</v>
      </c>
      <c r="AS1926">
        <v>0</v>
      </c>
      <c r="AT1926">
        <v>0</v>
      </c>
      <c r="AU1926">
        <v>0</v>
      </c>
      <c r="AV1926">
        <v>0</v>
      </c>
      <c r="AW1926">
        <v>0</v>
      </c>
      <c r="AX1926">
        <v>0</v>
      </c>
      <c r="AY1926">
        <v>0</v>
      </c>
      <c r="AZ1926">
        <v>0</v>
      </c>
      <c r="BA1926">
        <v>0</v>
      </c>
      <c r="BB1926">
        <v>0</v>
      </c>
      <c r="BC1926">
        <v>0</v>
      </c>
      <c r="BD1926">
        <v>0</v>
      </c>
      <c r="BE1926">
        <v>0</v>
      </c>
      <c r="BF1926">
        <v>0</v>
      </c>
      <c r="BG1926">
        <v>0</v>
      </c>
      <c r="BH1926">
        <v>1</v>
      </c>
      <c r="BI1926">
        <v>1</v>
      </c>
      <c r="BJ1926">
        <v>0.2</v>
      </c>
      <c r="BK1926">
        <v>1</v>
      </c>
      <c r="BL1926">
        <v>55.99</v>
      </c>
      <c r="BM1926">
        <v>8.4</v>
      </c>
      <c r="BN1926">
        <v>64.39</v>
      </c>
      <c r="BO1926">
        <v>64.39</v>
      </c>
      <c r="BQ1926" t="s">
        <v>538</v>
      </c>
      <c r="BR1926" t="s">
        <v>84</v>
      </c>
      <c r="BS1926" s="3">
        <v>45883</v>
      </c>
      <c r="BT1926" s="4">
        <v>0.38333333333333336</v>
      </c>
      <c r="BU1926" t="s">
        <v>2455</v>
      </c>
      <c r="BV1926" t="s">
        <v>86</v>
      </c>
      <c r="BY1926">
        <v>1200</v>
      </c>
      <c r="CA1926" t="s">
        <v>540</v>
      </c>
      <c r="CC1926" t="s">
        <v>76</v>
      </c>
      <c r="CD1926">
        <v>1619</v>
      </c>
      <c r="CE1926" t="s">
        <v>109</v>
      </c>
      <c r="CF1926" s="3">
        <v>45883</v>
      </c>
      <c r="CI1926">
        <v>1</v>
      </c>
      <c r="CJ1926">
        <v>1</v>
      </c>
      <c r="CK1926">
        <v>22</v>
      </c>
      <c r="CL1926" t="s">
        <v>90</v>
      </c>
    </row>
    <row r="1927" spans="1:90" x14ac:dyDescent="0.3">
      <c r="A1927" t="s">
        <v>72</v>
      </c>
      <c r="B1927" t="s">
        <v>73</v>
      </c>
      <c r="C1927" t="s">
        <v>74</v>
      </c>
      <c r="E1927" t="str">
        <f>"080067223371"</f>
        <v>080067223371</v>
      </c>
      <c r="F1927" s="3">
        <v>45882</v>
      </c>
      <c r="G1927">
        <v>202605</v>
      </c>
      <c r="H1927" t="s">
        <v>75</v>
      </c>
      <c r="I1927" t="s">
        <v>76</v>
      </c>
      <c r="J1927" t="s">
        <v>77</v>
      </c>
      <c r="K1927" t="s">
        <v>78</v>
      </c>
      <c r="L1927" t="s">
        <v>672</v>
      </c>
      <c r="M1927" t="s">
        <v>673</v>
      </c>
      <c r="N1927" t="s">
        <v>992</v>
      </c>
      <c r="O1927" t="s">
        <v>82</v>
      </c>
      <c r="P1927" t="str">
        <f>"4170054557                    "</f>
        <v xml:space="preserve">4170054557                    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0</v>
      </c>
      <c r="AI1927">
        <v>0</v>
      </c>
      <c r="AJ1927"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Q1927">
        <v>44.73</v>
      </c>
      <c r="AR1927">
        <v>0</v>
      </c>
      <c r="AS1927">
        <v>0</v>
      </c>
      <c r="AT1927">
        <v>0</v>
      </c>
      <c r="AU1927">
        <v>0</v>
      </c>
      <c r="AV1927">
        <v>0</v>
      </c>
      <c r="AW1927">
        <v>0</v>
      </c>
      <c r="AX1927">
        <v>0</v>
      </c>
      <c r="AY1927">
        <v>0</v>
      </c>
      <c r="AZ1927">
        <v>0</v>
      </c>
      <c r="BA1927">
        <v>0</v>
      </c>
      <c r="BB1927">
        <v>0</v>
      </c>
      <c r="BC1927">
        <v>0</v>
      </c>
      <c r="BD1927">
        <v>0</v>
      </c>
      <c r="BE1927">
        <v>0</v>
      </c>
      <c r="BF1927">
        <v>0</v>
      </c>
      <c r="BG1927">
        <v>0</v>
      </c>
      <c r="BH1927">
        <v>1</v>
      </c>
      <c r="BI1927">
        <v>1</v>
      </c>
      <c r="BJ1927">
        <v>0.2</v>
      </c>
      <c r="BK1927">
        <v>1</v>
      </c>
      <c r="BL1927">
        <v>138.88999999999999</v>
      </c>
      <c r="BM1927">
        <v>20.83</v>
      </c>
      <c r="BN1927">
        <v>159.72</v>
      </c>
      <c r="BO1927">
        <v>159.72</v>
      </c>
      <c r="BQ1927" t="s">
        <v>993</v>
      </c>
      <c r="BR1927" t="s">
        <v>84</v>
      </c>
      <c r="BS1927" s="3">
        <v>45884</v>
      </c>
      <c r="BT1927" s="4">
        <v>0.66666666666666663</v>
      </c>
      <c r="BU1927" t="s">
        <v>805</v>
      </c>
      <c r="BV1927" t="s">
        <v>86</v>
      </c>
      <c r="BY1927">
        <v>1200</v>
      </c>
      <c r="CA1927" t="s">
        <v>806</v>
      </c>
      <c r="CC1927" t="s">
        <v>673</v>
      </c>
      <c r="CD1927">
        <v>3370</v>
      </c>
      <c r="CE1927" t="s">
        <v>109</v>
      </c>
      <c r="CF1927" s="3">
        <v>45887</v>
      </c>
      <c r="CI1927">
        <v>2</v>
      </c>
      <c r="CJ1927">
        <v>2</v>
      </c>
      <c r="CK1927">
        <v>23</v>
      </c>
      <c r="CL1927" t="s">
        <v>90</v>
      </c>
    </row>
    <row r="1928" spans="1:90" x14ac:dyDescent="0.3">
      <c r="A1928" t="s">
        <v>72</v>
      </c>
      <c r="B1928" t="s">
        <v>73</v>
      </c>
      <c r="C1928" t="s">
        <v>74</v>
      </c>
      <c r="E1928" t="str">
        <f>"080067223392"</f>
        <v>080067223392</v>
      </c>
      <c r="F1928" s="3">
        <v>45882</v>
      </c>
      <c r="G1928">
        <v>202605</v>
      </c>
      <c r="H1928" t="s">
        <v>75</v>
      </c>
      <c r="I1928" t="s">
        <v>76</v>
      </c>
      <c r="J1928" t="s">
        <v>77</v>
      </c>
      <c r="K1928" t="s">
        <v>78</v>
      </c>
      <c r="L1928" t="s">
        <v>123</v>
      </c>
      <c r="M1928" t="s">
        <v>124</v>
      </c>
      <c r="N1928" t="s">
        <v>2547</v>
      </c>
      <c r="O1928" t="s">
        <v>82</v>
      </c>
      <c r="P1928" t="str">
        <f>"4170054703                    "</f>
        <v xml:space="preserve">4170054703                    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0</v>
      </c>
      <c r="AI1928">
        <v>0</v>
      </c>
      <c r="AJ1928">
        <v>0</v>
      </c>
      <c r="AK1928">
        <v>0</v>
      </c>
      <c r="AL1928">
        <v>0</v>
      </c>
      <c r="AM1928">
        <v>0</v>
      </c>
      <c r="AN1928">
        <v>0</v>
      </c>
      <c r="AO1928">
        <v>0</v>
      </c>
      <c r="AP1928">
        <v>0</v>
      </c>
      <c r="AQ1928">
        <v>207.61</v>
      </c>
      <c r="AR1928">
        <v>0</v>
      </c>
      <c r="AS1928">
        <v>0</v>
      </c>
      <c r="AT1928">
        <v>0</v>
      </c>
      <c r="AU1928">
        <v>0</v>
      </c>
      <c r="AV1928">
        <v>0</v>
      </c>
      <c r="AW1928">
        <v>0</v>
      </c>
      <c r="AX1928">
        <v>0</v>
      </c>
      <c r="AY1928">
        <v>0</v>
      </c>
      <c r="AZ1928">
        <v>0</v>
      </c>
      <c r="BA1928">
        <v>0</v>
      </c>
      <c r="BB1928">
        <v>0</v>
      </c>
      <c r="BC1928">
        <v>0</v>
      </c>
      <c r="BD1928">
        <v>0</v>
      </c>
      <c r="BE1928">
        <v>0</v>
      </c>
      <c r="BF1928">
        <v>0</v>
      </c>
      <c r="BG1928">
        <v>0</v>
      </c>
      <c r="BH1928">
        <v>2</v>
      </c>
      <c r="BI1928">
        <v>18</v>
      </c>
      <c r="BJ1928">
        <v>9.6</v>
      </c>
      <c r="BK1928">
        <v>18</v>
      </c>
      <c r="BL1928">
        <v>644.69000000000005</v>
      </c>
      <c r="BM1928">
        <v>96.7</v>
      </c>
      <c r="BN1928">
        <v>741.39</v>
      </c>
      <c r="BO1928">
        <v>741.39</v>
      </c>
      <c r="BQ1928" t="s">
        <v>2548</v>
      </c>
      <c r="BR1928" t="s">
        <v>84</v>
      </c>
      <c r="BS1928" s="3">
        <v>45883</v>
      </c>
      <c r="BT1928" s="4">
        <v>0.42638888888888887</v>
      </c>
      <c r="BU1928" t="s">
        <v>2549</v>
      </c>
      <c r="BV1928" t="s">
        <v>86</v>
      </c>
      <c r="BY1928">
        <v>23987</v>
      </c>
      <c r="CA1928" t="s">
        <v>128</v>
      </c>
      <c r="CC1928" t="s">
        <v>124</v>
      </c>
      <c r="CD1928">
        <v>7560</v>
      </c>
      <c r="CE1928" t="s">
        <v>1095</v>
      </c>
      <c r="CF1928" s="3">
        <v>45884</v>
      </c>
      <c r="CI1928">
        <v>1</v>
      </c>
      <c r="CJ1928">
        <v>1</v>
      </c>
      <c r="CK1928">
        <v>21</v>
      </c>
      <c r="CL1928" t="s">
        <v>90</v>
      </c>
    </row>
    <row r="1929" spans="1:90" x14ac:dyDescent="0.3">
      <c r="A1929" t="s">
        <v>72</v>
      </c>
      <c r="B1929" t="s">
        <v>73</v>
      </c>
      <c r="C1929" t="s">
        <v>74</v>
      </c>
      <c r="E1929" t="str">
        <f>"080067223406"</f>
        <v>080067223406</v>
      </c>
      <c r="F1929" s="3">
        <v>45882</v>
      </c>
      <c r="G1929">
        <v>202605</v>
      </c>
      <c r="H1929" t="s">
        <v>75</v>
      </c>
      <c r="I1929" t="s">
        <v>76</v>
      </c>
      <c r="J1929" t="s">
        <v>77</v>
      </c>
      <c r="K1929" t="s">
        <v>78</v>
      </c>
      <c r="L1929" t="s">
        <v>162</v>
      </c>
      <c r="M1929" t="s">
        <v>163</v>
      </c>
      <c r="N1929" t="s">
        <v>164</v>
      </c>
      <c r="O1929" t="s">
        <v>82</v>
      </c>
      <c r="P1929" t="str">
        <f>"4170054578                    "</f>
        <v xml:space="preserve">4170054578                    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Q1929">
        <v>23.09</v>
      </c>
      <c r="AR1929">
        <v>0</v>
      </c>
      <c r="AS1929">
        <v>0</v>
      </c>
      <c r="AT1929">
        <v>0</v>
      </c>
      <c r="AU1929">
        <v>0</v>
      </c>
      <c r="AV1929">
        <v>0</v>
      </c>
      <c r="AW1929">
        <v>0</v>
      </c>
      <c r="AX1929">
        <v>0</v>
      </c>
      <c r="AY1929">
        <v>0</v>
      </c>
      <c r="AZ1929">
        <v>0</v>
      </c>
      <c r="BA1929">
        <v>0</v>
      </c>
      <c r="BB1929">
        <v>0</v>
      </c>
      <c r="BC1929">
        <v>0</v>
      </c>
      <c r="BD1929">
        <v>0</v>
      </c>
      <c r="BE1929">
        <v>0</v>
      </c>
      <c r="BF1929">
        <v>0</v>
      </c>
      <c r="BG1929">
        <v>0</v>
      </c>
      <c r="BH1929">
        <v>1</v>
      </c>
      <c r="BI1929">
        <v>1</v>
      </c>
      <c r="BJ1929">
        <v>0.2</v>
      </c>
      <c r="BK1929">
        <v>1</v>
      </c>
      <c r="BL1929">
        <v>71.69</v>
      </c>
      <c r="BM1929">
        <v>10.75</v>
      </c>
      <c r="BN1929">
        <v>82.44</v>
      </c>
      <c r="BO1929">
        <v>82.44</v>
      </c>
      <c r="BQ1929" t="s">
        <v>165</v>
      </c>
      <c r="BR1929" t="s">
        <v>84</v>
      </c>
      <c r="BS1929" s="3">
        <v>45883</v>
      </c>
      <c r="BT1929" s="4">
        <v>0.41666666666666669</v>
      </c>
      <c r="BU1929" t="s">
        <v>166</v>
      </c>
      <c r="BV1929" t="s">
        <v>86</v>
      </c>
      <c r="BY1929">
        <v>1200</v>
      </c>
      <c r="CA1929" t="s">
        <v>167</v>
      </c>
      <c r="CC1929" t="s">
        <v>163</v>
      </c>
      <c r="CD1929">
        <v>3212</v>
      </c>
      <c r="CE1929" t="s">
        <v>109</v>
      </c>
      <c r="CF1929" s="3">
        <v>45883</v>
      </c>
      <c r="CI1929">
        <v>2</v>
      </c>
      <c r="CJ1929">
        <v>1</v>
      </c>
      <c r="CK1929">
        <v>21</v>
      </c>
      <c r="CL1929" t="s">
        <v>90</v>
      </c>
    </row>
    <row r="1930" spans="1:90" x14ac:dyDescent="0.3">
      <c r="A1930" t="s">
        <v>72</v>
      </c>
      <c r="B1930" t="s">
        <v>73</v>
      </c>
      <c r="C1930" t="s">
        <v>74</v>
      </c>
      <c r="E1930" t="str">
        <f>"080067223429"</f>
        <v>080067223429</v>
      </c>
      <c r="F1930" s="3">
        <v>45882</v>
      </c>
      <c r="G1930">
        <v>202605</v>
      </c>
      <c r="H1930" t="s">
        <v>75</v>
      </c>
      <c r="I1930" t="s">
        <v>76</v>
      </c>
      <c r="J1930" t="s">
        <v>77</v>
      </c>
      <c r="K1930" t="s">
        <v>78</v>
      </c>
      <c r="L1930" t="s">
        <v>156</v>
      </c>
      <c r="M1930" t="s">
        <v>157</v>
      </c>
      <c r="N1930" t="s">
        <v>1287</v>
      </c>
      <c r="O1930" t="s">
        <v>82</v>
      </c>
      <c r="P1930" t="str">
        <f>"4170054652                    "</f>
        <v xml:space="preserve">4170054652                    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0</v>
      </c>
      <c r="AI1930">
        <v>0</v>
      </c>
      <c r="AJ1930"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Q1930">
        <v>18.03</v>
      </c>
      <c r="AR1930">
        <v>0</v>
      </c>
      <c r="AS1930">
        <v>0</v>
      </c>
      <c r="AT1930">
        <v>0</v>
      </c>
      <c r="AU1930">
        <v>0</v>
      </c>
      <c r="AV1930">
        <v>0</v>
      </c>
      <c r="AW1930">
        <v>0</v>
      </c>
      <c r="AX1930">
        <v>0</v>
      </c>
      <c r="AY1930">
        <v>0</v>
      </c>
      <c r="AZ1930">
        <v>0</v>
      </c>
      <c r="BA1930">
        <v>0</v>
      </c>
      <c r="BB1930">
        <v>0</v>
      </c>
      <c r="BC1930">
        <v>0</v>
      </c>
      <c r="BD1930">
        <v>0</v>
      </c>
      <c r="BE1930">
        <v>0</v>
      </c>
      <c r="BF1930">
        <v>0</v>
      </c>
      <c r="BG1930">
        <v>0</v>
      </c>
      <c r="BH1930">
        <v>1</v>
      </c>
      <c r="BI1930">
        <v>1</v>
      </c>
      <c r="BJ1930">
        <v>0.2</v>
      </c>
      <c r="BK1930">
        <v>1</v>
      </c>
      <c r="BL1930">
        <v>55.99</v>
      </c>
      <c r="BM1930">
        <v>8.4</v>
      </c>
      <c r="BN1930">
        <v>64.39</v>
      </c>
      <c r="BO1930">
        <v>64.39</v>
      </c>
      <c r="BQ1930" t="s">
        <v>1288</v>
      </c>
      <c r="BR1930" t="s">
        <v>84</v>
      </c>
      <c r="BS1930" s="3">
        <v>45883</v>
      </c>
      <c r="BT1930" s="4">
        <v>0.36527777777777776</v>
      </c>
      <c r="BU1930" t="s">
        <v>1289</v>
      </c>
      <c r="BV1930" t="s">
        <v>86</v>
      </c>
      <c r="BY1930">
        <v>1200</v>
      </c>
      <c r="CA1930" t="s">
        <v>272</v>
      </c>
      <c r="CC1930" t="s">
        <v>157</v>
      </c>
      <c r="CD1930">
        <v>1724</v>
      </c>
      <c r="CE1930" t="s">
        <v>109</v>
      </c>
      <c r="CF1930" s="3">
        <v>45884</v>
      </c>
      <c r="CI1930">
        <v>1</v>
      </c>
      <c r="CJ1930">
        <v>1</v>
      </c>
      <c r="CK1930">
        <v>22</v>
      </c>
      <c r="CL1930" t="s">
        <v>90</v>
      </c>
    </row>
    <row r="1931" spans="1:90" x14ac:dyDescent="0.3">
      <c r="A1931" t="s">
        <v>72</v>
      </c>
      <c r="B1931" t="s">
        <v>73</v>
      </c>
      <c r="C1931" t="s">
        <v>74</v>
      </c>
      <c r="E1931" t="str">
        <f>"080067223425"</f>
        <v>080067223425</v>
      </c>
      <c r="F1931" s="3">
        <v>45882</v>
      </c>
      <c r="G1931">
        <v>202605</v>
      </c>
      <c r="H1931" t="s">
        <v>75</v>
      </c>
      <c r="I1931" t="s">
        <v>76</v>
      </c>
      <c r="J1931" t="s">
        <v>77</v>
      </c>
      <c r="K1931" t="s">
        <v>78</v>
      </c>
      <c r="L1931" t="s">
        <v>162</v>
      </c>
      <c r="M1931" t="s">
        <v>163</v>
      </c>
      <c r="N1931" t="s">
        <v>246</v>
      </c>
      <c r="O1931" t="s">
        <v>82</v>
      </c>
      <c r="P1931" t="str">
        <f>"4170054715                    "</f>
        <v xml:space="preserve">4170054715                    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0</v>
      </c>
      <c r="AI1931">
        <v>0</v>
      </c>
      <c r="AJ1931"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0</v>
      </c>
      <c r="AQ1931">
        <v>57.68</v>
      </c>
      <c r="AR1931">
        <v>0</v>
      </c>
      <c r="AS1931">
        <v>0</v>
      </c>
      <c r="AT1931">
        <v>0</v>
      </c>
      <c r="AU1931">
        <v>0</v>
      </c>
      <c r="AV1931">
        <v>0</v>
      </c>
      <c r="AW1931">
        <v>0</v>
      </c>
      <c r="AX1931">
        <v>0</v>
      </c>
      <c r="AY1931">
        <v>0</v>
      </c>
      <c r="AZ1931">
        <v>0</v>
      </c>
      <c r="BA1931">
        <v>0</v>
      </c>
      <c r="BB1931">
        <v>0</v>
      </c>
      <c r="BC1931">
        <v>0</v>
      </c>
      <c r="BD1931">
        <v>0</v>
      </c>
      <c r="BE1931">
        <v>0</v>
      </c>
      <c r="BF1931">
        <v>0</v>
      </c>
      <c r="BG1931">
        <v>0</v>
      </c>
      <c r="BH1931">
        <v>1</v>
      </c>
      <c r="BI1931">
        <v>3</v>
      </c>
      <c r="BJ1931">
        <v>4.8</v>
      </c>
      <c r="BK1931">
        <v>5</v>
      </c>
      <c r="BL1931">
        <v>179.12</v>
      </c>
      <c r="BM1931">
        <v>26.87</v>
      </c>
      <c r="BN1931">
        <v>205.99</v>
      </c>
      <c r="BO1931">
        <v>205.99</v>
      </c>
      <c r="BQ1931" t="s">
        <v>247</v>
      </c>
      <c r="BR1931" t="s">
        <v>84</v>
      </c>
      <c r="BS1931" s="3">
        <v>45883</v>
      </c>
      <c r="BT1931" s="4">
        <v>0.41666666666666669</v>
      </c>
      <c r="BU1931" t="s">
        <v>485</v>
      </c>
      <c r="BV1931" t="s">
        <v>86</v>
      </c>
      <c r="BY1931">
        <v>23751</v>
      </c>
      <c r="CC1931" t="s">
        <v>163</v>
      </c>
      <c r="CD1931">
        <v>3201</v>
      </c>
      <c r="CE1931" t="s">
        <v>147</v>
      </c>
      <c r="CF1931" s="3">
        <v>45884</v>
      </c>
      <c r="CI1931">
        <v>1</v>
      </c>
      <c r="CJ1931">
        <v>1</v>
      </c>
      <c r="CK1931">
        <v>21</v>
      </c>
      <c r="CL1931" t="s">
        <v>90</v>
      </c>
    </row>
    <row r="1932" spans="1:90" x14ac:dyDescent="0.3">
      <c r="A1932" t="s">
        <v>72</v>
      </c>
      <c r="B1932" t="s">
        <v>73</v>
      </c>
      <c r="C1932" t="s">
        <v>74</v>
      </c>
      <c r="E1932" t="str">
        <f>"080067223457"</f>
        <v>080067223457</v>
      </c>
      <c r="F1932" s="3">
        <v>45882</v>
      </c>
      <c r="G1932">
        <v>202605</v>
      </c>
      <c r="H1932" t="s">
        <v>75</v>
      </c>
      <c r="I1932" t="s">
        <v>76</v>
      </c>
      <c r="J1932" t="s">
        <v>77</v>
      </c>
      <c r="K1932" t="s">
        <v>78</v>
      </c>
      <c r="L1932" t="s">
        <v>75</v>
      </c>
      <c r="M1932" t="s">
        <v>76</v>
      </c>
      <c r="N1932" t="s">
        <v>152</v>
      </c>
      <c r="O1932" t="s">
        <v>82</v>
      </c>
      <c r="P1932" t="str">
        <f>"4170054643                    "</f>
        <v xml:space="preserve">4170054643                    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Q1932">
        <v>18.03</v>
      </c>
      <c r="AR1932">
        <v>0</v>
      </c>
      <c r="AS1932">
        <v>0</v>
      </c>
      <c r="AT1932">
        <v>0</v>
      </c>
      <c r="AU1932">
        <v>0</v>
      </c>
      <c r="AV1932">
        <v>0</v>
      </c>
      <c r="AW1932">
        <v>0</v>
      </c>
      <c r="AX1932">
        <v>0</v>
      </c>
      <c r="AY1932">
        <v>0</v>
      </c>
      <c r="AZ1932">
        <v>0</v>
      </c>
      <c r="BA1932">
        <v>0</v>
      </c>
      <c r="BB1932">
        <v>0</v>
      </c>
      <c r="BC1932">
        <v>0</v>
      </c>
      <c r="BD1932">
        <v>0</v>
      </c>
      <c r="BE1932">
        <v>0</v>
      </c>
      <c r="BF1932">
        <v>0</v>
      </c>
      <c r="BG1932">
        <v>0</v>
      </c>
      <c r="BH1932">
        <v>1</v>
      </c>
      <c r="BI1932">
        <v>1</v>
      </c>
      <c r="BJ1932">
        <v>0.2</v>
      </c>
      <c r="BK1932">
        <v>1</v>
      </c>
      <c r="BL1932">
        <v>55.99</v>
      </c>
      <c r="BM1932">
        <v>8.4</v>
      </c>
      <c r="BN1932">
        <v>64.39</v>
      </c>
      <c r="BO1932">
        <v>64.39</v>
      </c>
      <c r="BQ1932" t="s">
        <v>153</v>
      </c>
      <c r="BR1932" t="s">
        <v>84</v>
      </c>
      <c r="BS1932" s="3">
        <v>45883</v>
      </c>
      <c r="BT1932" s="4">
        <v>0.3347222222222222</v>
      </c>
      <c r="BU1932" t="s">
        <v>995</v>
      </c>
      <c r="BV1932" t="s">
        <v>86</v>
      </c>
      <c r="BY1932">
        <v>1200</v>
      </c>
      <c r="CA1932" t="s">
        <v>155</v>
      </c>
      <c r="CC1932" t="s">
        <v>76</v>
      </c>
      <c r="CD1932">
        <v>1600</v>
      </c>
      <c r="CE1932" t="s">
        <v>109</v>
      </c>
      <c r="CF1932" s="3">
        <v>45883</v>
      </c>
      <c r="CI1932">
        <v>1</v>
      </c>
      <c r="CJ1932">
        <v>1</v>
      </c>
      <c r="CK1932">
        <v>22</v>
      </c>
      <c r="CL1932" t="s">
        <v>90</v>
      </c>
    </row>
    <row r="1933" spans="1:90" x14ac:dyDescent="0.3">
      <c r="A1933" t="s">
        <v>72</v>
      </c>
      <c r="B1933" t="s">
        <v>73</v>
      </c>
      <c r="C1933" t="s">
        <v>74</v>
      </c>
      <c r="E1933" t="str">
        <f>"080067223465"</f>
        <v>080067223465</v>
      </c>
      <c r="F1933" s="3">
        <v>45882</v>
      </c>
      <c r="G1933">
        <v>202605</v>
      </c>
      <c r="H1933" t="s">
        <v>75</v>
      </c>
      <c r="I1933" t="s">
        <v>76</v>
      </c>
      <c r="J1933" t="s">
        <v>77</v>
      </c>
      <c r="K1933" t="s">
        <v>78</v>
      </c>
      <c r="L1933" t="s">
        <v>198</v>
      </c>
      <c r="M1933" t="s">
        <v>199</v>
      </c>
      <c r="N1933" t="s">
        <v>680</v>
      </c>
      <c r="O1933" t="s">
        <v>82</v>
      </c>
      <c r="P1933" t="str">
        <f>"4170054705                    "</f>
        <v xml:space="preserve">4170054705                    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0</v>
      </c>
      <c r="AI1933">
        <v>0</v>
      </c>
      <c r="AJ1933"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0</v>
      </c>
      <c r="AQ1933">
        <v>40.380000000000003</v>
      </c>
      <c r="AR1933">
        <v>0</v>
      </c>
      <c r="AS1933">
        <v>0</v>
      </c>
      <c r="AT1933">
        <v>0</v>
      </c>
      <c r="AU1933">
        <v>0</v>
      </c>
      <c r="AV1933">
        <v>0</v>
      </c>
      <c r="AW1933">
        <v>0</v>
      </c>
      <c r="AX1933">
        <v>0</v>
      </c>
      <c r="AY1933">
        <v>0</v>
      </c>
      <c r="AZ1933">
        <v>0</v>
      </c>
      <c r="BA1933">
        <v>0</v>
      </c>
      <c r="BB1933">
        <v>0</v>
      </c>
      <c r="BC1933">
        <v>0</v>
      </c>
      <c r="BD1933">
        <v>0</v>
      </c>
      <c r="BE1933">
        <v>0</v>
      </c>
      <c r="BF1933">
        <v>0</v>
      </c>
      <c r="BG1933">
        <v>0</v>
      </c>
      <c r="BH1933">
        <v>1</v>
      </c>
      <c r="BI1933">
        <v>1</v>
      </c>
      <c r="BJ1933">
        <v>3.4</v>
      </c>
      <c r="BK1933">
        <v>3.5</v>
      </c>
      <c r="BL1933">
        <v>125.4</v>
      </c>
      <c r="BM1933">
        <v>18.809999999999999</v>
      </c>
      <c r="BN1933">
        <v>144.21</v>
      </c>
      <c r="BO1933">
        <v>144.21</v>
      </c>
      <c r="BQ1933" t="s">
        <v>681</v>
      </c>
      <c r="BR1933" t="s">
        <v>84</v>
      </c>
      <c r="BS1933" s="3">
        <v>45883</v>
      </c>
      <c r="BT1933" s="4">
        <v>0.51736111111111116</v>
      </c>
      <c r="BU1933" t="s">
        <v>682</v>
      </c>
      <c r="BV1933" t="s">
        <v>90</v>
      </c>
      <c r="BY1933">
        <v>16965</v>
      </c>
      <c r="CA1933" t="s">
        <v>413</v>
      </c>
      <c r="CC1933" t="s">
        <v>199</v>
      </c>
      <c r="CD1933">
        <v>6001</v>
      </c>
      <c r="CE1933" t="s">
        <v>147</v>
      </c>
      <c r="CF1933" s="3">
        <v>45883</v>
      </c>
      <c r="CI1933">
        <v>1</v>
      </c>
      <c r="CJ1933">
        <v>1</v>
      </c>
      <c r="CK1933">
        <v>21</v>
      </c>
      <c r="CL1933" t="s">
        <v>90</v>
      </c>
    </row>
    <row r="1934" spans="1:90" x14ac:dyDescent="0.3">
      <c r="A1934" t="s">
        <v>72</v>
      </c>
      <c r="B1934" t="s">
        <v>73</v>
      </c>
      <c r="C1934" t="s">
        <v>74</v>
      </c>
      <c r="E1934" t="str">
        <f>"080067223488"</f>
        <v>080067223488</v>
      </c>
      <c r="F1934" s="3">
        <v>45882</v>
      </c>
      <c r="G1934">
        <v>202605</v>
      </c>
      <c r="H1934" t="s">
        <v>75</v>
      </c>
      <c r="I1934" t="s">
        <v>76</v>
      </c>
      <c r="J1934" t="s">
        <v>77</v>
      </c>
      <c r="K1934" t="s">
        <v>78</v>
      </c>
      <c r="L1934" t="s">
        <v>179</v>
      </c>
      <c r="M1934" t="s">
        <v>180</v>
      </c>
      <c r="N1934" t="s">
        <v>131</v>
      </c>
      <c r="O1934" t="s">
        <v>82</v>
      </c>
      <c r="P1934" t="str">
        <f>"4170054658                    "</f>
        <v xml:space="preserve">4170054658                    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0</v>
      </c>
      <c r="AI1934">
        <v>0</v>
      </c>
      <c r="AJ1934">
        <v>0</v>
      </c>
      <c r="AK1934">
        <v>0</v>
      </c>
      <c r="AL1934">
        <v>0</v>
      </c>
      <c r="AM1934">
        <v>0</v>
      </c>
      <c r="AN1934">
        <v>0</v>
      </c>
      <c r="AO1934">
        <v>0</v>
      </c>
      <c r="AP1934">
        <v>0</v>
      </c>
      <c r="AQ1934">
        <v>32.47</v>
      </c>
      <c r="AR1934">
        <v>0</v>
      </c>
      <c r="AS1934">
        <v>0</v>
      </c>
      <c r="AT1934">
        <v>0</v>
      </c>
      <c r="AU1934">
        <v>0</v>
      </c>
      <c r="AV1934">
        <v>0</v>
      </c>
      <c r="AW1934">
        <v>0</v>
      </c>
      <c r="AX1934">
        <v>0</v>
      </c>
      <c r="AY1934">
        <v>0</v>
      </c>
      <c r="AZ1934">
        <v>0</v>
      </c>
      <c r="BA1934">
        <v>0</v>
      </c>
      <c r="BB1934">
        <v>0</v>
      </c>
      <c r="BC1934">
        <v>0</v>
      </c>
      <c r="BD1934">
        <v>0</v>
      </c>
      <c r="BE1934">
        <v>0</v>
      </c>
      <c r="BF1934">
        <v>0</v>
      </c>
      <c r="BG1934">
        <v>0</v>
      </c>
      <c r="BH1934">
        <v>1</v>
      </c>
      <c r="BI1934">
        <v>1</v>
      </c>
      <c r="BJ1934">
        <v>0.2</v>
      </c>
      <c r="BK1934">
        <v>1</v>
      </c>
      <c r="BL1934">
        <v>100.82</v>
      </c>
      <c r="BM1934">
        <v>15.12</v>
      </c>
      <c r="BN1934">
        <v>115.94</v>
      </c>
      <c r="BO1934">
        <v>115.94</v>
      </c>
      <c r="BQ1934" t="s">
        <v>132</v>
      </c>
      <c r="BR1934" t="s">
        <v>84</v>
      </c>
      <c r="BS1934" s="3">
        <v>45883</v>
      </c>
      <c r="BT1934" s="4">
        <v>0.41666666666666669</v>
      </c>
      <c r="BU1934" t="s">
        <v>2550</v>
      </c>
      <c r="BV1934" t="s">
        <v>86</v>
      </c>
      <c r="BY1934">
        <v>1200</v>
      </c>
      <c r="CA1934" t="s">
        <v>2551</v>
      </c>
      <c r="CC1934" t="s">
        <v>180</v>
      </c>
      <c r="CD1934">
        <v>1754</v>
      </c>
      <c r="CE1934" t="s">
        <v>109</v>
      </c>
      <c r="CF1934" s="3">
        <v>45883</v>
      </c>
      <c r="CI1934">
        <v>1</v>
      </c>
      <c r="CJ1934">
        <v>1</v>
      </c>
      <c r="CK1934">
        <v>24</v>
      </c>
      <c r="CL1934" t="s">
        <v>90</v>
      </c>
    </row>
    <row r="1935" spans="1:90" x14ac:dyDescent="0.3">
      <c r="A1935" t="s">
        <v>72</v>
      </c>
      <c r="B1935" t="s">
        <v>73</v>
      </c>
      <c r="C1935" t="s">
        <v>74</v>
      </c>
      <c r="E1935" t="str">
        <f>"080067223498"</f>
        <v>080067223498</v>
      </c>
      <c r="F1935" s="3">
        <v>45882</v>
      </c>
      <c r="G1935">
        <v>202605</v>
      </c>
      <c r="H1935" t="s">
        <v>75</v>
      </c>
      <c r="I1935" t="s">
        <v>76</v>
      </c>
      <c r="J1935" t="s">
        <v>77</v>
      </c>
      <c r="K1935" t="s">
        <v>78</v>
      </c>
      <c r="L1935" t="s">
        <v>319</v>
      </c>
      <c r="M1935" t="s">
        <v>320</v>
      </c>
      <c r="N1935" t="s">
        <v>321</v>
      </c>
      <c r="O1935" t="s">
        <v>82</v>
      </c>
      <c r="P1935" t="str">
        <f>"4170054501                    "</f>
        <v xml:space="preserve">4170054501                    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0</v>
      </c>
      <c r="AI1935">
        <v>0</v>
      </c>
      <c r="AJ1935"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0</v>
      </c>
      <c r="AQ1935">
        <v>196.2</v>
      </c>
      <c r="AR1935">
        <v>0</v>
      </c>
      <c r="AS1935">
        <v>0</v>
      </c>
      <c r="AT1935">
        <v>0</v>
      </c>
      <c r="AU1935">
        <v>0</v>
      </c>
      <c r="AV1935">
        <v>0</v>
      </c>
      <c r="AW1935">
        <v>0</v>
      </c>
      <c r="AX1935">
        <v>0</v>
      </c>
      <c r="AY1935">
        <v>0</v>
      </c>
      <c r="AZ1935">
        <v>0</v>
      </c>
      <c r="BA1935">
        <v>0</v>
      </c>
      <c r="BB1935">
        <v>0</v>
      </c>
      <c r="BC1935">
        <v>0</v>
      </c>
      <c r="BD1935">
        <v>0</v>
      </c>
      <c r="BE1935">
        <v>0</v>
      </c>
      <c r="BF1935">
        <v>0</v>
      </c>
      <c r="BG1935">
        <v>0</v>
      </c>
      <c r="BH1935">
        <v>1</v>
      </c>
      <c r="BI1935">
        <v>8</v>
      </c>
      <c r="BJ1935">
        <v>9.3000000000000007</v>
      </c>
      <c r="BK1935">
        <v>9.5</v>
      </c>
      <c r="BL1935">
        <v>609.26</v>
      </c>
      <c r="BM1935">
        <v>91.39</v>
      </c>
      <c r="BN1935">
        <v>700.65</v>
      </c>
      <c r="BO1935">
        <v>700.65</v>
      </c>
      <c r="BQ1935" t="s">
        <v>322</v>
      </c>
      <c r="BR1935" t="s">
        <v>84</v>
      </c>
      <c r="BS1935" s="3">
        <v>45883</v>
      </c>
      <c r="BT1935" s="4">
        <v>0.48472222222222222</v>
      </c>
      <c r="BU1935" t="s">
        <v>2552</v>
      </c>
      <c r="BV1935" t="s">
        <v>86</v>
      </c>
      <c r="BY1935">
        <v>46683</v>
      </c>
      <c r="CA1935" t="s">
        <v>324</v>
      </c>
      <c r="CC1935" t="s">
        <v>320</v>
      </c>
      <c r="CD1935">
        <v>2531</v>
      </c>
      <c r="CE1935" t="s">
        <v>147</v>
      </c>
      <c r="CF1935" s="3">
        <v>45884</v>
      </c>
      <c r="CI1935">
        <v>1</v>
      </c>
      <c r="CJ1935">
        <v>1</v>
      </c>
      <c r="CK1935">
        <v>23</v>
      </c>
      <c r="CL1935" t="s">
        <v>90</v>
      </c>
    </row>
    <row r="1936" spans="1:90" x14ac:dyDescent="0.3">
      <c r="A1936" t="s">
        <v>72</v>
      </c>
      <c r="B1936" t="s">
        <v>73</v>
      </c>
      <c r="C1936" t="s">
        <v>74</v>
      </c>
      <c r="E1936" t="str">
        <f>"080067223517"</f>
        <v>080067223517</v>
      </c>
      <c r="F1936" s="3">
        <v>45882</v>
      </c>
      <c r="G1936">
        <v>202605</v>
      </c>
      <c r="H1936" t="s">
        <v>75</v>
      </c>
      <c r="I1936" t="s">
        <v>76</v>
      </c>
      <c r="J1936" t="s">
        <v>77</v>
      </c>
      <c r="K1936" t="s">
        <v>78</v>
      </c>
      <c r="L1936" t="s">
        <v>123</v>
      </c>
      <c r="M1936" t="s">
        <v>124</v>
      </c>
      <c r="N1936" t="s">
        <v>406</v>
      </c>
      <c r="O1936" t="s">
        <v>82</v>
      </c>
      <c r="P1936" t="str">
        <f>"4170054654                    "</f>
        <v xml:space="preserve">4170054654                    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0</v>
      </c>
      <c r="AJ1936"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0</v>
      </c>
      <c r="AQ1936">
        <v>23.09</v>
      </c>
      <c r="AR1936">
        <v>0</v>
      </c>
      <c r="AS1936">
        <v>0</v>
      </c>
      <c r="AT1936">
        <v>0</v>
      </c>
      <c r="AU1936">
        <v>0</v>
      </c>
      <c r="AV1936">
        <v>0</v>
      </c>
      <c r="AW1936">
        <v>0</v>
      </c>
      <c r="AX1936">
        <v>0</v>
      </c>
      <c r="AY1936">
        <v>0</v>
      </c>
      <c r="AZ1936">
        <v>0</v>
      </c>
      <c r="BA1936">
        <v>0</v>
      </c>
      <c r="BB1936">
        <v>0</v>
      </c>
      <c r="BC1936">
        <v>0</v>
      </c>
      <c r="BD1936">
        <v>0</v>
      </c>
      <c r="BE1936">
        <v>0</v>
      </c>
      <c r="BF1936">
        <v>0</v>
      </c>
      <c r="BG1936">
        <v>0</v>
      </c>
      <c r="BH1936">
        <v>1</v>
      </c>
      <c r="BI1936">
        <v>1</v>
      </c>
      <c r="BJ1936">
        <v>0.2</v>
      </c>
      <c r="BK1936">
        <v>1</v>
      </c>
      <c r="BL1936">
        <v>71.69</v>
      </c>
      <c r="BM1936">
        <v>10.75</v>
      </c>
      <c r="BN1936">
        <v>82.44</v>
      </c>
      <c r="BO1936">
        <v>82.44</v>
      </c>
      <c r="BQ1936" t="s">
        <v>407</v>
      </c>
      <c r="BR1936" t="s">
        <v>84</v>
      </c>
      <c r="BS1936" s="3">
        <v>45883</v>
      </c>
      <c r="BT1936" s="4">
        <v>0.40486111111111112</v>
      </c>
      <c r="BU1936" t="s">
        <v>408</v>
      </c>
      <c r="BV1936" t="s">
        <v>86</v>
      </c>
      <c r="BY1936">
        <v>1200</v>
      </c>
      <c r="CA1936" t="s">
        <v>192</v>
      </c>
      <c r="CC1936" t="s">
        <v>124</v>
      </c>
      <c r="CD1936">
        <v>7441</v>
      </c>
      <c r="CE1936" t="s">
        <v>109</v>
      </c>
      <c r="CF1936" s="3">
        <v>45884</v>
      </c>
      <c r="CI1936">
        <v>1</v>
      </c>
      <c r="CJ1936">
        <v>1</v>
      </c>
      <c r="CK1936">
        <v>21</v>
      </c>
      <c r="CL1936" t="s">
        <v>90</v>
      </c>
    </row>
    <row r="1937" spans="1:90" x14ac:dyDescent="0.3">
      <c r="A1937" t="s">
        <v>72</v>
      </c>
      <c r="B1937" t="s">
        <v>73</v>
      </c>
      <c r="C1937" t="s">
        <v>74</v>
      </c>
      <c r="E1937" t="str">
        <f>"080067223538"</f>
        <v>080067223538</v>
      </c>
      <c r="F1937" s="3">
        <v>45882</v>
      </c>
      <c r="G1937">
        <v>202605</v>
      </c>
      <c r="H1937" t="s">
        <v>75</v>
      </c>
      <c r="I1937" t="s">
        <v>76</v>
      </c>
      <c r="J1937" t="s">
        <v>77</v>
      </c>
      <c r="K1937" t="s">
        <v>78</v>
      </c>
      <c r="L1937" t="s">
        <v>1275</v>
      </c>
      <c r="M1937" t="s">
        <v>1276</v>
      </c>
      <c r="N1937" t="s">
        <v>2553</v>
      </c>
      <c r="O1937" t="s">
        <v>82</v>
      </c>
      <c r="P1937" t="str">
        <f>"4170054576                    "</f>
        <v xml:space="preserve">4170054576                    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0</v>
      </c>
      <c r="AI1937">
        <v>0</v>
      </c>
      <c r="AJ1937"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0</v>
      </c>
      <c r="AQ1937">
        <v>44.73</v>
      </c>
      <c r="AR1937">
        <v>0</v>
      </c>
      <c r="AS1937">
        <v>0</v>
      </c>
      <c r="AT1937">
        <v>0</v>
      </c>
      <c r="AU1937">
        <v>0</v>
      </c>
      <c r="AV1937">
        <v>0</v>
      </c>
      <c r="AW1937">
        <v>0</v>
      </c>
      <c r="AX1937">
        <v>0</v>
      </c>
      <c r="AY1937">
        <v>0</v>
      </c>
      <c r="AZ1937">
        <v>0</v>
      </c>
      <c r="BA1937">
        <v>0</v>
      </c>
      <c r="BB1937">
        <v>0</v>
      </c>
      <c r="BC1937">
        <v>0</v>
      </c>
      <c r="BD1937">
        <v>0</v>
      </c>
      <c r="BE1937">
        <v>0</v>
      </c>
      <c r="BF1937">
        <v>0</v>
      </c>
      <c r="BG1937">
        <v>0</v>
      </c>
      <c r="BH1937">
        <v>1</v>
      </c>
      <c r="BI1937">
        <v>1</v>
      </c>
      <c r="BJ1937">
        <v>0.9</v>
      </c>
      <c r="BK1937">
        <v>1</v>
      </c>
      <c r="BL1937">
        <v>138.88999999999999</v>
      </c>
      <c r="BM1937">
        <v>20.83</v>
      </c>
      <c r="BN1937">
        <v>159.72</v>
      </c>
      <c r="BO1937">
        <v>159.72</v>
      </c>
      <c r="BQ1937" t="s">
        <v>2554</v>
      </c>
      <c r="BR1937" t="s">
        <v>84</v>
      </c>
      <c r="BS1937" s="3">
        <v>45883</v>
      </c>
      <c r="BT1937" s="4">
        <v>0.36736111111111114</v>
      </c>
      <c r="BU1937" t="s">
        <v>2555</v>
      </c>
      <c r="BV1937" t="s">
        <v>86</v>
      </c>
      <c r="BY1937">
        <v>4275</v>
      </c>
      <c r="CA1937" t="s">
        <v>2293</v>
      </c>
      <c r="CC1937" t="s">
        <v>1276</v>
      </c>
      <c r="CD1937">
        <v>1911</v>
      </c>
      <c r="CE1937" t="s">
        <v>147</v>
      </c>
      <c r="CF1937" s="3">
        <v>45884</v>
      </c>
      <c r="CI1937">
        <v>1</v>
      </c>
      <c r="CJ1937">
        <v>1</v>
      </c>
      <c r="CK1937">
        <v>23</v>
      </c>
      <c r="CL1937" t="s">
        <v>90</v>
      </c>
    </row>
    <row r="1938" spans="1:90" x14ac:dyDescent="0.3">
      <c r="A1938" t="s">
        <v>72</v>
      </c>
      <c r="B1938" t="s">
        <v>73</v>
      </c>
      <c r="C1938" t="s">
        <v>74</v>
      </c>
      <c r="E1938" t="str">
        <f>"080067223542"</f>
        <v>080067223542</v>
      </c>
      <c r="F1938" s="3">
        <v>45882</v>
      </c>
      <c r="G1938">
        <v>202605</v>
      </c>
      <c r="H1938" t="s">
        <v>75</v>
      </c>
      <c r="I1938" t="s">
        <v>76</v>
      </c>
      <c r="J1938" t="s">
        <v>77</v>
      </c>
      <c r="K1938" t="s">
        <v>78</v>
      </c>
      <c r="L1938" t="s">
        <v>217</v>
      </c>
      <c r="M1938" t="s">
        <v>218</v>
      </c>
      <c r="N1938" t="s">
        <v>1956</v>
      </c>
      <c r="O1938" t="s">
        <v>82</v>
      </c>
      <c r="P1938" t="str">
        <f>"4170054695                    "</f>
        <v xml:space="preserve">4170054695                    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>
        <v>0</v>
      </c>
      <c r="AQ1938">
        <v>23.09</v>
      </c>
      <c r="AR1938">
        <v>0</v>
      </c>
      <c r="AS1938">
        <v>0</v>
      </c>
      <c r="AT1938">
        <v>0</v>
      </c>
      <c r="AU1938">
        <v>0</v>
      </c>
      <c r="AV1938">
        <v>0</v>
      </c>
      <c r="AW1938">
        <v>0</v>
      </c>
      <c r="AX1938">
        <v>0</v>
      </c>
      <c r="AY1938">
        <v>0</v>
      </c>
      <c r="AZ1938">
        <v>0</v>
      </c>
      <c r="BA1938">
        <v>0</v>
      </c>
      <c r="BB1938">
        <v>0</v>
      </c>
      <c r="BC1938">
        <v>0</v>
      </c>
      <c r="BD1938">
        <v>0</v>
      </c>
      <c r="BE1938">
        <v>0</v>
      </c>
      <c r="BF1938">
        <v>0</v>
      </c>
      <c r="BG1938">
        <v>0</v>
      </c>
      <c r="BH1938">
        <v>1</v>
      </c>
      <c r="BI1938">
        <v>1</v>
      </c>
      <c r="BJ1938">
        <v>0.2</v>
      </c>
      <c r="BK1938">
        <v>1</v>
      </c>
      <c r="BL1938">
        <v>71.69</v>
      </c>
      <c r="BM1938">
        <v>10.75</v>
      </c>
      <c r="BN1938">
        <v>82.44</v>
      </c>
      <c r="BO1938">
        <v>82.44</v>
      </c>
      <c r="BQ1938" t="s">
        <v>1957</v>
      </c>
      <c r="BR1938" t="s">
        <v>84</v>
      </c>
      <c r="BS1938" s="3">
        <v>45883</v>
      </c>
      <c r="BT1938" s="4">
        <v>0.4236111111111111</v>
      </c>
      <c r="BU1938" t="s">
        <v>2534</v>
      </c>
      <c r="BV1938" t="s">
        <v>86</v>
      </c>
      <c r="BY1938">
        <v>1200</v>
      </c>
      <c r="CA1938" t="s">
        <v>136</v>
      </c>
      <c r="CC1938" t="s">
        <v>218</v>
      </c>
      <c r="CD1938">
        <v>4052</v>
      </c>
      <c r="CE1938" t="s">
        <v>109</v>
      </c>
      <c r="CF1938" s="3">
        <v>45883</v>
      </c>
      <c r="CI1938">
        <v>1</v>
      </c>
      <c r="CJ1938">
        <v>1</v>
      </c>
      <c r="CK1938">
        <v>21</v>
      </c>
      <c r="CL1938" t="s">
        <v>90</v>
      </c>
    </row>
    <row r="1939" spans="1:90" x14ac:dyDescent="0.3">
      <c r="A1939" t="s">
        <v>72</v>
      </c>
      <c r="B1939" t="s">
        <v>73</v>
      </c>
      <c r="C1939" t="s">
        <v>74</v>
      </c>
      <c r="E1939" t="str">
        <f>"080067223598"</f>
        <v>080067223598</v>
      </c>
      <c r="F1939" s="3">
        <v>45882</v>
      </c>
      <c r="G1939">
        <v>202605</v>
      </c>
      <c r="H1939" t="s">
        <v>75</v>
      </c>
      <c r="I1939" t="s">
        <v>76</v>
      </c>
      <c r="J1939" t="s">
        <v>77</v>
      </c>
      <c r="K1939" t="s">
        <v>78</v>
      </c>
      <c r="L1939" t="s">
        <v>385</v>
      </c>
      <c r="M1939" t="s">
        <v>386</v>
      </c>
      <c r="N1939" t="s">
        <v>397</v>
      </c>
      <c r="O1939" t="s">
        <v>82</v>
      </c>
      <c r="P1939" t="str">
        <f>"4170054616                    "</f>
        <v xml:space="preserve">4170054616                    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0</v>
      </c>
      <c r="AI1939">
        <v>0</v>
      </c>
      <c r="AJ1939"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0</v>
      </c>
      <c r="AQ1939">
        <v>18.03</v>
      </c>
      <c r="AR1939">
        <v>0</v>
      </c>
      <c r="AS1939">
        <v>0</v>
      </c>
      <c r="AT1939">
        <v>0</v>
      </c>
      <c r="AU1939">
        <v>0</v>
      </c>
      <c r="AV1939">
        <v>0</v>
      </c>
      <c r="AW1939">
        <v>0</v>
      </c>
      <c r="AX1939">
        <v>0</v>
      </c>
      <c r="AY1939">
        <v>0</v>
      </c>
      <c r="AZ1939">
        <v>0</v>
      </c>
      <c r="BA1939">
        <v>0</v>
      </c>
      <c r="BB1939">
        <v>0</v>
      </c>
      <c r="BC1939">
        <v>0</v>
      </c>
      <c r="BD1939">
        <v>0</v>
      </c>
      <c r="BE1939">
        <v>0</v>
      </c>
      <c r="BF1939">
        <v>0</v>
      </c>
      <c r="BG1939">
        <v>0</v>
      </c>
      <c r="BH1939">
        <v>1</v>
      </c>
      <c r="BI1939">
        <v>1</v>
      </c>
      <c r="BJ1939">
        <v>1.1000000000000001</v>
      </c>
      <c r="BK1939">
        <v>2</v>
      </c>
      <c r="BL1939">
        <v>55.99</v>
      </c>
      <c r="BM1939">
        <v>8.4</v>
      </c>
      <c r="BN1939">
        <v>64.39</v>
      </c>
      <c r="BO1939">
        <v>64.39</v>
      </c>
      <c r="BQ1939" t="s">
        <v>398</v>
      </c>
      <c r="BR1939" t="s">
        <v>84</v>
      </c>
      <c r="BS1939" s="3">
        <v>45883</v>
      </c>
      <c r="BT1939" s="4">
        <v>0.44236111111111109</v>
      </c>
      <c r="BU1939" t="s">
        <v>592</v>
      </c>
      <c r="BV1939" t="s">
        <v>86</v>
      </c>
      <c r="BY1939">
        <v>5320</v>
      </c>
      <c r="CA1939" t="s">
        <v>851</v>
      </c>
      <c r="CC1939" t="s">
        <v>386</v>
      </c>
      <c r="CD1939">
        <v>1559</v>
      </c>
      <c r="CE1939" t="s">
        <v>147</v>
      </c>
      <c r="CF1939" s="3">
        <v>45883</v>
      </c>
      <c r="CI1939">
        <v>1</v>
      </c>
      <c r="CJ1939">
        <v>1</v>
      </c>
      <c r="CK1939">
        <v>22</v>
      </c>
      <c r="CL1939" t="s">
        <v>90</v>
      </c>
    </row>
    <row r="1940" spans="1:90" x14ac:dyDescent="0.3">
      <c r="A1940" t="s">
        <v>72</v>
      </c>
      <c r="B1940" t="s">
        <v>73</v>
      </c>
      <c r="C1940" t="s">
        <v>74</v>
      </c>
      <c r="E1940" t="str">
        <f>"080067223590"</f>
        <v>080067223590</v>
      </c>
      <c r="F1940" s="3">
        <v>45882</v>
      </c>
      <c r="G1940">
        <v>202605</v>
      </c>
      <c r="H1940" t="s">
        <v>75</v>
      </c>
      <c r="I1940" t="s">
        <v>76</v>
      </c>
      <c r="J1940" t="s">
        <v>77</v>
      </c>
      <c r="K1940" t="s">
        <v>78</v>
      </c>
      <c r="L1940" t="s">
        <v>452</v>
      </c>
      <c r="M1940" t="s">
        <v>453</v>
      </c>
      <c r="N1940" t="s">
        <v>1684</v>
      </c>
      <c r="O1940" t="s">
        <v>82</v>
      </c>
      <c r="P1940" t="str">
        <f>"4170054686                    "</f>
        <v xml:space="preserve">4170054686                    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0</v>
      </c>
      <c r="AQ1940">
        <v>44.73</v>
      </c>
      <c r="AR1940">
        <v>0</v>
      </c>
      <c r="AS1940">
        <v>0</v>
      </c>
      <c r="AT1940">
        <v>0</v>
      </c>
      <c r="AU1940">
        <v>0</v>
      </c>
      <c r="AV1940">
        <v>0</v>
      </c>
      <c r="AW1940">
        <v>0</v>
      </c>
      <c r="AX1940">
        <v>0</v>
      </c>
      <c r="AY1940">
        <v>0</v>
      </c>
      <c r="AZ1940">
        <v>0</v>
      </c>
      <c r="BA1940">
        <v>0</v>
      </c>
      <c r="BB1940">
        <v>0</v>
      </c>
      <c r="BC1940">
        <v>0</v>
      </c>
      <c r="BD1940">
        <v>0</v>
      </c>
      <c r="BE1940">
        <v>0</v>
      </c>
      <c r="BF1940">
        <v>0</v>
      </c>
      <c r="BG1940">
        <v>0</v>
      </c>
      <c r="BH1940">
        <v>1</v>
      </c>
      <c r="BI1940">
        <v>1</v>
      </c>
      <c r="BJ1940">
        <v>0.2</v>
      </c>
      <c r="BK1940">
        <v>1</v>
      </c>
      <c r="BL1940">
        <v>138.88999999999999</v>
      </c>
      <c r="BM1940">
        <v>20.83</v>
      </c>
      <c r="BN1940">
        <v>159.72</v>
      </c>
      <c r="BO1940">
        <v>159.72</v>
      </c>
      <c r="BQ1940" t="s">
        <v>1685</v>
      </c>
      <c r="BR1940" t="s">
        <v>84</v>
      </c>
      <c r="BS1940" s="3">
        <v>45883</v>
      </c>
      <c r="BT1940" s="4">
        <v>0.35347222222222224</v>
      </c>
      <c r="BU1940" t="s">
        <v>1686</v>
      </c>
      <c r="BV1940" t="s">
        <v>86</v>
      </c>
      <c r="BY1940">
        <v>1200</v>
      </c>
      <c r="CA1940" t="s">
        <v>484</v>
      </c>
      <c r="CC1940" t="s">
        <v>453</v>
      </c>
      <c r="CD1940">
        <v>1947</v>
      </c>
      <c r="CE1940" t="s">
        <v>109</v>
      </c>
      <c r="CF1940" s="3">
        <v>45884</v>
      </c>
      <c r="CI1940">
        <v>1</v>
      </c>
      <c r="CJ1940">
        <v>1</v>
      </c>
      <c r="CK1940">
        <v>23</v>
      </c>
      <c r="CL1940" t="s">
        <v>90</v>
      </c>
    </row>
    <row r="1941" spans="1:90" x14ac:dyDescent="0.3">
      <c r="A1941" t="s">
        <v>72</v>
      </c>
      <c r="B1941" t="s">
        <v>73</v>
      </c>
      <c r="C1941" t="s">
        <v>74</v>
      </c>
      <c r="E1941" t="str">
        <f>"080067223628"</f>
        <v>080067223628</v>
      </c>
      <c r="F1941" s="3">
        <v>45882</v>
      </c>
      <c r="G1941">
        <v>202605</v>
      </c>
      <c r="H1941" t="s">
        <v>75</v>
      </c>
      <c r="I1941" t="s">
        <v>76</v>
      </c>
      <c r="J1941" t="s">
        <v>77</v>
      </c>
      <c r="K1941" t="s">
        <v>78</v>
      </c>
      <c r="L1941" t="s">
        <v>278</v>
      </c>
      <c r="M1941" t="s">
        <v>279</v>
      </c>
      <c r="N1941" t="s">
        <v>749</v>
      </c>
      <c r="O1941" t="s">
        <v>82</v>
      </c>
      <c r="P1941" t="str">
        <f>"4170054717                    "</f>
        <v xml:space="preserve">4170054717                    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0</v>
      </c>
      <c r="AI1941">
        <v>0</v>
      </c>
      <c r="AJ1941">
        <v>0</v>
      </c>
      <c r="AK1941">
        <v>0</v>
      </c>
      <c r="AL1941">
        <v>0</v>
      </c>
      <c r="AM1941">
        <v>0</v>
      </c>
      <c r="AN1941">
        <v>0</v>
      </c>
      <c r="AO1941">
        <v>0</v>
      </c>
      <c r="AP1941">
        <v>0</v>
      </c>
      <c r="AQ1941">
        <v>23.09</v>
      </c>
      <c r="AR1941">
        <v>0</v>
      </c>
      <c r="AS1941">
        <v>0</v>
      </c>
      <c r="AT1941">
        <v>0</v>
      </c>
      <c r="AU1941">
        <v>0</v>
      </c>
      <c r="AV1941">
        <v>0</v>
      </c>
      <c r="AW1941">
        <v>0</v>
      </c>
      <c r="AX1941">
        <v>0</v>
      </c>
      <c r="AY1941">
        <v>0</v>
      </c>
      <c r="AZ1941">
        <v>0</v>
      </c>
      <c r="BA1941">
        <v>0</v>
      </c>
      <c r="BB1941">
        <v>0</v>
      </c>
      <c r="BC1941">
        <v>0</v>
      </c>
      <c r="BD1941">
        <v>0</v>
      </c>
      <c r="BE1941">
        <v>0</v>
      </c>
      <c r="BF1941">
        <v>0</v>
      </c>
      <c r="BG1941">
        <v>0</v>
      </c>
      <c r="BH1941">
        <v>1</v>
      </c>
      <c r="BI1941">
        <v>1</v>
      </c>
      <c r="BJ1941">
        <v>1.3</v>
      </c>
      <c r="BK1941">
        <v>1.5</v>
      </c>
      <c r="BL1941">
        <v>71.69</v>
      </c>
      <c r="BM1941">
        <v>10.75</v>
      </c>
      <c r="BN1941">
        <v>82.44</v>
      </c>
      <c r="BO1941">
        <v>82.44</v>
      </c>
      <c r="BQ1941" t="s">
        <v>750</v>
      </c>
      <c r="BR1941" t="s">
        <v>84</v>
      </c>
      <c r="BS1941" s="3">
        <v>45883</v>
      </c>
      <c r="BT1941" s="4">
        <v>0.3840277777777778</v>
      </c>
      <c r="BU1941" t="s">
        <v>2392</v>
      </c>
      <c r="BV1941" t="s">
        <v>86</v>
      </c>
      <c r="BY1941">
        <v>6384</v>
      </c>
      <c r="CA1941" t="s">
        <v>283</v>
      </c>
      <c r="CC1941" t="s">
        <v>279</v>
      </c>
      <c r="CD1941" s="5" t="s">
        <v>753</v>
      </c>
      <c r="CE1941" t="s">
        <v>147</v>
      </c>
      <c r="CF1941" s="3">
        <v>45883</v>
      </c>
      <c r="CI1941">
        <v>1</v>
      </c>
      <c r="CJ1941">
        <v>1</v>
      </c>
      <c r="CK1941">
        <v>21</v>
      </c>
      <c r="CL1941" t="s">
        <v>90</v>
      </c>
    </row>
    <row r="1942" spans="1:90" x14ac:dyDescent="0.3">
      <c r="A1942" t="s">
        <v>72</v>
      </c>
      <c r="B1942" t="s">
        <v>73</v>
      </c>
      <c r="C1942" t="s">
        <v>74</v>
      </c>
      <c r="E1942" t="str">
        <f>"080066947612"</f>
        <v>080066947612</v>
      </c>
      <c r="F1942" s="3">
        <v>45870</v>
      </c>
      <c r="G1942">
        <v>202605</v>
      </c>
      <c r="H1942" t="s">
        <v>75</v>
      </c>
      <c r="I1942" t="s">
        <v>76</v>
      </c>
      <c r="J1942" t="s">
        <v>77</v>
      </c>
      <c r="K1942" t="s">
        <v>78</v>
      </c>
      <c r="L1942" t="s">
        <v>452</v>
      </c>
      <c r="M1942" t="s">
        <v>453</v>
      </c>
      <c r="N1942" t="s">
        <v>454</v>
      </c>
      <c r="O1942" t="s">
        <v>95</v>
      </c>
      <c r="P1942" t="str">
        <f>"4170052424                    "</f>
        <v xml:space="preserve">4170052424                    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0</v>
      </c>
      <c r="AI1942">
        <v>0</v>
      </c>
      <c r="AJ1942"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0</v>
      </c>
      <c r="AQ1942">
        <v>61.64</v>
      </c>
      <c r="AR1942">
        <v>0</v>
      </c>
      <c r="AS1942">
        <v>0</v>
      </c>
      <c r="AT1942">
        <v>0</v>
      </c>
      <c r="AU1942">
        <v>0</v>
      </c>
      <c r="AV1942">
        <v>0</v>
      </c>
      <c r="AW1942">
        <v>0</v>
      </c>
      <c r="AX1942">
        <v>0</v>
      </c>
      <c r="AY1942">
        <v>0</v>
      </c>
      <c r="AZ1942">
        <v>0</v>
      </c>
      <c r="BA1942">
        <v>0</v>
      </c>
      <c r="BB1942">
        <v>0</v>
      </c>
      <c r="BC1942">
        <v>0</v>
      </c>
      <c r="BD1942">
        <v>0</v>
      </c>
      <c r="BE1942">
        <v>0</v>
      </c>
      <c r="BF1942">
        <v>0</v>
      </c>
      <c r="BG1942">
        <v>0</v>
      </c>
      <c r="BH1942">
        <v>1</v>
      </c>
      <c r="BI1942">
        <v>12</v>
      </c>
      <c r="BJ1942">
        <v>8.9</v>
      </c>
      <c r="BK1942">
        <v>12</v>
      </c>
      <c r="BL1942">
        <v>200.06</v>
      </c>
      <c r="BM1942">
        <v>30.01</v>
      </c>
      <c r="BN1942">
        <v>230.07</v>
      </c>
      <c r="BO1942">
        <v>230.07</v>
      </c>
      <c r="BQ1942" t="s">
        <v>455</v>
      </c>
      <c r="BR1942" t="s">
        <v>84</v>
      </c>
      <c r="BS1942" s="3">
        <v>45873</v>
      </c>
      <c r="BT1942" s="4">
        <v>0.36319444444444443</v>
      </c>
      <c r="BU1942" t="s">
        <v>2556</v>
      </c>
      <c r="BV1942" t="s">
        <v>86</v>
      </c>
      <c r="BY1942">
        <v>44640</v>
      </c>
      <c r="BZ1942" t="s">
        <v>1294</v>
      </c>
      <c r="CA1942" t="s">
        <v>2557</v>
      </c>
      <c r="CC1942" t="s">
        <v>453</v>
      </c>
      <c r="CD1942">
        <v>1947</v>
      </c>
      <c r="CE1942" t="s">
        <v>89</v>
      </c>
      <c r="CF1942" s="3">
        <v>45873</v>
      </c>
      <c r="CI1942">
        <v>1</v>
      </c>
      <c r="CJ1942">
        <v>1</v>
      </c>
      <c r="CK1942">
        <v>43</v>
      </c>
      <c r="CL1942" t="s">
        <v>90</v>
      </c>
    </row>
    <row r="1943" spans="1:90" x14ac:dyDescent="0.3">
      <c r="A1943" t="s">
        <v>72</v>
      </c>
      <c r="B1943" t="s">
        <v>73</v>
      </c>
      <c r="C1943" t="s">
        <v>74</v>
      </c>
      <c r="E1943" t="str">
        <f>"080067004514"</f>
        <v>080067004514</v>
      </c>
      <c r="F1943" s="3">
        <v>45873</v>
      </c>
      <c r="G1943">
        <v>202605</v>
      </c>
      <c r="H1943" t="s">
        <v>75</v>
      </c>
      <c r="I1943" t="s">
        <v>76</v>
      </c>
      <c r="J1943" t="s">
        <v>77</v>
      </c>
      <c r="K1943" t="s">
        <v>78</v>
      </c>
      <c r="L1943" t="s">
        <v>179</v>
      </c>
      <c r="M1943" t="s">
        <v>180</v>
      </c>
      <c r="N1943" t="s">
        <v>1361</v>
      </c>
      <c r="O1943" t="s">
        <v>95</v>
      </c>
      <c r="P1943" t="str">
        <f>"4170052722                    "</f>
        <v xml:space="preserve">4170052722                    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0</v>
      </c>
      <c r="AI1943">
        <v>0</v>
      </c>
      <c r="AJ1943"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0</v>
      </c>
      <c r="AQ1943">
        <v>48.26</v>
      </c>
      <c r="AR1943">
        <v>0</v>
      </c>
      <c r="AS1943">
        <v>0</v>
      </c>
      <c r="AT1943">
        <v>0</v>
      </c>
      <c r="AU1943">
        <v>0</v>
      </c>
      <c r="AV1943">
        <v>0</v>
      </c>
      <c r="AW1943">
        <v>0</v>
      </c>
      <c r="AX1943">
        <v>0</v>
      </c>
      <c r="AY1943">
        <v>0</v>
      </c>
      <c r="AZ1943">
        <v>0</v>
      </c>
      <c r="BA1943">
        <v>0</v>
      </c>
      <c r="BB1943">
        <v>0</v>
      </c>
      <c r="BC1943">
        <v>0</v>
      </c>
      <c r="BD1943">
        <v>0</v>
      </c>
      <c r="BE1943">
        <v>0</v>
      </c>
      <c r="BF1943">
        <v>0</v>
      </c>
      <c r="BG1943">
        <v>0</v>
      </c>
      <c r="BH1943">
        <v>1</v>
      </c>
      <c r="BI1943">
        <v>2</v>
      </c>
      <c r="BJ1943">
        <v>4.0999999999999996</v>
      </c>
      <c r="BK1943">
        <v>5</v>
      </c>
      <c r="BL1943">
        <v>157.91999999999999</v>
      </c>
      <c r="BM1943">
        <v>23.69</v>
      </c>
      <c r="BN1943">
        <v>181.61</v>
      </c>
      <c r="BO1943">
        <v>181.61</v>
      </c>
      <c r="BQ1943" t="s">
        <v>1362</v>
      </c>
      <c r="BR1943" t="s">
        <v>84</v>
      </c>
      <c r="BS1943" s="3">
        <v>45874</v>
      </c>
      <c r="BT1943" s="4">
        <v>0.52986111111111112</v>
      </c>
      <c r="BU1943" t="s">
        <v>2558</v>
      </c>
      <c r="BV1943" t="s">
        <v>86</v>
      </c>
      <c r="BY1943">
        <v>20358</v>
      </c>
      <c r="BZ1943" t="s">
        <v>1294</v>
      </c>
      <c r="CC1943" t="s">
        <v>180</v>
      </c>
      <c r="CD1943">
        <v>1754</v>
      </c>
      <c r="CE1943" t="s">
        <v>89</v>
      </c>
      <c r="CF1943" s="3">
        <v>45874</v>
      </c>
      <c r="CI1943">
        <v>1</v>
      </c>
      <c r="CJ1943">
        <v>1</v>
      </c>
      <c r="CK1943">
        <v>44</v>
      </c>
      <c r="CL1943" t="s">
        <v>90</v>
      </c>
    </row>
    <row r="1944" spans="1:90" x14ac:dyDescent="0.3">
      <c r="A1944" t="s">
        <v>72</v>
      </c>
      <c r="B1944" t="s">
        <v>73</v>
      </c>
      <c r="C1944" t="s">
        <v>74</v>
      </c>
      <c r="E1944" t="str">
        <f>"080067004327"</f>
        <v>080067004327</v>
      </c>
      <c r="F1944" s="3">
        <v>45873</v>
      </c>
      <c r="G1944">
        <v>202605</v>
      </c>
      <c r="H1944" t="s">
        <v>75</v>
      </c>
      <c r="I1944" t="s">
        <v>76</v>
      </c>
      <c r="J1944" t="s">
        <v>77</v>
      </c>
      <c r="K1944" t="s">
        <v>78</v>
      </c>
      <c r="L1944" t="s">
        <v>452</v>
      </c>
      <c r="M1944" t="s">
        <v>453</v>
      </c>
      <c r="N1944" t="s">
        <v>1684</v>
      </c>
      <c r="O1944" t="s">
        <v>95</v>
      </c>
      <c r="P1944" t="str">
        <f>"4170052711                    "</f>
        <v xml:space="preserve">4170052711                    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0</v>
      </c>
      <c r="AI1944">
        <v>0</v>
      </c>
      <c r="AJ1944"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0</v>
      </c>
      <c r="AQ1944">
        <v>61.64</v>
      </c>
      <c r="AR1944">
        <v>0</v>
      </c>
      <c r="AS1944">
        <v>0</v>
      </c>
      <c r="AT1944">
        <v>0</v>
      </c>
      <c r="AU1944">
        <v>0</v>
      </c>
      <c r="AV1944">
        <v>0</v>
      </c>
      <c r="AW1944">
        <v>0</v>
      </c>
      <c r="AX1944">
        <v>0</v>
      </c>
      <c r="AY1944">
        <v>0</v>
      </c>
      <c r="AZ1944">
        <v>0</v>
      </c>
      <c r="BA1944">
        <v>0</v>
      </c>
      <c r="BB1944">
        <v>0</v>
      </c>
      <c r="BC1944">
        <v>0</v>
      </c>
      <c r="BD1944">
        <v>0</v>
      </c>
      <c r="BE1944">
        <v>0</v>
      </c>
      <c r="BF1944">
        <v>0</v>
      </c>
      <c r="BG1944">
        <v>0</v>
      </c>
      <c r="BH1944">
        <v>1</v>
      </c>
      <c r="BI1944">
        <v>4</v>
      </c>
      <c r="BJ1944">
        <v>4.0999999999999996</v>
      </c>
      <c r="BK1944">
        <v>5</v>
      </c>
      <c r="BL1944">
        <v>200.06</v>
      </c>
      <c r="BM1944">
        <v>30.01</v>
      </c>
      <c r="BN1944">
        <v>230.07</v>
      </c>
      <c r="BO1944">
        <v>230.07</v>
      </c>
      <c r="BQ1944" t="s">
        <v>1685</v>
      </c>
      <c r="BR1944" t="s">
        <v>84</v>
      </c>
      <c r="BS1944" s="3">
        <v>45875</v>
      </c>
      <c r="BT1944" s="4">
        <v>0.42499999999999999</v>
      </c>
      <c r="BU1944" t="s">
        <v>2559</v>
      </c>
      <c r="BV1944" t="s">
        <v>90</v>
      </c>
      <c r="BW1944" t="s">
        <v>705</v>
      </c>
      <c r="BX1944" t="s">
        <v>2045</v>
      </c>
      <c r="BY1944">
        <v>20358</v>
      </c>
      <c r="BZ1944" t="s">
        <v>1294</v>
      </c>
      <c r="CC1944" t="s">
        <v>453</v>
      </c>
      <c r="CD1944">
        <v>1947</v>
      </c>
      <c r="CE1944" t="s">
        <v>89</v>
      </c>
      <c r="CF1944" s="3">
        <v>45875</v>
      </c>
      <c r="CI1944">
        <v>1</v>
      </c>
      <c r="CJ1944">
        <v>2</v>
      </c>
      <c r="CK1944">
        <v>43</v>
      </c>
      <c r="CL1944" t="s">
        <v>90</v>
      </c>
    </row>
    <row r="1945" spans="1:90" x14ac:dyDescent="0.3">
      <c r="A1945" t="s">
        <v>72</v>
      </c>
      <c r="B1945" t="s">
        <v>73</v>
      </c>
      <c r="C1945" t="s">
        <v>74</v>
      </c>
      <c r="E1945" t="str">
        <f>"080066996400"</f>
        <v>080066996400</v>
      </c>
      <c r="F1945" s="3">
        <v>45873</v>
      </c>
      <c r="G1945">
        <v>202605</v>
      </c>
      <c r="H1945" t="s">
        <v>75</v>
      </c>
      <c r="I1945" t="s">
        <v>76</v>
      </c>
      <c r="J1945" t="s">
        <v>77</v>
      </c>
      <c r="K1945" t="s">
        <v>78</v>
      </c>
      <c r="L1945" t="s">
        <v>278</v>
      </c>
      <c r="M1945" t="s">
        <v>279</v>
      </c>
      <c r="N1945" t="s">
        <v>928</v>
      </c>
      <c r="O1945" t="s">
        <v>95</v>
      </c>
      <c r="P1945" t="str">
        <f>"4170052624                    "</f>
        <v xml:space="preserve">4170052624                    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0</v>
      </c>
      <c r="AI1945">
        <v>0</v>
      </c>
      <c r="AJ1945"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0</v>
      </c>
      <c r="AQ1945">
        <v>43.7</v>
      </c>
      <c r="AR1945">
        <v>0</v>
      </c>
      <c r="AS1945">
        <v>0</v>
      </c>
      <c r="AT1945">
        <v>0</v>
      </c>
      <c r="AU1945">
        <v>0</v>
      </c>
      <c r="AV1945">
        <v>0</v>
      </c>
      <c r="AW1945">
        <v>0</v>
      </c>
      <c r="AX1945">
        <v>0</v>
      </c>
      <c r="AY1945">
        <v>0</v>
      </c>
      <c r="AZ1945">
        <v>0</v>
      </c>
      <c r="BA1945">
        <v>0</v>
      </c>
      <c r="BB1945">
        <v>0</v>
      </c>
      <c r="BC1945">
        <v>0</v>
      </c>
      <c r="BD1945">
        <v>0</v>
      </c>
      <c r="BE1945">
        <v>0</v>
      </c>
      <c r="BF1945">
        <v>0</v>
      </c>
      <c r="BG1945">
        <v>0</v>
      </c>
      <c r="BH1945">
        <v>1</v>
      </c>
      <c r="BI1945">
        <v>10</v>
      </c>
      <c r="BJ1945">
        <v>2.4</v>
      </c>
      <c r="BK1945">
        <v>10</v>
      </c>
      <c r="BL1945">
        <v>143.55000000000001</v>
      </c>
      <c r="BM1945">
        <v>21.53</v>
      </c>
      <c r="BN1945">
        <v>165.08</v>
      </c>
      <c r="BO1945">
        <v>165.08</v>
      </c>
      <c r="BQ1945" t="s">
        <v>929</v>
      </c>
      <c r="BR1945" t="s">
        <v>84</v>
      </c>
      <c r="BS1945" s="3">
        <v>45874</v>
      </c>
      <c r="BT1945" s="4">
        <v>0.32291666666666669</v>
      </c>
      <c r="BU1945" t="s">
        <v>2178</v>
      </c>
      <c r="BV1945" t="s">
        <v>86</v>
      </c>
      <c r="BY1945">
        <v>12000</v>
      </c>
      <c r="BZ1945" t="s">
        <v>1294</v>
      </c>
      <c r="CC1945" t="s">
        <v>279</v>
      </c>
      <c r="CD1945" s="5" t="s">
        <v>512</v>
      </c>
      <c r="CE1945" t="s">
        <v>89</v>
      </c>
      <c r="CF1945" s="3">
        <v>45874</v>
      </c>
      <c r="CI1945">
        <v>1</v>
      </c>
      <c r="CJ1945">
        <v>1</v>
      </c>
      <c r="CK1945">
        <v>41</v>
      </c>
      <c r="CL1945" t="s">
        <v>90</v>
      </c>
    </row>
    <row r="1946" spans="1:90" x14ac:dyDescent="0.3">
      <c r="A1946" t="s">
        <v>72</v>
      </c>
      <c r="B1946" t="s">
        <v>73</v>
      </c>
      <c r="C1946" t="s">
        <v>74</v>
      </c>
      <c r="E1946" t="str">
        <f>"080067021827"</f>
        <v>080067021827</v>
      </c>
      <c r="F1946" s="3">
        <v>45874</v>
      </c>
      <c r="G1946">
        <v>202605</v>
      </c>
      <c r="H1946" t="s">
        <v>75</v>
      </c>
      <c r="I1946" t="s">
        <v>76</v>
      </c>
      <c r="J1946" t="s">
        <v>77</v>
      </c>
      <c r="K1946" t="s">
        <v>78</v>
      </c>
      <c r="L1946" t="s">
        <v>1275</v>
      </c>
      <c r="M1946" t="s">
        <v>1276</v>
      </c>
      <c r="N1946" t="s">
        <v>2560</v>
      </c>
      <c r="O1946" t="s">
        <v>95</v>
      </c>
      <c r="P1946" t="str">
        <f>"4170052756                    "</f>
        <v xml:space="preserve">4170052756                    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0</v>
      </c>
      <c r="AQ1946">
        <v>61.64</v>
      </c>
      <c r="AR1946">
        <v>0</v>
      </c>
      <c r="AS1946">
        <v>0</v>
      </c>
      <c r="AT1946">
        <v>0</v>
      </c>
      <c r="AU1946">
        <v>0</v>
      </c>
      <c r="AV1946">
        <v>0</v>
      </c>
      <c r="AW1946">
        <v>0</v>
      </c>
      <c r="AX1946">
        <v>0</v>
      </c>
      <c r="AY1946">
        <v>0</v>
      </c>
      <c r="AZ1946">
        <v>0</v>
      </c>
      <c r="BA1946">
        <v>0</v>
      </c>
      <c r="BB1946">
        <v>0</v>
      </c>
      <c r="BC1946">
        <v>0</v>
      </c>
      <c r="BD1946">
        <v>0</v>
      </c>
      <c r="BE1946">
        <v>0</v>
      </c>
      <c r="BF1946">
        <v>0</v>
      </c>
      <c r="BG1946">
        <v>0</v>
      </c>
      <c r="BH1946">
        <v>1</v>
      </c>
      <c r="BI1946">
        <v>4</v>
      </c>
      <c r="BJ1946">
        <v>1.7</v>
      </c>
      <c r="BK1946">
        <v>4</v>
      </c>
      <c r="BL1946">
        <v>200.06</v>
      </c>
      <c r="BM1946">
        <v>30.01</v>
      </c>
      <c r="BN1946">
        <v>230.07</v>
      </c>
      <c r="BO1946">
        <v>230.07</v>
      </c>
      <c r="BQ1946" t="s">
        <v>2561</v>
      </c>
      <c r="BR1946" t="s">
        <v>84</v>
      </c>
      <c r="BS1946" s="3">
        <v>45875</v>
      </c>
      <c r="BT1946" s="4">
        <v>0.4777777777777778</v>
      </c>
      <c r="BU1946" t="s">
        <v>2562</v>
      </c>
      <c r="BV1946" t="s">
        <v>86</v>
      </c>
      <c r="BY1946">
        <v>8512</v>
      </c>
      <c r="BZ1946" t="s">
        <v>1294</v>
      </c>
      <c r="CA1946" t="s">
        <v>2293</v>
      </c>
      <c r="CC1946" t="s">
        <v>1276</v>
      </c>
      <c r="CD1946">
        <v>1911</v>
      </c>
      <c r="CE1946" t="s">
        <v>89</v>
      </c>
      <c r="CF1946" s="3">
        <v>45876</v>
      </c>
      <c r="CI1946">
        <v>1</v>
      </c>
      <c r="CJ1946">
        <v>1</v>
      </c>
      <c r="CK1946">
        <v>43</v>
      </c>
      <c r="CL1946" t="s">
        <v>90</v>
      </c>
    </row>
    <row r="1947" spans="1:90" x14ac:dyDescent="0.3">
      <c r="A1947" t="s">
        <v>72</v>
      </c>
      <c r="B1947" t="s">
        <v>73</v>
      </c>
      <c r="C1947" t="s">
        <v>74</v>
      </c>
      <c r="E1947" t="str">
        <f>"080067026085"</f>
        <v>080067026085</v>
      </c>
      <c r="F1947" s="3">
        <v>45874</v>
      </c>
      <c r="G1947">
        <v>202605</v>
      </c>
      <c r="H1947" t="s">
        <v>75</v>
      </c>
      <c r="I1947" t="s">
        <v>76</v>
      </c>
      <c r="J1947" t="s">
        <v>77</v>
      </c>
      <c r="K1947" t="s">
        <v>78</v>
      </c>
      <c r="L1947" t="s">
        <v>1275</v>
      </c>
      <c r="M1947" t="s">
        <v>1276</v>
      </c>
      <c r="N1947" t="s">
        <v>2563</v>
      </c>
      <c r="O1947" t="s">
        <v>95</v>
      </c>
      <c r="P1947" t="str">
        <f>"4170052764                    "</f>
        <v xml:space="preserve">4170052764                    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0</v>
      </c>
      <c r="AI1947">
        <v>0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Q1947">
        <v>61.64</v>
      </c>
      <c r="AR1947">
        <v>0</v>
      </c>
      <c r="AS1947">
        <v>0</v>
      </c>
      <c r="AT1947">
        <v>0</v>
      </c>
      <c r="AU1947">
        <v>0</v>
      </c>
      <c r="AV1947">
        <v>0</v>
      </c>
      <c r="AW1947">
        <v>0</v>
      </c>
      <c r="AX1947">
        <v>0</v>
      </c>
      <c r="AY1947">
        <v>0</v>
      </c>
      <c r="AZ1947">
        <v>0</v>
      </c>
      <c r="BA1947">
        <v>0</v>
      </c>
      <c r="BB1947">
        <v>0</v>
      </c>
      <c r="BC1947">
        <v>0</v>
      </c>
      <c r="BD1947">
        <v>0</v>
      </c>
      <c r="BE1947">
        <v>0</v>
      </c>
      <c r="BF1947">
        <v>0</v>
      </c>
      <c r="BG1947">
        <v>0</v>
      </c>
      <c r="BH1947">
        <v>1</v>
      </c>
      <c r="BI1947">
        <v>6</v>
      </c>
      <c r="BJ1947">
        <v>8.8000000000000007</v>
      </c>
      <c r="BK1947">
        <v>9</v>
      </c>
      <c r="BL1947">
        <v>200.06</v>
      </c>
      <c r="BM1947">
        <v>30.01</v>
      </c>
      <c r="BN1947">
        <v>230.07</v>
      </c>
      <c r="BO1947">
        <v>230.07</v>
      </c>
      <c r="BQ1947" t="s">
        <v>2564</v>
      </c>
      <c r="BR1947" t="s">
        <v>84</v>
      </c>
      <c r="BS1947" s="3">
        <v>45875</v>
      </c>
      <c r="BT1947" s="4">
        <v>0.35555555555555557</v>
      </c>
      <c r="BU1947" t="s">
        <v>2565</v>
      </c>
      <c r="BV1947" t="s">
        <v>86</v>
      </c>
      <c r="BY1947">
        <v>43989</v>
      </c>
      <c r="BZ1947" t="s">
        <v>1294</v>
      </c>
      <c r="CA1947" t="s">
        <v>1093</v>
      </c>
      <c r="CC1947" t="s">
        <v>1276</v>
      </c>
      <c r="CD1947">
        <v>1939</v>
      </c>
      <c r="CE1947" t="s">
        <v>89</v>
      </c>
      <c r="CF1947" s="3">
        <v>45875</v>
      </c>
      <c r="CI1947">
        <v>1</v>
      </c>
      <c r="CJ1947">
        <v>1</v>
      </c>
      <c r="CK1947">
        <v>43</v>
      </c>
      <c r="CL1947" t="s">
        <v>90</v>
      </c>
    </row>
    <row r="1948" spans="1:90" x14ac:dyDescent="0.3">
      <c r="A1948" t="s">
        <v>72</v>
      </c>
      <c r="B1948" t="s">
        <v>73</v>
      </c>
      <c r="C1948" t="s">
        <v>74</v>
      </c>
      <c r="E1948" t="str">
        <f>"080067028760"</f>
        <v>080067028760</v>
      </c>
      <c r="F1948" s="3">
        <v>45874</v>
      </c>
      <c r="G1948">
        <v>202605</v>
      </c>
      <c r="H1948" t="s">
        <v>75</v>
      </c>
      <c r="I1948" t="s">
        <v>76</v>
      </c>
      <c r="J1948" t="s">
        <v>77</v>
      </c>
      <c r="K1948" t="s">
        <v>78</v>
      </c>
      <c r="L1948" t="s">
        <v>513</v>
      </c>
      <c r="M1948" t="s">
        <v>514</v>
      </c>
      <c r="N1948" t="s">
        <v>709</v>
      </c>
      <c r="O1948" t="s">
        <v>95</v>
      </c>
      <c r="P1948" t="str">
        <f>"4170052914                    "</f>
        <v xml:space="preserve">4170052914                    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0</v>
      </c>
      <c r="AQ1948">
        <v>61.64</v>
      </c>
      <c r="AR1948">
        <v>0</v>
      </c>
      <c r="AS1948">
        <v>0</v>
      </c>
      <c r="AT1948">
        <v>0</v>
      </c>
      <c r="AU1948">
        <v>0</v>
      </c>
      <c r="AV1948">
        <v>0</v>
      </c>
      <c r="AW1948">
        <v>0</v>
      </c>
      <c r="AX1948">
        <v>0</v>
      </c>
      <c r="AY1948">
        <v>0</v>
      </c>
      <c r="AZ1948">
        <v>0</v>
      </c>
      <c r="BA1948">
        <v>0</v>
      </c>
      <c r="BB1948">
        <v>0</v>
      </c>
      <c r="BC1948">
        <v>0</v>
      </c>
      <c r="BD1948">
        <v>0</v>
      </c>
      <c r="BE1948">
        <v>0</v>
      </c>
      <c r="BF1948">
        <v>0</v>
      </c>
      <c r="BG1948">
        <v>0</v>
      </c>
      <c r="BH1948">
        <v>1</v>
      </c>
      <c r="BI1948">
        <v>6</v>
      </c>
      <c r="BJ1948">
        <v>3.4</v>
      </c>
      <c r="BK1948">
        <v>6</v>
      </c>
      <c r="BL1948">
        <v>200.06</v>
      </c>
      <c r="BM1948">
        <v>30.01</v>
      </c>
      <c r="BN1948">
        <v>230.07</v>
      </c>
      <c r="BO1948">
        <v>230.07</v>
      </c>
      <c r="BQ1948" t="s">
        <v>710</v>
      </c>
      <c r="BR1948" t="s">
        <v>84</v>
      </c>
      <c r="BS1948" s="3">
        <v>45875</v>
      </c>
      <c r="BT1948" s="4">
        <v>0.41041666666666665</v>
      </c>
      <c r="BU1948" t="s">
        <v>711</v>
      </c>
      <c r="BV1948" t="s">
        <v>86</v>
      </c>
      <c r="BY1948">
        <v>16965</v>
      </c>
      <c r="BZ1948" t="s">
        <v>1294</v>
      </c>
      <c r="CA1948" t="s">
        <v>712</v>
      </c>
      <c r="CC1948" t="s">
        <v>514</v>
      </c>
      <c r="CD1948" s="5" t="s">
        <v>519</v>
      </c>
      <c r="CE1948" t="s">
        <v>89</v>
      </c>
      <c r="CF1948" s="3">
        <v>45876</v>
      </c>
      <c r="CI1948">
        <v>1</v>
      </c>
      <c r="CJ1948">
        <v>1</v>
      </c>
      <c r="CK1948">
        <v>43</v>
      </c>
      <c r="CL1948" t="s">
        <v>90</v>
      </c>
    </row>
    <row r="1949" spans="1:90" x14ac:dyDescent="0.3">
      <c r="A1949" t="s">
        <v>72</v>
      </c>
      <c r="B1949" t="s">
        <v>73</v>
      </c>
      <c r="C1949" t="s">
        <v>74</v>
      </c>
      <c r="E1949" t="str">
        <f>"080067031447"</f>
        <v>080067031447</v>
      </c>
      <c r="F1949" s="3">
        <v>45874</v>
      </c>
      <c r="G1949">
        <v>202605</v>
      </c>
      <c r="H1949" t="s">
        <v>75</v>
      </c>
      <c r="I1949" t="s">
        <v>76</v>
      </c>
      <c r="J1949" t="s">
        <v>77</v>
      </c>
      <c r="K1949" t="s">
        <v>78</v>
      </c>
      <c r="L1949" t="s">
        <v>349</v>
      </c>
      <c r="M1949" t="s">
        <v>350</v>
      </c>
      <c r="N1949" t="s">
        <v>1008</v>
      </c>
      <c r="O1949" t="s">
        <v>95</v>
      </c>
      <c r="P1949" t="str">
        <f>"4170052757                    "</f>
        <v xml:space="preserve">4170052757                    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0</v>
      </c>
      <c r="AI1949">
        <v>0</v>
      </c>
      <c r="AJ1949">
        <v>0</v>
      </c>
      <c r="AK1949">
        <v>0</v>
      </c>
      <c r="AL1949">
        <v>0</v>
      </c>
      <c r="AM1949">
        <v>0</v>
      </c>
      <c r="AN1949">
        <v>0</v>
      </c>
      <c r="AO1949">
        <v>0</v>
      </c>
      <c r="AP1949">
        <v>0</v>
      </c>
      <c r="AQ1949">
        <v>61.64</v>
      </c>
      <c r="AR1949">
        <v>0</v>
      </c>
      <c r="AS1949">
        <v>0</v>
      </c>
      <c r="AT1949">
        <v>0</v>
      </c>
      <c r="AU1949">
        <v>0</v>
      </c>
      <c r="AV1949">
        <v>0</v>
      </c>
      <c r="AW1949">
        <v>16.739999999999998</v>
      </c>
      <c r="AX1949">
        <v>0</v>
      </c>
      <c r="AY1949">
        <v>0</v>
      </c>
      <c r="AZ1949">
        <v>0</v>
      </c>
      <c r="BA1949">
        <v>0</v>
      </c>
      <c r="BB1949">
        <v>0</v>
      </c>
      <c r="BC1949">
        <v>0</v>
      </c>
      <c r="BD1949">
        <v>0</v>
      </c>
      <c r="BE1949">
        <v>0</v>
      </c>
      <c r="BF1949">
        <v>0</v>
      </c>
      <c r="BG1949">
        <v>0</v>
      </c>
      <c r="BH1949">
        <v>1</v>
      </c>
      <c r="BI1949">
        <v>4</v>
      </c>
      <c r="BJ1949">
        <v>0.9</v>
      </c>
      <c r="BK1949">
        <v>4</v>
      </c>
      <c r="BL1949">
        <v>216.8</v>
      </c>
      <c r="BM1949">
        <v>32.520000000000003</v>
      </c>
      <c r="BN1949">
        <v>249.32</v>
      </c>
      <c r="BO1949">
        <v>249.32</v>
      </c>
      <c r="BQ1949" t="s">
        <v>1009</v>
      </c>
      <c r="BR1949" t="s">
        <v>84</v>
      </c>
      <c r="BS1949" s="3">
        <v>45875</v>
      </c>
      <c r="BT1949" s="4">
        <v>0.62222222222222223</v>
      </c>
      <c r="BU1949" t="s">
        <v>1010</v>
      </c>
      <c r="BV1949" t="s">
        <v>86</v>
      </c>
      <c r="BY1949">
        <v>4256</v>
      </c>
      <c r="BZ1949" t="s">
        <v>2566</v>
      </c>
      <c r="CA1949" t="s">
        <v>651</v>
      </c>
      <c r="CC1949" t="s">
        <v>350</v>
      </c>
      <c r="CD1949" s="5" t="s">
        <v>1011</v>
      </c>
      <c r="CE1949" t="s">
        <v>89</v>
      </c>
      <c r="CF1949" s="3">
        <v>45875</v>
      </c>
      <c r="CI1949">
        <v>1</v>
      </c>
      <c r="CJ1949">
        <v>1</v>
      </c>
      <c r="CK1949">
        <v>43</v>
      </c>
      <c r="CL1949" t="s">
        <v>90</v>
      </c>
    </row>
    <row r="1950" spans="1:90" x14ac:dyDescent="0.3">
      <c r="A1950" t="s">
        <v>72</v>
      </c>
      <c r="B1950" t="s">
        <v>73</v>
      </c>
      <c r="C1950" t="s">
        <v>74</v>
      </c>
      <c r="E1950" t="str">
        <f>"080067032767"</f>
        <v>080067032767</v>
      </c>
      <c r="F1950" s="3">
        <v>45874</v>
      </c>
      <c r="G1950">
        <v>202605</v>
      </c>
      <c r="H1950" t="s">
        <v>75</v>
      </c>
      <c r="I1950" t="s">
        <v>76</v>
      </c>
      <c r="J1950" t="s">
        <v>77</v>
      </c>
      <c r="K1950" t="s">
        <v>78</v>
      </c>
      <c r="L1950" t="s">
        <v>1275</v>
      </c>
      <c r="M1950" t="s">
        <v>1276</v>
      </c>
      <c r="N1950" t="s">
        <v>2560</v>
      </c>
      <c r="O1950" t="s">
        <v>95</v>
      </c>
      <c r="P1950" t="str">
        <f>"4170052763                    "</f>
        <v xml:space="preserve">4170052763                    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0</v>
      </c>
      <c r="AI1950">
        <v>0</v>
      </c>
      <c r="AJ1950"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>
        <v>61.64</v>
      </c>
      <c r="AR1950">
        <v>0</v>
      </c>
      <c r="AS1950">
        <v>0</v>
      </c>
      <c r="AT1950">
        <v>0</v>
      </c>
      <c r="AU1950">
        <v>0</v>
      </c>
      <c r="AV1950">
        <v>0</v>
      </c>
      <c r="AW1950">
        <v>0</v>
      </c>
      <c r="AX1950">
        <v>0</v>
      </c>
      <c r="AY1950">
        <v>0</v>
      </c>
      <c r="AZ1950">
        <v>0</v>
      </c>
      <c r="BA1950">
        <v>0</v>
      </c>
      <c r="BB1950">
        <v>0</v>
      </c>
      <c r="BC1950">
        <v>0</v>
      </c>
      <c r="BD1950">
        <v>0</v>
      </c>
      <c r="BE1950">
        <v>0</v>
      </c>
      <c r="BF1950">
        <v>0</v>
      </c>
      <c r="BG1950">
        <v>0</v>
      </c>
      <c r="BH1950">
        <v>1</v>
      </c>
      <c r="BI1950">
        <v>4</v>
      </c>
      <c r="BJ1950">
        <v>2.4</v>
      </c>
      <c r="BK1950">
        <v>4</v>
      </c>
      <c r="BL1950">
        <v>200.06</v>
      </c>
      <c r="BM1950">
        <v>30.01</v>
      </c>
      <c r="BN1950">
        <v>230.07</v>
      </c>
      <c r="BO1950">
        <v>230.07</v>
      </c>
      <c r="BQ1950" t="s">
        <v>2561</v>
      </c>
      <c r="BR1950" t="s">
        <v>84</v>
      </c>
      <c r="BS1950" s="3">
        <v>45875</v>
      </c>
      <c r="BT1950" s="4">
        <v>0.47847222222222224</v>
      </c>
      <c r="BU1950" t="s">
        <v>2567</v>
      </c>
      <c r="BV1950" t="s">
        <v>86</v>
      </c>
      <c r="BY1950">
        <v>12096</v>
      </c>
      <c r="BZ1950" t="s">
        <v>1294</v>
      </c>
      <c r="CA1950" t="s">
        <v>2293</v>
      </c>
      <c r="CC1950" t="s">
        <v>1276</v>
      </c>
      <c r="CD1950">
        <v>1911</v>
      </c>
      <c r="CE1950" t="s">
        <v>117</v>
      </c>
      <c r="CF1950" s="3">
        <v>45876</v>
      </c>
      <c r="CI1950">
        <v>1</v>
      </c>
      <c r="CJ1950">
        <v>1</v>
      </c>
      <c r="CK1950">
        <v>43</v>
      </c>
      <c r="CL1950" t="s">
        <v>90</v>
      </c>
    </row>
    <row r="1951" spans="1:90" x14ac:dyDescent="0.3">
      <c r="A1951" t="s">
        <v>72</v>
      </c>
      <c r="B1951" t="s">
        <v>73</v>
      </c>
      <c r="C1951" t="s">
        <v>74</v>
      </c>
      <c r="E1951" t="str">
        <f>"080067033040"</f>
        <v>080067033040</v>
      </c>
      <c r="F1951" s="3">
        <v>45874</v>
      </c>
      <c r="G1951">
        <v>202605</v>
      </c>
      <c r="H1951" t="s">
        <v>75</v>
      </c>
      <c r="I1951" t="s">
        <v>76</v>
      </c>
      <c r="J1951" t="s">
        <v>77</v>
      </c>
      <c r="K1951" t="s">
        <v>78</v>
      </c>
      <c r="L1951" t="s">
        <v>513</v>
      </c>
      <c r="M1951" t="s">
        <v>514</v>
      </c>
      <c r="N1951" t="s">
        <v>2568</v>
      </c>
      <c r="O1951" t="s">
        <v>95</v>
      </c>
      <c r="P1951" t="str">
        <f>"4170052935                    "</f>
        <v xml:space="preserve">4170052935                    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0</v>
      </c>
      <c r="AI1951">
        <v>0</v>
      </c>
      <c r="AJ1951"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>
        <v>61.64</v>
      </c>
      <c r="AR1951">
        <v>0</v>
      </c>
      <c r="AS1951">
        <v>0</v>
      </c>
      <c r="AT1951">
        <v>0</v>
      </c>
      <c r="AU1951">
        <v>0</v>
      </c>
      <c r="AV1951">
        <v>0</v>
      </c>
      <c r="AW1951">
        <v>0</v>
      </c>
      <c r="AX1951">
        <v>0</v>
      </c>
      <c r="AY1951">
        <v>0</v>
      </c>
      <c r="AZ1951">
        <v>0</v>
      </c>
      <c r="BA1951">
        <v>0</v>
      </c>
      <c r="BB1951">
        <v>0</v>
      </c>
      <c r="BC1951">
        <v>0</v>
      </c>
      <c r="BD1951">
        <v>0</v>
      </c>
      <c r="BE1951">
        <v>0</v>
      </c>
      <c r="BF1951">
        <v>0</v>
      </c>
      <c r="BG1951">
        <v>0</v>
      </c>
      <c r="BH1951">
        <v>1</v>
      </c>
      <c r="BI1951">
        <v>6</v>
      </c>
      <c r="BJ1951">
        <v>9</v>
      </c>
      <c r="BK1951">
        <v>9</v>
      </c>
      <c r="BL1951">
        <v>200.06</v>
      </c>
      <c r="BM1951">
        <v>30.01</v>
      </c>
      <c r="BN1951">
        <v>230.07</v>
      </c>
      <c r="BO1951">
        <v>230.07</v>
      </c>
      <c r="BQ1951" t="s">
        <v>2569</v>
      </c>
      <c r="BR1951" t="s">
        <v>84</v>
      </c>
      <c r="BS1951" s="3">
        <v>45875</v>
      </c>
      <c r="BT1951" s="4">
        <v>0.4</v>
      </c>
      <c r="BU1951" t="s">
        <v>2570</v>
      </c>
      <c r="BV1951" t="s">
        <v>86</v>
      </c>
      <c r="BY1951">
        <v>45000</v>
      </c>
      <c r="BZ1951" t="s">
        <v>1294</v>
      </c>
      <c r="CA1951" t="s">
        <v>712</v>
      </c>
      <c r="CC1951" t="s">
        <v>514</v>
      </c>
      <c r="CD1951" s="5" t="s">
        <v>2571</v>
      </c>
      <c r="CE1951" t="s">
        <v>117</v>
      </c>
      <c r="CF1951" s="3">
        <v>45876</v>
      </c>
      <c r="CI1951">
        <v>1</v>
      </c>
      <c r="CJ1951">
        <v>1</v>
      </c>
      <c r="CK1951">
        <v>43</v>
      </c>
      <c r="CL1951" t="s">
        <v>90</v>
      </c>
    </row>
    <row r="1952" spans="1:90" x14ac:dyDescent="0.3">
      <c r="A1952" t="s">
        <v>72</v>
      </c>
      <c r="B1952" t="s">
        <v>73</v>
      </c>
      <c r="C1952" t="s">
        <v>74</v>
      </c>
      <c r="E1952" t="str">
        <f>"080067054798"</f>
        <v>080067054798</v>
      </c>
      <c r="F1952" s="3">
        <v>45875</v>
      </c>
      <c r="G1952">
        <v>202605</v>
      </c>
      <c r="H1952" t="s">
        <v>75</v>
      </c>
      <c r="I1952" t="s">
        <v>76</v>
      </c>
      <c r="J1952" t="s">
        <v>77</v>
      </c>
      <c r="K1952" t="s">
        <v>78</v>
      </c>
      <c r="L1952" t="s">
        <v>452</v>
      </c>
      <c r="M1952" t="s">
        <v>453</v>
      </c>
      <c r="N1952" t="s">
        <v>454</v>
      </c>
      <c r="O1952" t="s">
        <v>95</v>
      </c>
      <c r="P1952" t="str">
        <f>"4170053013                    "</f>
        <v xml:space="preserve">4170053013                    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0</v>
      </c>
      <c r="AI1952">
        <v>0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>
        <v>62.96</v>
      </c>
      <c r="AR1952">
        <v>0</v>
      </c>
      <c r="AS1952">
        <v>0</v>
      </c>
      <c r="AT1952">
        <v>0</v>
      </c>
      <c r="AU1952">
        <v>0</v>
      </c>
      <c r="AV1952">
        <v>0</v>
      </c>
      <c r="AW1952">
        <v>0</v>
      </c>
      <c r="AX1952">
        <v>0</v>
      </c>
      <c r="AY1952">
        <v>0</v>
      </c>
      <c r="AZ1952">
        <v>0</v>
      </c>
      <c r="BA1952">
        <v>0</v>
      </c>
      <c r="BB1952">
        <v>0</v>
      </c>
      <c r="BC1952">
        <v>0</v>
      </c>
      <c r="BD1952">
        <v>0</v>
      </c>
      <c r="BE1952">
        <v>0</v>
      </c>
      <c r="BF1952">
        <v>0</v>
      </c>
      <c r="BG1952">
        <v>0</v>
      </c>
      <c r="BH1952">
        <v>1</v>
      </c>
      <c r="BI1952">
        <v>5</v>
      </c>
      <c r="BJ1952">
        <v>0.6</v>
      </c>
      <c r="BK1952">
        <v>5</v>
      </c>
      <c r="BL1952">
        <v>201.38</v>
      </c>
      <c r="BM1952">
        <v>30.21</v>
      </c>
      <c r="BN1952">
        <v>231.59</v>
      </c>
      <c r="BO1952">
        <v>231.59</v>
      </c>
      <c r="BQ1952" t="s">
        <v>455</v>
      </c>
      <c r="BR1952" t="s">
        <v>84</v>
      </c>
      <c r="BS1952" s="3">
        <v>45876</v>
      </c>
      <c r="BT1952" s="4">
        <v>0.34513888888888888</v>
      </c>
      <c r="BU1952" t="s">
        <v>483</v>
      </c>
      <c r="BV1952" t="s">
        <v>86</v>
      </c>
      <c r="BY1952">
        <v>3192</v>
      </c>
      <c r="BZ1952" t="s">
        <v>1294</v>
      </c>
      <c r="CA1952" t="s">
        <v>1093</v>
      </c>
      <c r="CC1952" t="s">
        <v>453</v>
      </c>
      <c r="CD1952">
        <v>1947</v>
      </c>
      <c r="CE1952" t="s">
        <v>89</v>
      </c>
      <c r="CF1952" s="3">
        <v>45876</v>
      </c>
      <c r="CI1952">
        <v>1</v>
      </c>
      <c r="CJ1952">
        <v>1</v>
      </c>
      <c r="CK1952">
        <v>43</v>
      </c>
      <c r="CL1952" t="s">
        <v>90</v>
      </c>
    </row>
    <row r="1953" spans="1:90" x14ac:dyDescent="0.3">
      <c r="A1953" t="s">
        <v>72</v>
      </c>
      <c r="B1953" t="s">
        <v>73</v>
      </c>
      <c r="C1953" t="s">
        <v>74</v>
      </c>
      <c r="E1953" t="str">
        <f>"080067055023"</f>
        <v>080067055023</v>
      </c>
      <c r="F1953" s="3">
        <v>45875</v>
      </c>
      <c r="G1953">
        <v>202605</v>
      </c>
      <c r="H1953" t="s">
        <v>75</v>
      </c>
      <c r="I1953" t="s">
        <v>76</v>
      </c>
      <c r="J1953" t="s">
        <v>77</v>
      </c>
      <c r="K1953" t="s">
        <v>78</v>
      </c>
      <c r="L1953" t="s">
        <v>335</v>
      </c>
      <c r="M1953" t="s">
        <v>336</v>
      </c>
      <c r="N1953" t="s">
        <v>2572</v>
      </c>
      <c r="O1953" t="s">
        <v>95</v>
      </c>
      <c r="P1953" t="str">
        <f>"4170053116                    "</f>
        <v xml:space="preserve">4170053116                    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0</v>
      </c>
      <c r="AI1953">
        <v>0</v>
      </c>
      <c r="AJ1953">
        <v>0</v>
      </c>
      <c r="AK1953">
        <v>0</v>
      </c>
      <c r="AL1953">
        <v>0</v>
      </c>
      <c r="AM1953">
        <v>0</v>
      </c>
      <c r="AN1953">
        <v>0</v>
      </c>
      <c r="AO1953">
        <v>0</v>
      </c>
      <c r="AP1953">
        <v>0</v>
      </c>
      <c r="AQ1953">
        <v>62.96</v>
      </c>
      <c r="AR1953">
        <v>0</v>
      </c>
      <c r="AS1953">
        <v>0</v>
      </c>
      <c r="AT1953">
        <v>0</v>
      </c>
      <c r="AU1953">
        <v>0</v>
      </c>
      <c r="AV1953">
        <v>0</v>
      </c>
      <c r="AW1953">
        <v>0</v>
      </c>
      <c r="AX1953">
        <v>0</v>
      </c>
      <c r="AY1953">
        <v>0</v>
      </c>
      <c r="AZ1953">
        <v>0</v>
      </c>
      <c r="BA1953">
        <v>0</v>
      </c>
      <c r="BB1953">
        <v>0</v>
      </c>
      <c r="BC1953">
        <v>0</v>
      </c>
      <c r="BD1953">
        <v>0</v>
      </c>
      <c r="BE1953">
        <v>0</v>
      </c>
      <c r="BF1953">
        <v>0</v>
      </c>
      <c r="BG1953">
        <v>0</v>
      </c>
      <c r="BH1953">
        <v>1</v>
      </c>
      <c r="BI1953">
        <v>3</v>
      </c>
      <c r="BJ1953">
        <v>5</v>
      </c>
      <c r="BK1953">
        <v>5</v>
      </c>
      <c r="BL1953">
        <v>201.38</v>
      </c>
      <c r="BM1953">
        <v>30.21</v>
      </c>
      <c r="BN1953">
        <v>231.59</v>
      </c>
      <c r="BO1953">
        <v>231.59</v>
      </c>
      <c r="BQ1953" t="s">
        <v>2573</v>
      </c>
      <c r="BR1953" t="s">
        <v>84</v>
      </c>
      <c r="BS1953" s="3">
        <v>45876</v>
      </c>
      <c r="BT1953" s="4">
        <v>0.43402777777777779</v>
      </c>
      <c r="BU1953" t="s">
        <v>2574</v>
      </c>
      <c r="BV1953" t="s">
        <v>86</v>
      </c>
      <c r="BY1953">
        <v>25000</v>
      </c>
      <c r="BZ1953" t="s">
        <v>1294</v>
      </c>
      <c r="CA1953" t="s">
        <v>2575</v>
      </c>
      <c r="CC1953" t="s">
        <v>336</v>
      </c>
      <c r="CD1953" s="5" t="s">
        <v>341</v>
      </c>
      <c r="CE1953" t="s">
        <v>2576</v>
      </c>
      <c r="CF1953" s="3">
        <v>45877</v>
      </c>
      <c r="CI1953">
        <v>1</v>
      </c>
      <c r="CJ1953">
        <v>1</v>
      </c>
      <c r="CK1953">
        <v>43</v>
      </c>
      <c r="CL1953" t="s">
        <v>90</v>
      </c>
    </row>
    <row r="1954" spans="1:90" x14ac:dyDescent="0.3">
      <c r="A1954" t="s">
        <v>72</v>
      </c>
      <c r="B1954" t="s">
        <v>73</v>
      </c>
      <c r="C1954" t="s">
        <v>74</v>
      </c>
      <c r="E1954" t="str">
        <f>"080067060168"</f>
        <v>080067060168</v>
      </c>
      <c r="F1954" s="3">
        <v>45875</v>
      </c>
      <c r="G1954">
        <v>202605</v>
      </c>
      <c r="H1954" t="s">
        <v>75</v>
      </c>
      <c r="I1954" t="s">
        <v>76</v>
      </c>
      <c r="J1954" t="s">
        <v>77</v>
      </c>
      <c r="K1954" t="s">
        <v>78</v>
      </c>
      <c r="L1954" t="s">
        <v>513</v>
      </c>
      <c r="M1954" t="s">
        <v>514</v>
      </c>
      <c r="N1954" t="s">
        <v>709</v>
      </c>
      <c r="O1954" t="s">
        <v>95</v>
      </c>
      <c r="P1954" t="str">
        <f>"4170053091                    "</f>
        <v xml:space="preserve">4170053091                    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Q1954">
        <v>62.96</v>
      </c>
      <c r="AR1954">
        <v>0</v>
      </c>
      <c r="AS1954">
        <v>0</v>
      </c>
      <c r="AT1954">
        <v>0</v>
      </c>
      <c r="AU1954">
        <v>0</v>
      </c>
      <c r="AV1954">
        <v>0</v>
      </c>
      <c r="AW1954">
        <v>0</v>
      </c>
      <c r="AX1954">
        <v>0</v>
      </c>
      <c r="AY1954">
        <v>0</v>
      </c>
      <c r="AZ1954">
        <v>0</v>
      </c>
      <c r="BA1954">
        <v>0</v>
      </c>
      <c r="BB1954">
        <v>0</v>
      </c>
      <c r="BC1954">
        <v>0</v>
      </c>
      <c r="BD1954">
        <v>0</v>
      </c>
      <c r="BE1954">
        <v>0</v>
      </c>
      <c r="BF1954">
        <v>0</v>
      </c>
      <c r="BG1954">
        <v>0</v>
      </c>
      <c r="BH1954">
        <v>1</v>
      </c>
      <c r="BI1954">
        <v>4</v>
      </c>
      <c r="BJ1954">
        <v>1.7</v>
      </c>
      <c r="BK1954">
        <v>4</v>
      </c>
      <c r="BL1954">
        <v>201.38</v>
      </c>
      <c r="BM1954">
        <v>30.21</v>
      </c>
      <c r="BN1954">
        <v>231.59</v>
      </c>
      <c r="BO1954">
        <v>231.59</v>
      </c>
      <c r="BQ1954" t="s">
        <v>710</v>
      </c>
      <c r="BR1954" t="s">
        <v>84</v>
      </c>
      <c r="BS1954" s="3">
        <v>45876</v>
      </c>
      <c r="BT1954" s="4">
        <v>0.43472222222222223</v>
      </c>
      <c r="BU1954" t="s">
        <v>1657</v>
      </c>
      <c r="BV1954" t="s">
        <v>86</v>
      </c>
      <c r="BY1954">
        <v>8550</v>
      </c>
      <c r="BZ1954" t="s">
        <v>1294</v>
      </c>
      <c r="CA1954" t="s">
        <v>712</v>
      </c>
      <c r="CC1954" t="s">
        <v>514</v>
      </c>
      <c r="CD1954" s="5" t="s">
        <v>519</v>
      </c>
      <c r="CE1954" t="s">
        <v>89</v>
      </c>
      <c r="CF1954" s="3">
        <v>45877</v>
      </c>
      <c r="CI1954">
        <v>1</v>
      </c>
      <c r="CJ1954">
        <v>1</v>
      </c>
      <c r="CK1954">
        <v>43</v>
      </c>
      <c r="CL1954" t="s">
        <v>90</v>
      </c>
    </row>
    <row r="1955" spans="1:90" x14ac:dyDescent="0.3">
      <c r="A1955" t="s">
        <v>72</v>
      </c>
      <c r="B1955" t="s">
        <v>73</v>
      </c>
      <c r="C1955" t="s">
        <v>74</v>
      </c>
      <c r="E1955" t="str">
        <f>"080067060208"</f>
        <v>080067060208</v>
      </c>
      <c r="F1955" s="3">
        <v>45875</v>
      </c>
      <c r="G1955">
        <v>202605</v>
      </c>
      <c r="H1955" t="s">
        <v>75</v>
      </c>
      <c r="I1955" t="s">
        <v>76</v>
      </c>
      <c r="J1955" t="s">
        <v>77</v>
      </c>
      <c r="K1955" t="s">
        <v>78</v>
      </c>
      <c r="L1955" t="s">
        <v>513</v>
      </c>
      <c r="M1955" t="s">
        <v>514</v>
      </c>
      <c r="N1955" t="s">
        <v>1017</v>
      </c>
      <c r="O1955" t="s">
        <v>95</v>
      </c>
      <c r="P1955" t="str">
        <f>"4170053194                    "</f>
        <v xml:space="preserve">4170053194                    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0</v>
      </c>
      <c r="AI1955">
        <v>0</v>
      </c>
      <c r="AJ1955"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Q1955">
        <v>62.96</v>
      </c>
      <c r="AR1955">
        <v>0</v>
      </c>
      <c r="AS1955">
        <v>0</v>
      </c>
      <c r="AT1955">
        <v>0</v>
      </c>
      <c r="AU1955">
        <v>0</v>
      </c>
      <c r="AV1955">
        <v>0</v>
      </c>
      <c r="AW1955">
        <v>0</v>
      </c>
      <c r="AX1955">
        <v>0</v>
      </c>
      <c r="AY1955">
        <v>0</v>
      </c>
      <c r="AZ1955">
        <v>0</v>
      </c>
      <c r="BA1955">
        <v>0</v>
      </c>
      <c r="BB1955">
        <v>0</v>
      </c>
      <c r="BC1955">
        <v>0</v>
      </c>
      <c r="BD1955">
        <v>0</v>
      </c>
      <c r="BE1955">
        <v>0</v>
      </c>
      <c r="BF1955">
        <v>0</v>
      </c>
      <c r="BG1955">
        <v>0</v>
      </c>
      <c r="BH1955">
        <v>1</v>
      </c>
      <c r="BI1955">
        <v>4</v>
      </c>
      <c r="BJ1955">
        <v>1.9</v>
      </c>
      <c r="BK1955">
        <v>4</v>
      </c>
      <c r="BL1955">
        <v>201.38</v>
      </c>
      <c r="BM1955">
        <v>30.21</v>
      </c>
      <c r="BN1955">
        <v>231.59</v>
      </c>
      <c r="BO1955">
        <v>231.59</v>
      </c>
      <c r="BQ1955" t="s">
        <v>1018</v>
      </c>
      <c r="BR1955" t="s">
        <v>84</v>
      </c>
      <c r="BS1955" s="3">
        <v>45876</v>
      </c>
      <c r="BT1955" s="4">
        <v>0.40972222222222221</v>
      </c>
      <c r="BU1955" t="s">
        <v>1335</v>
      </c>
      <c r="BV1955" t="s">
        <v>86</v>
      </c>
      <c r="BY1955">
        <v>9576</v>
      </c>
      <c r="BZ1955" t="s">
        <v>1294</v>
      </c>
      <c r="CA1955" t="s">
        <v>1336</v>
      </c>
      <c r="CC1955" t="s">
        <v>514</v>
      </c>
      <c r="CD1955" s="5" t="s">
        <v>519</v>
      </c>
      <c r="CE1955" t="s">
        <v>89</v>
      </c>
      <c r="CF1955" s="3">
        <v>45877</v>
      </c>
      <c r="CI1955">
        <v>1</v>
      </c>
      <c r="CJ1955">
        <v>1</v>
      </c>
      <c r="CK1955">
        <v>43</v>
      </c>
      <c r="CL1955" t="s">
        <v>90</v>
      </c>
    </row>
    <row r="1956" spans="1:90" x14ac:dyDescent="0.3">
      <c r="A1956" t="s">
        <v>72</v>
      </c>
      <c r="B1956" t="s">
        <v>73</v>
      </c>
      <c r="C1956" t="s">
        <v>74</v>
      </c>
      <c r="E1956" t="str">
        <f>"080067061420"</f>
        <v>080067061420</v>
      </c>
      <c r="F1956" s="3">
        <v>45875</v>
      </c>
      <c r="G1956">
        <v>202605</v>
      </c>
      <c r="H1956" t="s">
        <v>75</v>
      </c>
      <c r="I1956" t="s">
        <v>76</v>
      </c>
      <c r="J1956" t="s">
        <v>77</v>
      </c>
      <c r="K1956" t="s">
        <v>78</v>
      </c>
      <c r="L1956" t="s">
        <v>278</v>
      </c>
      <c r="M1956" t="s">
        <v>279</v>
      </c>
      <c r="N1956" t="s">
        <v>1279</v>
      </c>
      <c r="O1956" t="s">
        <v>95</v>
      </c>
      <c r="P1956" t="str">
        <f>"4170053163                    "</f>
        <v xml:space="preserve">4170053163                    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0</v>
      </c>
      <c r="AI1956">
        <v>0</v>
      </c>
      <c r="AJ1956">
        <v>0</v>
      </c>
      <c r="AK1956">
        <v>0</v>
      </c>
      <c r="AL1956">
        <v>0</v>
      </c>
      <c r="AM1956">
        <v>0</v>
      </c>
      <c r="AN1956">
        <v>0</v>
      </c>
      <c r="AO1956">
        <v>0</v>
      </c>
      <c r="AP1956">
        <v>0</v>
      </c>
      <c r="AQ1956">
        <v>44.64</v>
      </c>
      <c r="AR1956">
        <v>0</v>
      </c>
      <c r="AS1956">
        <v>0</v>
      </c>
      <c r="AT1956">
        <v>0</v>
      </c>
      <c r="AU1956">
        <v>0</v>
      </c>
      <c r="AV1956">
        <v>0</v>
      </c>
      <c r="AW1956">
        <v>0</v>
      </c>
      <c r="AX1956">
        <v>0</v>
      </c>
      <c r="AY1956">
        <v>0</v>
      </c>
      <c r="AZ1956">
        <v>0</v>
      </c>
      <c r="BA1956">
        <v>0</v>
      </c>
      <c r="BB1956">
        <v>0</v>
      </c>
      <c r="BC1956">
        <v>0</v>
      </c>
      <c r="BD1956">
        <v>0</v>
      </c>
      <c r="BE1956">
        <v>0</v>
      </c>
      <c r="BF1956">
        <v>0</v>
      </c>
      <c r="BG1956">
        <v>0</v>
      </c>
      <c r="BH1956">
        <v>1</v>
      </c>
      <c r="BI1956">
        <v>3</v>
      </c>
      <c r="BJ1956">
        <v>1.7</v>
      </c>
      <c r="BK1956">
        <v>3</v>
      </c>
      <c r="BL1956">
        <v>144.49</v>
      </c>
      <c r="BM1956">
        <v>21.67</v>
      </c>
      <c r="BN1956">
        <v>166.16</v>
      </c>
      <c r="BO1956">
        <v>166.16</v>
      </c>
      <c r="BQ1956" t="s">
        <v>1280</v>
      </c>
      <c r="BR1956" t="s">
        <v>84</v>
      </c>
      <c r="BS1956" s="3">
        <v>45876</v>
      </c>
      <c r="BT1956" s="4">
        <v>0.39305555555555555</v>
      </c>
      <c r="BU1956" t="s">
        <v>1281</v>
      </c>
      <c r="BV1956" t="s">
        <v>86</v>
      </c>
      <c r="BY1956">
        <v>8428</v>
      </c>
      <c r="BZ1956" t="s">
        <v>1294</v>
      </c>
      <c r="CA1956" t="s">
        <v>283</v>
      </c>
      <c r="CC1956" t="s">
        <v>279</v>
      </c>
      <c r="CD1956" s="5" t="s">
        <v>652</v>
      </c>
      <c r="CE1956" t="s">
        <v>117</v>
      </c>
      <c r="CF1956" s="3">
        <v>45876</v>
      </c>
      <c r="CI1956">
        <v>1</v>
      </c>
      <c r="CJ1956">
        <v>1</v>
      </c>
      <c r="CK1956">
        <v>41</v>
      </c>
      <c r="CL1956" t="s">
        <v>90</v>
      </c>
    </row>
    <row r="1957" spans="1:90" x14ac:dyDescent="0.3">
      <c r="A1957" t="s">
        <v>72</v>
      </c>
      <c r="B1957" t="s">
        <v>73</v>
      </c>
      <c r="C1957" t="s">
        <v>74</v>
      </c>
      <c r="E1957" t="str">
        <f>"080067063608"</f>
        <v>080067063608</v>
      </c>
      <c r="F1957" s="3">
        <v>45875</v>
      </c>
      <c r="G1957">
        <v>202605</v>
      </c>
      <c r="H1957" t="s">
        <v>75</v>
      </c>
      <c r="I1957" t="s">
        <v>76</v>
      </c>
      <c r="J1957" t="s">
        <v>77</v>
      </c>
      <c r="K1957" t="s">
        <v>78</v>
      </c>
      <c r="L1957" t="s">
        <v>179</v>
      </c>
      <c r="M1957" t="s">
        <v>180</v>
      </c>
      <c r="N1957" t="s">
        <v>275</v>
      </c>
      <c r="O1957" t="s">
        <v>95</v>
      </c>
      <c r="P1957" t="str">
        <f>"4170053309                    "</f>
        <v xml:space="preserve">4170053309                    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0</v>
      </c>
      <c r="AI1957">
        <v>0</v>
      </c>
      <c r="AJ1957">
        <v>0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Q1957">
        <v>49.3</v>
      </c>
      <c r="AR1957">
        <v>0</v>
      </c>
      <c r="AS1957">
        <v>0</v>
      </c>
      <c r="AT1957">
        <v>0</v>
      </c>
      <c r="AU1957">
        <v>0</v>
      </c>
      <c r="AV1957">
        <v>0</v>
      </c>
      <c r="AW1957">
        <v>0</v>
      </c>
      <c r="AX1957">
        <v>0</v>
      </c>
      <c r="AY1957">
        <v>0</v>
      </c>
      <c r="AZ1957">
        <v>0</v>
      </c>
      <c r="BA1957">
        <v>0</v>
      </c>
      <c r="BB1957">
        <v>0</v>
      </c>
      <c r="BC1957">
        <v>0</v>
      </c>
      <c r="BD1957">
        <v>0</v>
      </c>
      <c r="BE1957">
        <v>0</v>
      </c>
      <c r="BF1957">
        <v>0</v>
      </c>
      <c r="BG1957">
        <v>0</v>
      </c>
      <c r="BH1957">
        <v>1</v>
      </c>
      <c r="BI1957">
        <v>2</v>
      </c>
      <c r="BJ1957">
        <v>3.4</v>
      </c>
      <c r="BK1957">
        <v>4</v>
      </c>
      <c r="BL1957">
        <v>158.96</v>
      </c>
      <c r="BM1957">
        <v>23.84</v>
      </c>
      <c r="BN1957">
        <v>182.8</v>
      </c>
      <c r="BO1957">
        <v>182.8</v>
      </c>
      <c r="BQ1957" t="s">
        <v>276</v>
      </c>
      <c r="BR1957" t="s">
        <v>84</v>
      </c>
      <c r="BS1957" s="3">
        <v>45876</v>
      </c>
      <c r="BT1957" s="4">
        <v>0.42291666666666666</v>
      </c>
      <c r="BU1957" t="s">
        <v>1468</v>
      </c>
      <c r="BV1957" t="s">
        <v>86</v>
      </c>
      <c r="BY1957">
        <v>16965</v>
      </c>
      <c r="BZ1957" t="s">
        <v>1294</v>
      </c>
      <c r="CA1957" t="s">
        <v>184</v>
      </c>
      <c r="CC1957" t="s">
        <v>180</v>
      </c>
      <c r="CD1957">
        <v>1748</v>
      </c>
      <c r="CE1957" t="s">
        <v>89</v>
      </c>
      <c r="CF1957" s="3">
        <v>45877</v>
      </c>
      <c r="CI1957">
        <v>1</v>
      </c>
      <c r="CJ1957">
        <v>1</v>
      </c>
      <c r="CK1957">
        <v>44</v>
      </c>
      <c r="CL1957" t="s">
        <v>90</v>
      </c>
    </row>
    <row r="1958" spans="1:90" x14ac:dyDescent="0.3">
      <c r="A1958" t="s">
        <v>72</v>
      </c>
      <c r="B1958" t="s">
        <v>73</v>
      </c>
      <c r="C1958" t="s">
        <v>74</v>
      </c>
      <c r="E1958" t="str">
        <f>"080067064603"</f>
        <v>080067064603</v>
      </c>
      <c r="F1958" s="3">
        <v>45875</v>
      </c>
      <c r="G1958">
        <v>202605</v>
      </c>
      <c r="H1958" t="s">
        <v>75</v>
      </c>
      <c r="I1958" t="s">
        <v>76</v>
      </c>
      <c r="J1958" t="s">
        <v>77</v>
      </c>
      <c r="K1958" t="s">
        <v>78</v>
      </c>
      <c r="L1958" t="s">
        <v>1275</v>
      </c>
      <c r="M1958" t="s">
        <v>1276</v>
      </c>
      <c r="N1958" t="s">
        <v>2577</v>
      </c>
      <c r="O1958" t="s">
        <v>95</v>
      </c>
      <c r="P1958" t="str">
        <f>"4170053242                    "</f>
        <v xml:space="preserve">4170053242                    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0</v>
      </c>
      <c r="AJ1958">
        <v>0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>
        <v>0</v>
      </c>
      <c r="AQ1958">
        <v>62.96</v>
      </c>
      <c r="AR1958">
        <v>0</v>
      </c>
      <c r="AS1958">
        <v>0</v>
      </c>
      <c r="AT1958">
        <v>0</v>
      </c>
      <c r="AU1958">
        <v>0</v>
      </c>
      <c r="AV1958">
        <v>0</v>
      </c>
      <c r="AW1958">
        <v>0</v>
      </c>
      <c r="AX1958">
        <v>0</v>
      </c>
      <c r="AY1958">
        <v>0</v>
      </c>
      <c r="AZ1958">
        <v>0</v>
      </c>
      <c r="BA1958">
        <v>0</v>
      </c>
      <c r="BB1958">
        <v>0</v>
      </c>
      <c r="BC1958">
        <v>0</v>
      </c>
      <c r="BD1958">
        <v>0</v>
      </c>
      <c r="BE1958">
        <v>0</v>
      </c>
      <c r="BF1958">
        <v>0</v>
      </c>
      <c r="BG1958">
        <v>0</v>
      </c>
      <c r="BH1958">
        <v>1</v>
      </c>
      <c r="BI1958">
        <v>13</v>
      </c>
      <c r="BJ1958">
        <v>4.0999999999999996</v>
      </c>
      <c r="BK1958">
        <v>13</v>
      </c>
      <c r="BL1958">
        <v>201.38</v>
      </c>
      <c r="BM1958">
        <v>30.21</v>
      </c>
      <c r="BN1958">
        <v>231.59</v>
      </c>
      <c r="BO1958">
        <v>231.59</v>
      </c>
      <c r="BQ1958" t="s">
        <v>2578</v>
      </c>
      <c r="BR1958" t="s">
        <v>84</v>
      </c>
      <c r="BS1958" s="3">
        <v>45876</v>
      </c>
      <c r="BT1958" s="4">
        <v>0.54166666666666663</v>
      </c>
      <c r="BU1958" t="s">
        <v>2255</v>
      </c>
      <c r="BV1958" t="s">
        <v>86</v>
      </c>
      <c r="BY1958">
        <v>20358</v>
      </c>
      <c r="BZ1958" t="s">
        <v>1294</v>
      </c>
      <c r="CA1958" t="s">
        <v>2293</v>
      </c>
      <c r="CC1958" t="s">
        <v>1276</v>
      </c>
      <c r="CD1958">
        <v>1911</v>
      </c>
      <c r="CE1958" t="s">
        <v>89</v>
      </c>
      <c r="CF1958" s="3">
        <v>45876</v>
      </c>
      <c r="CI1958">
        <v>1</v>
      </c>
      <c r="CJ1958">
        <v>1</v>
      </c>
      <c r="CK1958">
        <v>43</v>
      </c>
      <c r="CL1958" t="s">
        <v>90</v>
      </c>
    </row>
    <row r="1959" spans="1:90" x14ac:dyDescent="0.3">
      <c r="A1959" t="s">
        <v>72</v>
      </c>
      <c r="B1959" t="s">
        <v>73</v>
      </c>
      <c r="C1959" t="s">
        <v>74</v>
      </c>
      <c r="E1959" t="str">
        <f>"080067064812"</f>
        <v>080067064812</v>
      </c>
      <c r="F1959" s="3">
        <v>45875</v>
      </c>
      <c r="G1959">
        <v>202605</v>
      </c>
      <c r="H1959" t="s">
        <v>75</v>
      </c>
      <c r="I1959" t="s">
        <v>76</v>
      </c>
      <c r="J1959" t="s">
        <v>77</v>
      </c>
      <c r="K1959" t="s">
        <v>78</v>
      </c>
      <c r="L1959" t="s">
        <v>1581</v>
      </c>
      <c r="M1959" t="s">
        <v>1582</v>
      </c>
      <c r="N1959" t="s">
        <v>1583</v>
      </c>
      <c r="O1959" t="s">
        <v>95</v>
      </c>
      <c r="P1959" t="str">
        <f>"4170053214                    "</f>
        <v xml:space="preserve">4170053214                    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N1959">
        <v>0</v>
      </c>
      <c r="AO1959">
        <v>0</v>
      </c>
      <c r="AP1959">
        <v>0</v>
      </c>
      <c r="AQ1959">
        <v>62.96</v>
      </c>
      <c r="AR1959">
        <v>0</v>
      </c>
      <c r="AS1959">
        <v>0</v>
      </c>
      <c r="AT1959">
        <v>0</v>
      </c>
      <c r="AU1959">
        <v>0</v>
      </c>
      <c r="AV1959">
        <v>0</v>
      </c>
      <c r="AW1959">
        <v>0</v>
      </c>
      <c r="AX1959">
        <v>0</v>
      </c>
      <c r="AY1959">
        <v>0</v>
      </c>
      <c r="AZ1959">
        <v>0</v>
      </c>
      <c r="BA1959">
        <v>0</v>
      </c>
      <c r="BB1959">
        <v>0</v>
      </c>
      <c r="BC1959">
        <v>0</v>
      </c>
      <c r="BD1959">
        <v>0</v>
      </c>
      <c r="BE1959">
        <v>0</v>
      </c>
      <c r="BF1959">
        <v>0</v>
      </c>
      <c r="BG1959">
        <v>0</v>
      </c>
      <c r="BH1959">
        <v>1</v>
      </c>
      <c r="BI1959">
        <v>6</v>
      </c>
      <c r="BJ1959">
        <v>7.2</v>
      </c>
      <c r="BK1959">
        <v>8</v>
      </c>
      <c r="BL1959">
        <v>201.38</v>
      </c>
      <c r="BM1959">
        <v>30.21</v>
      </c>
      <c r="BN1959">
        <v>231.59</v>
      </c>
      <c r="BO1959">
        <v>231.59</v>
      </c>
      <c r="BQ1959" t="s">
        <v>1584</v>
      </c>
      <c r="BR1959" t="s">
        <v>84</v>
      </c>
      <c r="BS1959" s="3">
        <v>45876</v>
      </c>
      <c r="BT1959" s="4">
        <v>0.61250000000000004</v>
      </c>
      <c r="BU1959" t="s">
        <v>2579</v>
      </c>
      <c r="BV1959" t="s">
        <v>86</v>
      </c>
      <c r="BY1959">
        <v>35964</v>
      </c>
      <c r="BZ1959" t="s">
        <v>1294</v>
      </c>
      <c r="CA1959" t="s">
        <v>1586</v>
      </c>
      <c r="CC1959" t="s">
        <v>1582</v>
      </c>
      <c r="CD1959">
        <v>1028</v>
      </c>
      <c r="CE1959" t="s">
        <v>2580</v>
      </c>
      <c r="CF1959" s="3">
        <v>45876</v>
      </c>
      <c r="CI1959">
        <v>1</v>
      </c>
      <c r="CJ1959">
        <v>1</v>
      </c>
      <c r="CK1959">
        <v>43</v>
      </c>
      <c r="CL1959" t="s">
        <v>90</v>
      </c>
    </row>
    <row r="1960" spans="1:90" x14ac:dyDescent="0.3">
      <c r="A1960" t="s">
        <v>72</v>
      </c>
      <c r="B1960" t="s">
        <v>73</v>
      </c>
      <c r="C1960" t="s">
        <v>74</v>
      </c>
      <c r="E1960" t="str">
        <f>"080067080288"</f>
        <v>080067080288</v>
      </c>
      <c r="F1960" s="3">
        <v>45876</v>
      </c>
      <c r="G1960">
        <v>202605</v>
      </c>
      <c r="H1960" t="s">
        <v>75</v>
      </c>
      <c r="I1960" t="s">
        <v>76</v>
      </c>
      <c r="J1960" t="s">
        <v>77</v>
      </c>
      <c r="K1960" t="s">
        <v>78</v>
      </c>
      <c r="L1960" t="s">
        <v>513</v>
      </c>
      <c r="M1960" t="s">
        <v>514</v>
      </c>
      <c r="N1960" t="s">
        <v>1017</v>
      </c>
      <c r="O1960" t="s">
        <v>95</v>
      </c>
      <c r="P1960" t="str">
        <f>"4170053138                    "</f>
        <v xml:space="preserve">4170053138                    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0</v>
      </c>
      <c r="AI1960">
        <v>0</v>
      </c>
      <c r="AJ1960">
        <v>0</v>
      </c>
      <c r="AK1960">
        <v>0</v>
      </c>
      <c r="AL1960">
        <v>0</v>
      </c>
      <c r="AM1960">
        <v>0</v>
      </c>
      <c r="AN1960">
        <v>0</v>
      </c>
      <c r="AO1960">
        <v>0</v>
      </c>
      <c r="AP1960">
        <v>0</v>
      </c>
      <c r="AQ1960">
        <v>62.96</v>
      </c>
      <c r="AR1960">
        <v>0</v>
      </c>
      <c r="AS1960">
        <v>0</v>
      </c>
      <c r="AT1960">
        <v>0</v>
      </c>
      <c r="AU1960">
        <v>0</v>
      </c>
      <c r="AV1960">
        <v>0</v>
      </c>
      <c r="AW1960">
        <v>0</v>
      </c>
      <c r="AX1960">
        <v>0</v>
      </c>
      <c r="AY1960">
        <v>0</v>
      </c>
      <c r="AZ1960">
        <v>0</v>
      </c>
      <c r="BA1960">
        <v>0</v>
      </c>
      <c r="BB1960">
        <v>0</v>
      </c>
      <c r="BC1960">
        <v>0</v>
      </c>
      <c r="BD1960">
        <v>0</v>
      </c>
      <c r="BE1960">
        <v>0</v>
      </c>
      <c r="BF1960">
        <v>0</v>
      </c>
      <c r="BG1960">
        <v>0</v>
      </c>
      <c r="BH1960">
        <v>1</v>
      </c>
      <c r="BI1960">
        <v>3</v>
      </c>
      <c r="BJ1960">
        <v>5</v>
      </c>
      <c r="BK1960">
        <v>5</v>
      </c>
      <c r="BL1960">
        <v>201.38</v>
      </c>
      <c r="BM1960">
        <v>30.21</v>
      </c>
      <c r="BN1960">
        <v>231.59</v>
      </c>
      <c r="BO1960">
        <v>231.59</v>
      </c>
      <c r="BQ1960" t="s">
        <v>1018</v>
      </c>
      <c r="BR1960" t="s">
        <v>84</v>
      </c>
      <c r="BS1960" s="3">
        <v>45877</v>
      </c>
      <c r="BT1960" s="4">
        <v>0.41805555555555557</v>
      </c>
      <c r="BU1960" t="s">
        <v>2581</v>
      </c>
      <c r="BV1960" t="s">
        <v>86</v>
      </c>
      <c r="BY1960">
        <v>24882</v>
      </c>
      <c r="BZ1960" t="s">
        <v>1294</v>
      </c>
      <c r="CA1960" t="s">
        <v>518</v>
      </c>
      <c r="CC1960" t="s">
        <v>514</v>
      </c>
      <c r="CD1960" s="5" t="s">
        <v>519</v>
      </c>
      <c r="CE1960" t="s">
        <v>89</v>
      </c>
      <c r="CF1960" s="3">
        <v>45880</v>
      </c>
      <c r="CI1960">
        <v>1</v>
      </c>
      <c r="CJ1960">
        <v>1</v>
      </c>
      <c r="CK1960">
        <v>43</v>
      </c>
      <c r="CL1960" t="s">
        <v>90</v>
      </c>
    </row>
    <row r="1961" spans="1:90" x14ac:dyDescent="0.3">
      <c r="A1961" t="s">
        <v>72</v>
      </c>
      <c r="B1961" t="s">
        <v>73</v>
      </c>
      <c r="C1961" t="s">
        <v>74</v>
      </c>
      <c r="E1961" t="str">
        <f>"080067080726"</f>
        <v>080067080726</v>
      </c>
      <c r="F1961" s="3">
        <v>45876</v>
      </c>
      <c r="G1961">
        <v>202605</v>
      </c>
      <c r="H1961" t="s">
        <v>75</v>
      </c>
      <c r="I1961" t="s">
        <v>76</v>
      </c>
      <c r="J1961" t="s">
        <v>77</v>
      </c>
      <c r="K1961" t="s">
        <v>78</v>
      </c>
      <c r="L1961" t="s">
        <v>179</v>
      </c>
      <c r="M1961" t="s">
        <v>180</v>
      </c>
      <c r="N1961" t="s">
        <v>131</v>
      </c>
      <c r="O1961" t="s">
        <v>95</v>
      </c>
      <c r="P1961" t="str">
        <f>"4170053397                    "</f>
        <v xml:space="preserve">4170053397                    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0</v>
      </c>
      <c r="AI1961">
        <v>0</v>
      </c>
      <c r="AJ1961">
        <v>0</v>
      </c>
      <c r="AK1961">
        <v>0</v>
      </c>
      <c r="AL1961">
        <v>0</v>
      </c>
      <c r="AM1961">
        <v>0</v>
      </c>
      <c r="AN1961">
        <v>0</v>
      </c>
      <c r="AO1961">
        <v>0</v>
      </c>
      <c r="AP1961">
        <v>0</v>
      </c>
      <c r="AQ1961">
        <v>49.3</v>
      </c>
      <c r="AR1961">
        <v>0</v>
      </c>
      <c r="AS1961">
        <v>0</v>
      </c>
      <c r="AT1961">
        <v>0</v>
      </c>
      <c r="AU1961">
        <v>0</v>
      </c>
      <c r="AV1961">
        <v>0</v>
      </c>
      <c r="AW1961">
        <v>0</v>
      </c>
      <c r="AX1961">
        <v>0</v>
      </c>
      <c r="AY1961">
        <v>0</v>
      </c>
      <c r="AZ1961">
        <v>0</v>
      </c>
      <c r="BA1961">
        <v>0</v>
      </c>
      <c r="BB1961">
        <v>0</v>
      </c>
      <c r="BC1961">
        <v>0</v>
      </c>
      <c r="BD1961">
        <v>0</v>
      </c>
      <c r="BE1961">
        <v>0</v>
      </c>
      <c r="BF1961">
        <v>0</v>
      </c>
      <c r="BG1961">
        <v>0</v>
      </c>
      <c r="BH1961">
        <v>1</v>
      </c>
      <c r="BI1961">
        <v>3</v>
      </c>
      <c r="BJ1961">
        <v>3.4</v>
      </c>
      <c r="BK1961">
        <v>4</v>
      </c>
      <c r="BL1961">
        <v>158.96</v>
      </c>
      <c r="BM1961">
        <v>23.84</v>
      </c>
      <c r="BN1961">
        <v>182.8</v>
      </c>
      <c r="BO1961">
        <v>182.8</v>
      </c>
      <c r="BQ1961" t="s">
        <v>132</v>
      </c>
      <c r="BR1961" t="s">
        <v>84</v>
      </c>
      <c r="BS1961" s="3">
        <v>45877</v>
      </c>
      <c r="BT1961" s="4">
        <v>0.46666666666666667</v>
      </c>
      <c r="BU1961" t="s">
        <v>2582</v>
      </c>
      <c r="BV1961" t="s">
        <v>86</v>
      </c>
      <c r="BY1961">
        <v>17136</v>
      </c>
      <c r="BZ1961" t="s">
        <v>1294</v>
      </c>
      <c r="CA1961" t="s">
        <v>1656</v>
      </c>
      <c r="CC1961" t="s">
        <v>180</v>
      </c>
      <c r="CD1961">
        <v>1754</v>
      </c>
      <c r="CE1961" t="s">
        <v>117</v>
      </c>
      <c r="CF1961" s="3">
        <v>45877</v>
      </c>
      <c r="CI1961">
        <v>1</v>
      </c>
      <c r="CJ1961">
        <v>1</v>
      </c>
      <c r="CK1961">
        <v>44</v>
      </c>
      <c r="CL1961" t="s">
        <v>90</v>
      </c>
    </row>
    <row r="1962" spans="1:90" x14ac:dyDescent="0.3">
      <c r="A1962" t="s">
        <v>72</v>
      </c>
      <c r="B1962" t="s">
        <v>73</v>
      </c>
      <c r="C1962" t="s">
        <v>74</v>
      </c>
      <c r="E1962" t="str">
        <f>"080067082837"</f>
        <v>080067082837</v>
      </c>
      <c r="F1962" s="3">
        <v>45876</v>
      </c>
      <c r="G1962">
        <v>202605</v>
      </c>
      <c r="H1962" t="s">
        <v>75</v>
      </c>
      <c r="I1962" t="s">
        <v>76</v>
      </c>
      <c r="J1962" t="s">
        <v>77</v>
      </c>
      <c r="K1962" t="s">
        <v>78</v>
      </c>
      <c r="L1962" t="s">
        <v>452</v>
      </c>
      <c r="M1962" t="s">
        <v>453</v>
      </c>
      <c r="N1962" t="s">
        <v>454</v>
      </c>
      <c r="O1962" t="s">
        <v>95</v>
      </c>
      <c r="P1962" t="str">
        <f>"4170053527                    "</f>
        <v xml:space="preserve">4170053527                    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0</v>
      </c>
      <c r="AI1962">
        <v>0</v>
      </c>
      <c r="AJ1962">
        <v>0</v>
      </c>
      <c r="AK1962">
        <v>0</v>
      </c>
      <c r="AL1962">
        <v>0</v>
      </c>
      <c r="AM1962">
        <v>0</v>
      </c>
      <c r="AN1962">
        <v>0</v>
      </c>
      <c r="AO1962">
        <v>0</v>
      </c>
      <c r="AP1962">
        <v>0</v>
      </c>
      <c r="AQ1962">
        <v>62.96</v>
      </c>
      <c r="AR1962">
        <v>0</v>
      </c>
      <c r="AS1962">
        <v>0</v>
      </c>
      <c r="AT1962">
        <v>0</v>
      </c>
      <c r="AU1962">
        <v>0</v>
      </c>
      <c r="AV1962">
        <v>0</v>
      </c>
      <c r="AW1962">
        <v>0</v>
      </c>
      <c r="AX1962">
        <v>0</v>
      </c>
      <c r="AY1962">
        <v>0</v>
      </c>
      <c r="AZ1962">
        <v>0</v>
      </c>
      <c r="BA1962">
        <v>0</v>
      </c>
      <c r="BB1962">
        <v>0</v>
      </c>
      <c r="BC1962">
        <v>0</v>
      </c>
      <c r="BD1962">
        <v>0</v>
      </c>
      <c r="BE1962">
        <v>0</v>
      </c>
      <c r="BF1962">
        <v>0</v>
      </c>
      <c r="BG1962">
        <v>0</v>
      </c>
      <c r="BH1962">
        <v>1</v>
      </c>
      <c r="BI1962">
        <v>3</v>
      </c>
      <c r="BJ1962">
        <v>4.2</v>
      </c>
      <c r="BK1962">
        <v>5</v>
      </c>
      <c r="BL1962">
        <v>201.38</v>
      </c>
      <c r="BM1962">
        <v>30.21</v>
      </c>
      <c r="BN1962">
        <v>231.59</v>
      </c>
      <c r="BO1962">
        <v>231.59</v>
      </c>
      <c r="BQ1962" t="s">
        <v>455</v>
      </c>
      <c r="BR1962" t="s">
        <v>84</v>
      </c>
      <c r="BS1962" s="3">
        <v>45877</v>
      </c>
      <c r="BT1962" s="4">
        <v>0.34583333333333333</v>
      </c>
      <c r="BU1962" t="s">
        <v>2583</v>
      </c>
      <c r="BV1962" t="s">
        <v>86</v>
      </c>
      <c r="BY1962">
        <v>21090</v>
      </c>
      <c r="BZ1962" t="s">
        <v>1294</v>
      </c>
      <c r="CC1962" t="s">
        <v>453</v>
      </c>
      <c r="CD1962">
        <v>1947</v>
      </c>
      <c r="CE1962" t="s">
        <v>117</v>
      </c>
      <c r="CF1962" s="3">
        <v>45877</v>
      </c>
      <c r="CI1962">
        <v>1</v>
      </c>
      <c r="CJ1962">
        <v>1</v>
      </c>
      <c r="CK1962">
        <v>43</v>
      </c>
      <c r="CL1962" t="s">
        <v>90</v>
      </c>
    </row>
    <row r="1963" spans="1:90" x14ac:dyDescent="0.3">
      <c r="A1963" t="s">
        <v>72</v>
      </c>
      <c r="B1963" t="s">
        <v>73</v>
      </c>
      <c r="C1963" t="s">
        <v>74</v>
      </c>
      <c r="E1963" t="str">
        <f>"080067091241"</f>
        <v>080067091241</v>
      </c>
      <c r="F1963" s="3">
        <v>45876</v>
      </c>
      <c r="G1963">
        <v>202605</v>
      </c>
      <c r="H1963" t="s">
        <v>75</v>
      </c>
      <c r="I1963" t="s">
        <v>76</v>
      </c>
      <c r="J1963" t="s">
        <v>77</v>
      </c>
      <c r="K1963" t="s">
        <v>78</v>
      </c>
      <c r="L1963" t="s">
        <v>513</v>
      </c>
      <c r="M1963" t="s">
        <v>514</v>
      </c>
      <c r="N1963" t="s">
        <v>1017</v>
      </c>
      <c r="O1963" t="s">
        <v>95</v>
      </c>
      <c r="P1963" t="str">
        <f>"4170053614                    "</f>
        <v xml:space="preserve">4170053614                    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0</v>
      </c>
      <c r="AI1963">
        <v>0</v>
      </c>
      <c r="AJ1963">
        <v>0</v>
      </c>
      <c r="AK1963">
        <v>0</v>
      </c>
      <c r="AL1963">
        <v>0</v>
      </c>
      <c r="AM1963">
        <v>0</v>
      </c>
      <c r="AN1963">
        <v>0</v>
      </c>
      <c r="AO1963">
        <v>0</v>
      </c>
      <c r="AP1963">
        <v>0</v>
      </c>
      <c r="AQ1963">
        <v>62.96</v>
      </c>
      <c r="AR1963">
        <v>0</v>
      </c>
      <c r="AS1963">
        <v>0</v>
      </c>
      <c r="AT1963">
        <v>0</v>
      </c>
      <c r="AU1963">
        <v>0</v>
      </c>
      <c r="AV1963">
        <v>0</v>
      </c>
      <c r="AW1963">
        <v>0</v>
      </c>
      <c r="AX1963">
        <v>0</v>
      </c>
      <c r="AY1963">
        <v>0</v>
      </c>
      <c r="AZ1963">
        <v>0</v>
      </c>
      <c r="BA1963">
        <v>0</v>
      </c>
      <c r="BB1963">
        <v>0</v>
      </c>
      <c r="BC1963">
        <v>0</v>
      </c>
      <c r="BD1963">
        <v>0</v>
      </c>
      <c r="BE1963">
        <v>0</v>
      </c>
      <c r="BF1963">
        <v>0</v>
      </c>
      <c r="BG1963">
        <v>0</v>
      </c>
      <c r="BH1963">
        <v>1</v>
      </c>
      <c r="BI1963">
        <v>4</v>
      </c>
      <c r="BJ1963">
        <v>4.0999999999999996</v>
      </c>
      <c r="BK1963">
        <v>5</v>
      </c>
      <c r="BL1963">
        <v>201.38</v>
      </c>
      <c r="BM1963">
        <v>30.21</v>
      </c>
      <c r="BN1963">
        <v>231.59</v>
      </c>
      <c r="BO1963">
        <v>231.59</v>
      </c>
      <c r="BQ1963" t="s">
        <v>1018</v>
      </c>
      <c r="BR1963" t="s">
        <v>84</v>
      </c>
      <c r="BS1963" s="3">
        <v>45877</v>
      </c>
      <c r="BT1963" s="4">
        <v>0.41180555555555554</v>
      </c>
      <c r="BU1963" t="s">
        <v>2581</v>
      </c>
      <c r="BV1963" t="s">
        <v>86</v>
      </c>
      <c r="BY1963">
        <v>20358</v>
      </c>
      <c r="BZ1963" t="s">
        <v>1294</v>
      </c>
      <c r="CA1963" t="s">
        <v>518</v>
      </c>
      <c r="CC1963" t="s">
        <v>514</v>
      </c>
      <c r="CD1963" s="5" t="s">
        <v>519</v>
      </c>
      <c r="CE1963" t="s">
        <v>89</v>
      </c>
      <c r="CF1963" s="3">
        <v>45880</v>
      </c>
      <c r="CI1963">
        <v>1</v>
      </c>
      <c r="CJ1963">
        <v>1</v>
      </c>
      <c r="CK1963">
        <v>43</v>
      </c>
      <c r="CL1963" t="s">
        <v>90</v>
      </c>
    </row>
    <row r="1964" spans="1:90" x14ac:dyDescent="0.3">
      <c r="A1964" t="s">
        <v>72</v>
      </c>
      <c r="B1964" t="s">
        <v>73</v>
      </c>
      <c r="C1964" t="s">
        <v>74</v>
      </c>
      <c r="E1964" t="str">
        <f>"080067146711"</f>
        <v>080067146711</v>
      </c>
      <c r="F1964" s="3">
        <v>45880</v>
      </c>
      <c r="G1964">
        <v>202605</v>
      </c>
      <c r="H1964" t="s">
        <v>75</v>
      </c>
      <c r="I1964" t="s">
        <v>76</v>
      </c>
      <c r="J1964" t="s">
        <v>77</v>
      </c>
      <c r="K1964" t="s">
        <v>78</v>
      </c>
      <c r="L1964" t="s">
        <v>452</v>
      </c>
      <c r="M1964" t="s">
        <v>453</v>
      </c>
      <c r="N1964" t="s">
        <v>1684</v>
      </c>
      <c r="O1964" t="s">
        <v>95</v>
      </c>
      <c r="P1964" t="str">
        <f>"4170053897                    "</f>
        <v xml:space="preserve">4170053897                    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0</v>
      </c>
      <c r="AI1964">
        <v>0</v>
      </c>
      <c r="AJ1964">
        <v>0</v>
      </c>
      <c r="AK1964">
        <v>0</v>
      </c>
      <c r="AL1964">
        <v>0</v>
      </c>
      <c r="AM1964">
        <v>0</v>
      </c>
      <c r="AN1964">
        <v>0</v>
      </c>
      <c r="AO1964">
        <v>0</v>
      </c>
      <c r="AP1964">
        <v>0</v>
      </c>
      <c r="AQ1964">
        <v>62.96</v>
      </c>
      <c r="AR1964">
        <v>0</v>
      </c>
      <c r="AS1964">
        <v>0</v>
      </c>
      <c r="AT1964">
        <v>0</v>
      </c>
      <c r="AU1964">
        <v>0</v>
      </c>
      <c r="AV1964">
        <v>0</v>
      </c>
      <c r="AW1964">
        <v>0</v>
      </c>
      <c r="AX1964">
        <v>0</v>
      </c>
      <c r="AY1964">
        <v>0</v>
      </c>
      <c r="AZ1964">
        <v>0</v>
      </c>
      <c r="BA1964">
        <v>0</v>
      </c>
      <c r="BB1964">
        <v>0</v>
      </c>
      <c r="BC1964">
        <v>0</v>
      </c>
      <c r="BD1964">
        <v>0</v>
      </c>
      <c r="BE1964">
        <v>0</v>
      </c>
      <c r="BF1964">
        <v>0</v>
      </c>
      <c r="BG1964">
        <v>0</v>
      </c>
      <c r="BH1964">
        <v>1</v>
      </c>
      <c r="BI1964">
        <v>7</v>
      </c>
      <c r="BJ1964">
        <v>2.1</v>
      </c>
      <c r="BK1964">
        <v>7</v>
      </c>
      <c r="BL1964">
        <v>201.38</v>
      </c>
      <c r="BM1964">
        <v>30.21</v>
      </c>
      <c r="BN1964">
        <v>231.59</v>
      </c>
      <c r="BO1964">
        <v>231.59</v>
      </c>
      <c r="BQ1964" t="s">
        <v>1685</v>
      </c>
      <c r="BR1964" t="s">
        <v>84</v>
      </c>
      <c r="BS1964" s="3">
        <v>45881</v>
      </c>
      <c r="BT1964" s="4">
        <v>0.36388888888888887</v>
      </c>
      <c r="BU1964" t="s">
        <v>2584</v>
      </c>
      <c r="BV1964" t="s">
        <v>86</v>
      </c>
      <c r="BY1964">
        <v>10640</v>
      </c>
      <c r="BZ1964" t="s">
        <v>1294</v>
      </c>
      <c r="CA1964" t="s">
        <v>484</v>
      </c>
      <c r="CC1964" t="s">
        <v>453</v>
      </c>
      <c r="CD1964">
        <v>1947</v>
      </c>
      <c r="CE1964" t="s">
        <v>89</v>
      </c>
      <c r="CF1964" s="3">
        <v>45882</v>
      </c>
      <c r="CI1964">
        <v>1</v>
      </c>
      <c r="CJ1964">
        <v>1</v>
      </c>
      <c r="CK1964">
        <v>43</v>
      </c>
      <c r="CL1964" t="s">
        <v>90</v>
      </c>
    </row>
    <row r="1965" spans="1:90" x14ac:dyDescent="0.3">
      <c r="A1965" t="s">
        <v>72</v>
      </c>
      <c r="B1965" t="s">
        <v>73</v>
      </c>
      <c r="C1965" t="s">
        <v>74</v>
      </c>
      <c r="E1965" t="str">
        <f>"080067149356"</f>
        <v>080067149356</v>
      </c>
      <c r="F1965" s="3">
        <v>45880</v>
      </c>
      <c r="G1965">
        <v>202605</v>
      </c>
      <c r="H1965" t="s">
        <v>75</v>
      </c>
      <c r="I1965" t="s">
        <v>76</v>
      </c>
      <c r="J1965" t="s">
        <v>77</v>
      </c>
      <c r="K1965" t="s">
        <v>78</v>
      </c>
      <c r="L1965" t="s">
        <v>335</v>
      </c>
      <c r="M1965" t="s">
        <v>336</v>
      </c>
      <c r="N1965" t="s">
        <v>727</v>
      </c>
      <c r="O1965" t="s">
        <v>95</v>
      </c>
      <c r="P1965" t="str">
        <f>"4170053964                    "</f>
        <v xml:space="preserve">4170053964                    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0</v>
      </c>
      <c r="AI1965">
        <v>0</v>
      </c>
      <c r="AJ1965">
        <v>0</v>
      </c>
      <c r="AK1965">
        <v>0</v>
      </c>
      <c r="AL1965">
        <v>0</v>
      </c>
      <c r="AM1965">
        <v>0</v>
      </c>
      <c r="AN1965">
        <v>0</v>
      </c>
      <c r="AO1965">
        <v>0</v>
      </c>
      <c r="AP1965">
        <v>0</v>
      </c>
      <c r="AQ1965">
        <v>62.96</v>
      </c>
      <c r="AR1965">
        <v>0</v>
      </c>
      <c r="AS1965">
        <v>0</v>
      </c>
      <c r="AT1965">
        <v>0</v>
      </c>
      <c r="AU1965">
        <v>0</v>
      </c>
      <c r="AV1965">
        <v>0</v>
      </c>
      <c r="AW1965">
        <v>0</v>
      </c>
      <c r="AX1965">
        <v>0</v>
      </c>
      <c r="AY1965">
        <v>0</v>
      </c>
      <c r="AZ1965">
        <v>0</v>
      </c>
      <c r="BA1965">
        <v>0</v>
      </c>
      <c r="BB1965">
        <v>0</v>
      </c>
      <c r="BC1965">
        <v>0</v>
      </c>
      <c r="BD1965">
        <v>0</v>
      </c>
      <c r="BE1965">
        <v>0</v>
      </c>
      <c r="BF1965">
        <v>0</v>
      </c>
      <c r="BG1965">
        <v>0</v>
      </c>
      <c r="BH1965">
        <v>1</v>
      </c>
      <c r="BI1965">
        <v>6</v>
      </c>
      <c r="BJ1965">
        <v>1.8</v>
      </c>
      <c r="BK1965">
        <v>6</v>
      </c>
      <c r="BL1965">
        <v>201.38</v>
      </c>
      <c r="BM1965">
        <v>30.21</v>
      </c>
      <c r="BN1965">
        <v>231.59</v>
      </c>
      <c r="BO1965">
        <v>231.59</v>
      </c>
      <c r="BQ1965" t="s">
        <v>728</v>
      </c>
      <c r="BR1965" t="s">
        <v>84</v>
      </c>
      <c r="BS1965" s="3">
        <v>45881</v>
      </c>
      <c r="BT1965" s="4">
        <v>0.42777777777777776</v>
      </c>
      <c r="BU1965" t="s">
        <v>1587</v>
      </c>
      <c r="BV1965" t="s">
        <v>86</v>
      </c>
      <c r="BY1965">
        <v>9044</v>
      </c>
      <c r="BZ1965" t="s">
        <v>1294</v>
      </c>
      <c r="CA1965" t="s">
        <v>730</v>
      </c>
      <c r="CC1965" t="s">
        <v>336</v>
      </c>
      <c r="CD1965" s="5" t="s">
        <v>341</v>
      </c>
      <c r="CE1965" t="s">
        <v>89</v>
      </c>
      <c r="CF1965" s="3">
        <v>45882</v>
      </c>
      <c r="CI1965">
        <v>1</v>
      </c>
      <c r="CJ1965">
        <v>1</v>
      </c>
      <c r="CK1965">
        <v>43</v>
      </c>
      <c r="CL1965" t="s">
        <v>90</v>
      </c>
    </row>
    <row r="1966" spans="1:90" x14ac:dyDescent="0.3">
      <c r="A1966" t="s">
        <v>72</v>
      </c>
      <c r="B1966" t="s">
        <v>73</v>
      </c>
      <c r="C1966" t="s">
        <v>74</v>
      </c>
      <c r="E1966" t="str">
        <f>"080067155220"</f>
        <v>080067155220</v>
      </c>
      <c r="F1966" s="3">
        <v>45880</v>
      </c>
      <c r="G1966">
        <v>202605</v>
      </c>
      <c r="H1966" t="s">
        <v>75</v>
      </c>
      <c r="I1966" t="s">
        <v>76</v>
      </c>
      <c r="J1966" t="s">
        <v>77</v>
      </c>
      <c r="K1966" t="s">
        <v>78</v>
      </c>
      <c r="L1966" t="s">
        <v>278</v>
      </c>
      <c r="M1966" t="s">
        <v>279</v>
      </c>
      <c r="N1966" t="s">
        <v>2018</v>
      </c>
      <c r="O1966" t="s">
        <v>95</v>
      </c>
      <c r="P1966" t="str">
        <f>"4170053959                    "</f>
        <v xml:space="preserve">4170053959                    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0</v>
      </c>
      <c r="AI1966">
        <v>0</v>
      </c>
      <c r="AJ1966">
        <v>0</v>
      </c>
      <c r="AK1966">
        <v>0</v>
      </c>
      <c r="AL1966">
        <v>0</v>
      </c>
      <c r="AM1966">
        <v>0</v>
      </c>
      <c r="AN1966">
        <v>0</v>
      </c>
      <c r="AO1966">
        <v>0</v>
      </c>
      <c r="AP1966">
        <v>0</v>
      </c>
      <c r="AQ1966">
        <v>44.64</v>
      </c>
      <c r="AR1966">
        <v>0</v>
      </c>
      <c r="AS1966">
        <v>0</v>
      </c>
      <c r="AT1966">
        <v>0</v>
      </c>
      <c r="AU1966">
        <v>0</v>
      </c>
      <c r="AV1966">
        <v>0</v>
      </c>
      <c r="AW1966">
        <v>0</v>
      </c>
      <c r="AX1966">
        <v>0</v>
      </c>
      <c r="AY1966">
        <v>0</v>
      </c>
      <c r="AZ1966">
        <v>0</v>
      </c>
      <c r="BA1966">
        <v>0</v>
      </c>
      <c r="BB1966">
        <v>0</v>
      </c>
      <c r="BC1966">
        <v>0</v>
      </c>
      <c r="BD1966">
        <v>0</v>
      </c>
      <c r="BE1966">
        <v>0</v>
      </c>
      <c r="BF1966">
        <v>0</v>
      </c>
      <c r="BG1966">
        <v>0</v>
      </c>
      <c r="BH1966">
        <v>1</v>
      </c>
      <c r="BI1966">
        <v>3</v>
      </c>
      <c r="BJ1966">
        <v>4.0999999999999996</v>
      </c>
      <c r="BK1966">
        <v>5</v>
      </c>
      <c r="BL1966">
        <v>144.49</v>
      </c>
      <c r="BM1966">
        <v>21.67</v>
      </c>
      <c r="BN1966">
        <v>166.16</v>
      </c>
      <c r="BO1966">
        <v>166.16</v>
      </c>
      <c r="BQ1966" t="s">
        <v>2019</v>
      </c>
      <c r="BR1966" t="s">
        <v>84</v>
      </c>
      <c r="BS1966" s="3">
        <v>45881</v>
      </c>
      <c r="BT1966" s="4">
        <v>0.3576388888888889</v>
      </c>
      <c r="BU1966" t="s">
        <v>2020</v>
      </c>
      <c r="BV1966" t="s">
        <v>86</v>
      </c>
      <c r="BY1966">
        <v>20358</v>
      </c>
      <c r="BZ1966" t="s">
        <v>1294</v>
      </c>
      <c r="CA1966" t="s">
        <v>1729</v>
      </c>
      <c r="CC1966" t="s">
        <v>279</v>
      </c>
      <c r="CD1966" s="5" t="s">
        <v>289</v>
      </c>
      <c r="CE1966" t="s">
        <v>89</v>
      </c>
      <c r="CF1966" s="3">
        <v>45881</v>
      </c>
      <c r="CI1966">
        <v>1</v>
      </c>
      <c r="CJ1966">
        <v>1</v>
      </c>
      <c r="CK1966">
        <v>41</v>
      </c>
      <c r="CL1966" t="s">
        <v>90</v>
      </c>
    </row>
    <row r="1967" spans="1:90" x14ac:dyDescent="0.3">
      <c r="A1967" t="s">
        <v>72</v>
      </c>
      <c r="B1967" t="s">
        <v>73</v>
      </c>
      <c r="C1967" t="s">
        <v>74</v>
      </c>
      <c r="E1967" t="str">
        <f>"080067155720"</f>
        <v>080067155720</v>
      </c>
      <c r="F1967" s="3">
        <v>45880</v>
      </c>
      <c r="G1967">
        <v>202605</v>
      </c>
      <c r="H1967" t="s">
        <v>75</v>
      </c>
      <c r="I1967" t="s">
        <v>76</v>
      </c>
      <c r="J1967" t="s">
        <v>77</v>
      </c>
      <c r="K1967" t="s">
        <v>78</v>
      </c>
      <c r="L1967" t="s">
        <v>1157</v>
      </c>
      <c r="M1967" t="s">
        <v>1158</v>
      </c>
      <c r="N1967" t="s">
        <v>1159</v>
      </c>
      <c r="O1967" t="s">
        <v>95</v>
      </c>
      <c r="P1967" t="str">
        <f>"4170054153                    "</f>
        <v xml:space="preserve">4170054153                    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0</v>
      </c>
      <c r="AI1967">
        <v>0</v>
      </c>
      <c r="AJ1967">
        <v>0</v>
      </c>
      <c r="AK1967">
        <v>0</v>
      </c>
      <c r="AL1967">
        <v>0</v>
      </c>
      <c r="AM1967">
        <v>0</v>
      </c>
      <c r="AN1967">
        <v>0</v>
      </c>
      <c r="AO1967">
        <v>0</v>
      </c>
      <c r="AP1967">
        <v>0</v>
      </c>
      <c r="AQ1967">
        <v>62.96</v>
      </c>
      <c r="AR1967">
        <v>0</v>
      </c>
      <c r="AS1967">
        <v>0</v>
      </c>
      <c r="AT1967">
        <v>0</v>
      </c>
      <c r="AU1967">
        <v>0</v>
      </c>
      <c r="AV1967">
        <v>0</v>
      </c>
      <c r="AW1967">
        <v>0</v>
      </c>
      <c r="AX1967">
        <v>0</v>
      </c>
      <c r="AY1967">
        <v>0</v>
      </c>
      <c r="AZ1967">
        <v>0</v>
      </c>
      <c r="BA1967">
        <v>0</v>
      </c>
      <c r="BB1967">
        <v>0</v>
      </c>
      <c r="BC1967">
        <v>0</v>
      </c>
      <c r="BD1967">
        <v>0</v>
      </c>
      <c r="BE1967">
        <v>0</v>
      </c>
      <c r="BF1967">
        <v>0</v>
      </c>
      <c r="BG1967">
        <v>0</v>
      </c>
      <c r="BH1967">
        <v>1</v>
      </c>
      <c r="BI1967">
        <v>2</v>
      </c>
      <c r="BJ1967">
        <v>3.4</v>
      </c>
      <c r="BK1967">
        <v>4</v>
      </c>
      <c r="BL1967">
        <v>201.38</v>
      </c>
      <c r="BM1967">
        <v>30.21</v>
      </c>
      <c r="BN1967">
        <v>231.59</v>
      </c>
      <c r="BO1967">
        <v>231.59</v>
      </c>
      <c r="BQ1967" t="s">
        <v>1160</v>
      </c>
      <c r="BR1967" t="s">
        <v>84</v>
      </c>
      <c r="BS1967" s="3">
        <v>45881</v>
      </c>
      <c r="BT1967" s="4">
        <v>0.43402777777777779</v>
      </c>
      <c r="BU1967" t="s">
        <v>1161</v>
      </c>
      <c r="BV1967" t="s">
        <v>86</v>
      </c>
      <c r="BY1967">
        <v>16965</v>
      </c>
      <c r="BZ1967" t="s">
        <v>1294</v>
      </c>
      <c r="CA1967" t="s">
        <v>1162</v>
      </c>
      <c r="CC1967" t="s">
        <v>1158</v>
      </c>
      <c r="CD1967">
        <v>2302</v>
      </c>
      <c r="CE1967" t="s">
        <v>89</v>
      </c>
      <c r="CF1967" s="3">
        <v>45882</v>
      </c>
      <c r="CI1967">
        <v>1</v>
      </c>
      <c r="CJ1967">
        <v>1</v>
      </c>
      <c r="CK1967">
        <v>43</v>
      </c>
      <c r="CL1967" t="s">
        <v>90</v>
      </c>
    </row>
    <row r="1968" spans="1:90" x14ac:dyDescent="0.3">
      <c r="A1968" t="s">
        <v>72</v>
      </c>
      <c r="B1968" t="s">
        <v>73</v>
      </c>
      <c r="C1968" t="s">
        <v>74</v>
      </c>
      <c r="E1968" t="str">
        <f>"080067158438"</f>
        <v>080067158438</v>
      </c>
      <c r="F1968" s="3">
        <v>45880</v>
      </c>
      <c r="G1968">
        <v>202605</v>
      </c>
      <c r="H1968" t="s">
        <v>75</v>
      </c>
      <c r="I1968" t="s">
        <v>76</v>
      </c>
      <c r="J1968" t="s">
        <v>77</v>
      </c>
      <c r="K1968" t="s">
        <v>78</v>
      </c>
      <c r="L1968" t="s">
        <v>452</v>
      </c>
      <c r="M1968" t="s">
        <v>453</v>
      </c>
      <c r="N1968" t="s">
        <v>1684</v>
      </c>
      <c r="O1968" t="s">
        <v>95</v>
      </c>
      <c r="P1968" t="str">
        <f>"4170054096                    "</f>
        <v xml:space="preserve">4170054096                    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0</v>
      </c>
      <c r="AI1968">
        <v>0</v>
      </c>
      <c r="AJ1968"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Q1968">
        <v>62.96</v>
      </c>
      <c r="AR1968">
        <v>0</v>
      </c>
      <c r="AS1968">
        <v>0</v>
      </c>
      <c r="AT1968">
        <v>0</v>
      </c>
      <c r="AU1968">
        <v>0</v>
      </c>
      <c r="AV1968">
        <v>0</v>
      </c>
      <c r="AW1968">
        <v>0</v>
      </c>
      <c r="AX1968">
        <v>0</v>
      </c>
      <c r="AY1968">
        <v>0</v>
      </c>
      <c r="AZ1968">
        <v>0</v>
      </c>
      <c r="BA1968">
        <v>0</v>
      </c>
      <c r="BB1968">
        <v>0</v>
      </c>
      <c r="BC1968">
        <v>0</v>
      </c>
      <c r="BD1968">
        <v>0</v>
      </c>
      <c r="BE1968">
        <v>0</v>
      </c>
      <c r="BF1968">
        <v>0</v>
      </c>
      <c r="BG1968">
        <v>0</v>
      </c>
      <c r="BH1968">
        <v>1</v>
      </c>
      <c r="BI1968">
        <v>4</v>
      </c>
      <c r="BJ1968">
        <v>3.4</v>
      </c>
      <c r="BK1968">
        <v>4</v>
      </c>
      <c r="BL1968">
        <v>201.38</v>
      </c>
      <c r="BM1968">
        <v>30.21</v>
      </c>
      <c r="BN1968">
        <v>231.59</v>
      </c>
      <c r="BO1968">
        <v>231.59</v>
      </c>
      <c r="BQ1968" t="s">
        <v>1685</v>
      </c>
      <c r="BR1968" t="s">
        <v>84</v>
      </c>
      <c r="BS1968" s="3">
        <v>45881</v>
      </c>
      <c r="BT1968" s="4">
        <v>0.36388888888888887</v>
      </c>
      <c r="BU1968" t="s">
        <v>2584</v>
      </c>
      <c r="BV1968" t="s">
        <v>86</v>
      </c>
      <c r="BY1968">
        <v>16965</v>
      </c>
      <c r="BZ1968" t="s">
        <v>1294</v>
      </c>
      <c r="CA1968" t="s">
        <v>484</v>
      </c>
      <c r="CC1968" t="s">
        <v>453</v>
      </c>
      <c r="CD1968">
        <v>1947</v>
      </c>
      <c r="CE1968" t="s">
        <v>89</v>
      </c>
      <c r="CF1968" s="3">
        <v>45882</v>
      </c>
      <c r="CI1968">
        <v>1</v>
      </c>
      <c r="CJ1968">
        <v>1</v>
      </c>
      <c r="CK1968">
        <v>43</v>
      </c>
      <c r="CL1968" t="s">
        <v>90</v>
      </c>
    </row>
    <row r="1969" spans="1:90" x14ac:dyDescent="0.3">
      <c r="A1969" t="s">
        <v>72</v>
      </c>
      <c r="B1969" t="s">
        <v>73</v>
      </c>
      <c r="C1969" t="s">
        <v>74</v>
      </c>
      <c r="E1969" t="str">
        <f>"080067163604"</f>
        <v>080067163604</v>
      </c>
      <c r="F1969" s="3">
        <v>45880</v>
      </c>
      <c r="G1969">
        <v>202605</v>
      </c>
      <c r="H1969" t="s">
        <v>75</v>
      </c>
      <c r="I1969" t="s">
        <v>76</v>
      </c>
      <c r="J1969" t="s">
        <v>77</v>
      </c>
      <c r="K1969" t="s">
        <v>78</v>
      </c>
      <c r="L1969" t="s">
        <v>278</v>
      </c>
      <c r="M1969" t="s">
        <v>279</v>
      </c>
      <c r="N1969" t="s">
        <v>749</v>
      </c>
      <c r="O1969" t="s">
        <v>95</v>
      </c>
      <c r="P1969" t="str">
        <f>"4170054173                    "</f>
        <v xml:space="preserve">4170054173                    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0</v>
      </c>
      <c r="AI1969">
        <v>0</v>
      </c>
      <c r="AJ1969">
        <v>0</v>
      </c>
      <c r="AK1969">
        <v>0</v>
      </c>
      <c r="AL1969">
        <v>0</v>
      </c>
      <c r="AM1969">
        <v>0</v>
      </c>
      <c r="AN1969">
        <v>0</v>
      </c>
      <c r="AO1969">
        <v>0</v>
      </c>
      <c r="AP1969">
        <v>0</v>
      </c>
      <c r="AQ1969">
        <v>44.64</v>
      </c>
      <c r="AR1969">
        <v>0</v>
      </c>
      <c r="AS1969">
        <v>0</v>
      </c>
      <c r="AT1969">
        <v>0</v>
      </c>
      <c r="AU1969">
        <v>0</v>
      </c>
      <c r="AV1969">
        <v>0</v>
      </c>
      <c r="AW1969">
        <v>0</v>
      </c>
      <c r="AX1969">
        <v>0</v>
      </c>
      <c r="AY1969">
        <v>0</v>
      </c>
      <c r="AZ1969">
        <v>0</v>
      </c>
      <c r="BA1969">
        <v>0</v>
      </c>
      <c r="BB1969">
        <v>0</v>
      </c>
      <c r="BC1969">
        <v>0</v>
      </c>
      <c r="BD1969">
        <v>0</v>
      </c>
      <c r="BE1969">
        <v>0</v>
      </c>
      <c r="BF1969">
        <v>0</v>
      </c>
      <c r="BG1969">
        <v>0</v>
      </c>
      <c r="BH1969">
        <v>1</v>
      </c>
      <c r="BI1969">
        <v>10</v>
      </c>
      <c r="BJ1969">
        <v>2.4</v>
      </c>
      <c r="BK1969">
        <v>10</v>
      </c>
      <c r="BL1969">
        <v>144.49</v>
      </c>
      <c r="BM1969">
        <v>21.67</v>
      </c>
      <c r="BN1969">
        <v>166.16</v>
      </c>
      <c r="BO1969">
        <v>166.16</v>
      </c>
      <c r="BQ1969" t="s">
        <v>750</v>
      </c>
      <c r="BR1969" t="s">
        <v>84</v>
      </c>
      <c r="BS1969" s="3">
        <v>45881</v>
      </c>
      <c r="BT1969" s="4">
        <v>0.48055555555555557</v>
      </c>
      <c r="BU1969" t="s">
        <v>2392</v>
      </c>
      <c r="BV1969" t="s">
        <v>86</v>
      </c>
      <c r="BY1969">
        <v>12000</v>
      </c>
      <c r="BZ1969" t="s">
        <v>1294</v>
      </c>
      <c r="CA1969" t="s">
        <v>283</v>
      </c>
      <c r="CC1969" t="s">
        <v>279</v>
      </c>
      <c r="CD1969" s="5" t="s">
        <v>1042</v>
      </c>
      <c r="CE1969" t="s">
        <v>597</v>
      </c>
      <c r="CF1969" s="3">
        <v>45881</v>
      </c>
      <c r="CI1969">
        <v>1</v>
      </c>
      <c r="CJ1969">
        <v>1</v>
      </c>
      <c r="CK1969">
        <v>41</v>
      </c>
      <c r="CL1969" t="s">
        <v>90</v>
      </c>
    </row>
    <row r="1970" spans="1:90" x14ac:dyDescent="0.3">
      <c r="A1970" t="s">
        <v>72</v>
      </c>
      <c r="B1970" t="s">
        <v>73</v>
      </c>
      <c r="C1970" t="s">
        <v>74</v>
      </c>
      <c r="E1970" t="str">
        <f>"080067164722"</f>
        <v>080067164722</v>
      </c>
      <c r="F1970" s="3">
        <v>45880</v>
      </c>
      <c r="G1970">
        <v>202605</v>
      </c>
      <c r="H1970" t="s">
        <v>75</v>
      </c>
      <c r="I1970" t="s">
        <v>76</v>
      </c>
      <c r="J1970" t="s">
        <v>77</v>
      </c>
      <c r="K1970" t="s">
        <v>78</v>
      </c>
      <c r="L1970" t="s">
        <v>513</v>
      </c>
      <c r="M1970" t="s">
        <v>514</v>
      </c>
      <c r="N1970" t="s">
        <v>1017</v>
      </c>
      <c r="O1970" t="s">
        <v>95</v>
      </c>
      <c r="P1970" t="str">
        <f>"4170054179                    "</f>
        <v xml:space="preserve">4170054179                    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0</v>
      </c>
      <c r="AI1970">
        <v>0</v>
      </c>
      <c r="AJ1970">
        <v>0</v>
      </c>
      <c r="AK1970">
        <v>0</v>
      </c>
      <c r="AL1970">
        <v>0</v>
      </c>
      <c r="AM1970">
        <v>0</v>
      </c>
      <c r="AN1970">
        <v>0</v>
      </c>
      <c r="AO1970">
        <v>0</v>
      </c>
      <c r="AP1970">
        <v>0</v>
      </c>
      <c r="AQ1970">
        <v>62.96</v>
      </c>
      <c r="AR1970">
        <v>0</v>
      </c>
      <c r="AS1970">
        <v>0</v>
      </c>
      <c r="AT1970">
        <v>0</v>
      </c>
      <c r="AU1970">
        <v>0</v>
      </c>
      <c r="AV1970">
        <v>0</v>
      </c>
      <c r="AW1970">
        <v>0</v>
      </c>
      <c r="AX1970">
        <v>0</v>
      </c>
      <c r="AY1970">
        <v>0</v>
      </c>
      <c r="AZ1970">
        <v>0</v>
      </c>
      <c r="BA1970">
        <v>0</v>
      </c>
      <c r="BB1970">
        <v>0</v>
      </c>
      <c r="BC1970">
        <v>0</v>
      </c>
      <c r="BD1970">
        <v>0</v>
      </c>
      <c r="BE1970">
        <v>0</v>
      </c>
      <c r="BF1970">
        <v>0</v>
      </c>
      <c r="BG1970">
        <v>0</v>
      </c>
      <c r="BH1970">
        <v>1</v>
      </c>
      <c r="BI1970">
        <v>3</v>
      </c>
      <c r="BJ1970">
        <v>3.4</v>
      </c>
      <c r="BK1970">
        <v>4</v>
      </c>
      <c r="BL1970">
        <v>201.38</v>
      </c>
      <c r="BM1970">
        <v>30.21</v>
      </c>
      <c r="BN1970">
        <v>231.59</v>
      </c>
      <c r="BO1970">
        <v>231.59</v>
      </c>
      <c r="BQ1970" t="s">
        <v>1018</v>
      </c>
      <c r="BR1970" t="s">
        <v>84</v>
      </c>
      <c r="BS1970" s="3">
        <v>45881</v>
      </c>
      <c r="BT1970" s="4">
        <v>0.43541666666666667</v>
      </c>
      <c r="BU1970" t="s">
        <v>2098</v>
      </c>
      <c r="BV1970" t="s">
        <v>86</v>
      </c>
      <c r="BY1970">
        <v>16965</v>
      </c>
      <c r="BZ1970" t="s">
        <v>1294</v>
      </c>
      <c r="CA1970" t="s">
        <v>518</v>
      </c>
      <c r="CC1970" t="s">
        <v>514</v>
      </c>
      <c r="CD1970" s="5" t="s">
        <v>519</v>
      </c>
      <c r="CE1970" t="s">
        <v>89</v>
      </c>
      <c r="CF1970" s="3">
        <v>45882</v>
      </c>
      <c r="CI1970">
        <v>1</v>
      </c>
      <c r="CJ1970">
        <v>1</v>
      </c>
      <c r="CK1970">
        <v>43</v>
      </c>
      <c r="CL1970" t="s">
        <v>90</v>
      </c>
    </row>
    <row r="1971" spans="1:90" x14ac:dyDescent="0.3">
      <c r="A1971" t="s">
        <v>72</v>
      </c>
      <c r="B1971" t="s">
        <v>73</v>
      </c>
      <c r="C1971" t="s">
        <v>74</v>
      </c>
      <c r="E1971" t="str">
        <f>"080067165985"</f>
        <v>080067165985</v>
      </c>
      <c r="F1971" s="3">
        <v>45880</v>
      </c>
      <c r="G1971">
        <v>202605</v>
      </c>
      <c r="H1971" t="s">
        <v>75</v>
      </c>
      <c r="I1971" t="s">
        <v>76</v>
      </c>
      <c r="J1971" t="s">
        <v>77</v>
      </c>
      <c r="K1971" t="s">
        <v>78</v>
      </c>
      <c r="L1971" t="s">
        <v>335</v>
      </c>
      <c r="M1971" t="s">
        <v>336</v>
      </c>
      <c r="N1971" t="s">
        <v>727</v>
      </c>
      <c r="O1971" t="s">
        <v>95</v>
      </c>
      <c r="P1971" t="str">
        <f>"4170054203                    "</f>
        <v xml:space="preserve">4170054203                    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0</v>
      </c>
      <c r="AI1971">
        <v>0</v>
      </c>
      <c r="AJ1971">
        <v>0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>
        <v>0</v>
      </c>
      <c r="AQ1971">
        <v>62.96</v>
      </c>
      <c r="AR1971">
        <v>0</v>
      </c>
      <c r="AS1971">
        <v>0</v>
      </c>
      <c r="AT1971">
        <v>0</v>
      </c>
      <c r="AU1971">
        <v>0</v>
      </c>
      <c r="AV1971">
        <v>0</v>
      </c>
      <c r="AW1971">
        <v>0</v>
      </c>
      <c r="AX1971">
        <v>0</v>
      </c>
      <c r="AY1971">
        <v>0</v>
      </c>
      <c r="AZ1971">
        <v>0</v>
      </c>
      <c r="BA1971">
        <v>0</v>
      </c>
      <c r="BB1971">
        <v>0</v>
      </c>
      <c r="BC1971">
        <v>0</v>
      </c>
      <c r="BD1971">
        <v>0</v>
      </c>
      <c r="BE1971">
        <v>0</v>
      </c>
      <c r="BF1971">
        <v>0</v>
      </c>
      <c r="BG1971">
        <v>0</v>
      </c>
      <c r="BH1971">
        <v>1</v>
      </c>
      <c r="BI1971">
        <v>6</v>
      </c>
      <c r="BJ1971">
        <v>1.9</v>
      </c>
      <c r="BK1971">
        <v>6</v>
      </c>
      <c r="BL1971">
        <v>201.38</v>
      </c>
      <c r="BM1971">
        <v>30.21</v>
      </c>
      <c r="BN1971">
        <v>231.59</v>
      </c>
      <c r="BO1971">
        <v>231.59</v>
      </c>
      <c r="BQ1971" t="s">
        <v>728</v>
      </c>
      <c r="BR1971" t="s">
        <v>84</v>
      </c>
      <c r="BS1971" s="3">
        <v>45881</v>
      </c>
      <c r="BT1971" s="4">
        <v>0.42916666666666664</v>
      </c>
      <c r="BU1971" t="s">
        <v>1587</v>
      </c>
      <c r="BV1971" t="s">
        <v>86</v>
      </c>
      <c r="BY1971">
        <v>9324</v>
      </c>
      <c r="BZ1971" t="s">
        <v>1294</v>
      </c>
      <c r="CA1971" t="s">
        <v>730</v>
      </c>
      <c r="CC1971" t="s">
        <v>336</v>
      </c>
      <c r="CD1971" s="5" t="s">
        <v>341</v>
      </c>
      <c r="CE1971" t="s">
        <v>117</v>
      </c>
      <c r="CF1971" s="3">
        <v>45882</v>
      </c>
      <c r="CI1971">
        <v>1</v>
      </c>
      <c r="CJ1971">
        <v>1</v>
      </c>
      <c r="CK1971">
        <v>43</v>
      </c>
      <c r="CL1971" t="s">
        <v>90</v>
      </c>
    </row>
    <row r="1972" spans="1:90" x14ac:dyDescent="0.3">
      <c r="A1972" t="s">
        <v>72</v>
      </c>
      <c r="B1972" t="s">
        <v>73</v>
      </c>
      <c r="C1972" t="s">
        <v>74</v>
      </c>
      <c r="E1972" t="str">
        <f>"080067186497"</f>
        <v>080067186497</v>
      </c>
      <c r="F1972" s="3">
        <v>45881</v>
      </c>
      <c r="G1972">
        <v>202605</v>
      </c>
      <c r="H1972" t="s">
        <v>75</v>
      </c>
      <c r="I1972" t="s">
        <v>76</v>
      </c>
      <c r="J1972" t="s">
        <v>77</v>
      </c>
      <c r="K1972" t="s">
        <v>78</v>
      </c>
      <c r="L1972" t="s">
        <v>278</v>
      </c>
      <c r="M1972" t="s">
        <v>279</v>
      </c>
      <c r="N1972" t="s">
        <v>2018</v>
      </c>
      <c r="O1972" t="s">
        <v>95</v>
      </c>
      <c r="P1972" t="str">
        <f>"4170054348                    "</f>
        <v xml:space="preserve">4170054348                    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0</v>
      </c>
      <c r="AI1972">
        <v>0</v>
      </c>
      <c r="AJ1972">
        <v>0</v>
      </c>
      <c r="AK1972">
        <v>0</v>
      </c>
      <c r="AL1972">
        <v>0</v>
      </c>
      <c r="AM1972">
        <v>0</v>
      </c>
      <c r="AN1972">
        <v>0</v>
      </c>
      <c r="AO1972">
        <v>0</v>
      </c>
      <c r="AP1972">
        <v>0</v>
      </c>
      <c r="AQ1972">
        <v>44.64</v>
      </c>
      <c r="AR1972">
        <v>0</v>
      </c>
      <c r="AS1972">
        <v>0</v>
      </c>
      <c r="AT1972">
        <v>0</v>
      </c>
      <c r="AU1972">
        <v>0</v>
      </c>
      <c r="AV1972">
        <v>0</v>
      </c>
      <c r="AW1972">
        <v>0</v>
      </c>
      <c r="AX1972">
        <v>0</v>
      </c>
      <c r="AY1972">
        <v>0</v>
      </c>
      <c r="AZ1972">
        <v>0</v>
      </c>
      <c r="BA1972">
        <v>0</v>
      </c>
      <c r="BB1972">
        <v>0</v>
      </c>
      <c r="BC1972">
        <v>0</v>
      </c>
      <c r="BD1972">
        <v>0</v>
      </c>
      <c r="BE1972">
        <v>0</v>
      </c>
      <c r="BF1972">
        <v>0</v>
      </c>
      <c r="BG1972">
        <v>0</v>
      </c>
      <c r="BH1972">
        <v>1</v>
      </c>
      <c r="BI1972">
        <v>2</v>
      </c>
      <c r="BJ1972">
        <v>4.7</v>
      </c>
      <c r="BK1972">
        <v>5</v>
      </c>
      <c r="BL1972">
        <v>144.49</v>
      </c>
      <c r="BM1972">
        <v>21.67</v>
      </c>
      <c r="BN1972">
        <v>166.16</v>
      </c>
      <c r="BO1972">
        <v>166.16</v>
      </c>
      <c r="BQ1972" t="s">
        <v>2019</v>
      </c>
      <c r="BR1972" t="s">
        <v>84</v>
      </c>
      <c r="BS1972" s="3">
        <v>45882</v>
      </c>
      <c r="BT1972" s="4">
        <v>0.41666666666666669</v>
      </c>
      <c r="BU1972" t="s">
        <v>2020</v>
      </c>
      <c r="BV1972" t="s">
        <v>86</v>
      </c>
      <c r="BY1972">
        <v>23680</v>
      </c>
      <c r="BZ1972" t="s">
        <v>1294</v>
      </c>
      <c r="CA1972" t="s">
        <v>1729</v>
      </c>
      <c r="CC1972" t="s">
        <v>279</v>
      </c>
      <c r="CD1972" s="5" t="s">
        <v>289</v>
      </c>
      <c r="CE1972" t="s">
        <v>117</v>
      </c>
      <c r="CF1972" s="3">
        <v>45882</v>
      </c>
      <c r="CI1972">
        <v>1</v>
      </c>
      <c r="CJ1972">
        <v>1</v>
      </c>
      <c r="CK1972">
        <v>41</v>
      </c>
      <c r="CL1972" t="s">
        <v>90</v>
      </c>
    </row>
    <row r="1973" spans="1:90" x14ac:dyDescent="0.3">
      <c r="A1973" t="s">
        <v>72</v>
      </c>
      <c r="B1973" t="s">
        <v>73</v>
      </c>
      <c r="C1973" t="s">
        <v>74</v>
      </c>
      <c r="E1973" t="str">
        <f>"080067186718"</f>
        <v>080067186718</v>
      </c>
      <c r="F1973" s="3">
        <v>45881</v>
      </c>
      <c r="G1973">
        <v>202605</v>
      </c>
      <c r="H1973" t="s">
        <v>75</v>
      </c>
      <c r="I1973" t="s">
        <v>76</v>
      </c>
      <c r="J1973" t="s">
        <v>77</v>
      </c>
      <c r="K1973" t="s">
        <v>78</v>
      </c>
      <c r="L1973" t="s">
        <v>513</v>
      </c>
      <c r="M1973" t="s">
        <v>514</v>
      </c>
      <c r="N1973" t="s">
        <v>1017</v>
      </c>
      <c r="O1973" t="s">
        <v>95</v>
      </c>
      <c r="P1973" t="str">
        <f>"4170054316                    "</f>
        <v xml:space="preserve">4170054316                    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0</v>
      </c>
      <c r="AI1973">
        <v>0</v>
      </c>
      <c r="AJ1973">
        <v>0</v>
      </c>
      <c r="AK1973">
        <v>0</v>
      </c>
      <c r="AL1973">
        <v>0</v>
      </c>
      <c r="AM1973">
        <v>0</v>
      </c>
      <c r="AN1973">
        <v>0</v>
      </c>
      <c r="AO1973">
        <v>0</v>
      </c>
      <c r="AP1973">
        <v>0</v>
      </c>
      <c r="AQ1973">
        <v>62.96</v>
      </c>
      <c r="AR1973">
        <v>0</v>
      </c>
      <c r="AS1973">
        <v>0</v>
      </c>
      <c r="AT1973">
        <v>0</v>
      </c>
      <c r="AU1973">
        <v>0</v>
      </c>
      <c r="AV1973">
        <v>0</v>
      </c>
      <c r="AW1973">
        <v>0</v>
      </c>
      <c r="AX1973">
        <v>0</v>
      </c>
      <c r="AY1973">
        <v>0</v>
      </c>
      <c r="AZ1973">
        <v>0</v>
      </c>
      <c r="BA1973">
        <v>0</v>
      </c>
      <c r="BB1973">
        <v>0</v>
      </c>
      <c r="BC1973">
        <v>0</v>
      </c>
      <c r="BD1973">
        <v>0</v>
      </c>
      <c r="BE1973">
        <v>0</v>
      </c>
      <c r="BF1973">
        <v>0</v>
      </c>
      <c r="BG1973">
        <v>0</v>
      </c>
      <c r="BH1973">
        <v>1</v>
      </c>
      <c r="BI1973">
        <v>6</v>
      </c>
      <c r="BJ1973">
        <v>1.1000000000000001</v>
      </c>
      <c r="BK1973">
        <v>6</v>
      </c>
      <c r="BL1973">
        <v>201.38</v>
      </c>
      <c r="BM1973">
        <v>30.21</v>
      </c>
      <c r="BN1973">
        <v>231.59</v>
      </c>
      <c r="BO1973">
        <v>231.59</v>
      </c>
      <c r="BQ1973" t="s">
        <v>1018</v>
      </c>
      <c r="BR1973" t="s">
        <v>84</v>
      </c>
      <c r="BS1973" s="3">
        <v>45882</v>
      </c>
      <c r="BT1973" s="4">
        <v>0.40555555555555556</v>
      </c>
      <c r="BU1973" t="s">
        <v>2298</v>
      </c>
      <c r="BV1973" t="s">
        <v>86</v>
      </c>
      <c r="BY1973">
        <v>5320</v>
      </c>
      <c r="BZ1973" t="s">
        <v>1294</v>
      </c>
      <c r="CA1973" t="s">
        <v>518</v>
      </c>
      <c r="CC1973" t="s">
        <v>514</v>
      </c>
      <c r="CD1973" s="5" t="s">
        <v>519</v>
      </c>
      <c r="CE1973" t="s">
        <v>89</v>
      </c>
      <c r="CF1973" s="3">
        <v>45883</v>
      </c>
      <c r="CI1973">
        <v>1</v>
      </c>
      <c r="CJ1973">
        <v>1</v>
      </c>
      <c r="CK1973">
        <v>43</v>
      </c>
      <c r="CL1973" t="s">
        <v>90</v>
      </c>
    </row>
    <row r="1974" spans="1:90" x14ac:dyDescent="0.3">
      <c r="A1974" t="s">
        <v>72</v>
      </c>
      <c r="B1974" t="s">
        <v>73</v>
      </c>
      <c r="C1974" t="s">
        <v>74</v>
      </c>
      <c r="E1974" t="str">
        <f>"R080067112678"</f>
        <v>R080067112678</v>
      </c>
      <c r="F1974" s="3">
        <v>45883</v>
      </c>
      <c r="G1974">
        <v>202605</v>
      </c>
      <c r="H1974" t="s">
        <v>75</v>
      </c>
      <c r="I1974" t="s">
        <v>76</v>
      </c>
      <c r="J1974" t="s">
        <v>971</v>
      </c>
      <c r="K1974" t="s">
        <v>78</v>
      </c>
      <c r="L1974" t="s">
        <v>123</v>
      </c>
      <c r="M1974" t="s">
        <v>124</v>
      </c>
      <c r="N1974" t="s">
        <v>2585</v>
      </c>
      <c r="O1974" t="s">
        <v>82</v>
      </c>
      <c r="P1974" t="str">
        <f>"4170053860                    "</f>
        <v xml:space="preserve">4170053860                    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0</v>
      </c>
      <c r="AI1974">
        <v>0</v>
      </c>
      <c r="AJ1974">
        <v>0</v>
      </c>
      <c r="AK1974">
        <v>0</v>
      </c>
      <c r="AL1974">
        <v>0</v>
      </c>
      <c r="AM1974">
        <v>0</v>
      </c>
      <c r="AN1974">
        <v>0</v>
      </c>
      <c r="AO1974">
        <v>0</v>
      </c>
      <c r="AP1974">
        <v>0</v>
      </c>
      <c r="AQ1974">
        <v>23.09</v>
      </c>
      <c r="AR1974">
        <v>0</v>
      </c>
      <c r="AS1974">
        <v>0</v>
      </c>
      <c r="AT1974">
        <v>0</v>
      </c>
      <c r="AU1974">
        <v>0</v>
      </c>
      <c r="AV1974">
        <v>0</v>
      </c>
      <c r="AW1974">
        <v>0</v>
      </c>
      <c r="AX1974">
        <v>0</v>
      </c>
      <c r="AY1974">
        <v>0</v>
      </c>
      <c r="AZ1974">
        <v>0</v>
      </c>
      <c r="BA1974">
        <v>0</v>
      </c>
      <c r="BB1974">
        <v>0</v>
      </c>
      <c r="BC1974">
        <v>0</v>
      </c>
      <c r="BD1974">
        <v>0</v>
      </c>
      <c r="BE1974">
        <v>0</v>
      </c>
      <c r="BF1974">
        <v>0</v>
      </c>
      <c r="BG1974">
        <v>0</v>
      </c>
      <c r="BH1974">
        <v>1</v>
      </c>
      <c r="BI1974">
        <v>1</v>
      </c>
      <c r="BJ1974">
        <v>0.2</v>
      </c>
      <c r="BK1974">
        <v>1</v>
      </c>
      <c r="BL1974">
        <v>71.69</v>
      </c>
      <c r="BM1974">
        <v>10.75</v>
      </c>
      <c r="BN1974">
        <v>82.44</v>
      </c>
      <c r="BO1974">
        <v>82.44</v>
      </c>
      <c r="BQ1974" t="s">
        <v>2586</v>
      </c>
      <c r="BR1974" t="s">
        <v>84</v>
      </c>
      <c r="BS1974" s="3">
        <v>45883</v>
      </c>
      <c r="BT1974" s="4">
        <v>0.41666666666666669</v>
      </c>
      <c r="BU1974" t="s">
        <v>2587</v>
      </c>
      <c r="BV1974" t="s">
        <v>86</v>
      </c>
      <c r="BY1974">
        <v>1200</v>
      </c>
      <c r="BZ1974" t="s">
        <v>330</v>
      </c>
      <c r="CC1974" t="s">
        <v>124</v>
      </c>
      <c r="CD1974">
        <v>7441</v>
      </c>
      <c r="CE1974" t="s">
        <v>597</v>
      </c>
      <c r="CF1974" s="3">
        <v>45884</v>
      </c>
      <c r="CI1974">
        <v>1</v>
      </c>
      <c r="CJ1974">
        <v>0</v>
      </c>
      <c r="CK1974">
        <v>21</v>
      </c>
      <c r="CL1974" t="s">
        <v>90</v>
      </c>
    </row>
    <row r="1975" spans="1:90" x14ac:dyDescent="0.3">
      <c r="A1975" t="s">
        <v>72</v>
      </c>
      <c r="B1975" t="s">
        <v>73</v>
      </c>
      <c r="C1975" t="s">
        <v>74</v>
      </c>
      <c r="E1975" t="str">
        <f>"080067236612"</f>
        <v>080067236612</v>
      </c>
      <c r="F1975" s="3">
        <v>45883</v>
      </c>
      <c r="G1975">
        <v>202605</v>
      </c>
      <c r="H1975" t="s">
        <v>75</v>
      </c>
      <c r="I1975" t="s">
        <v>76</v>
      </c>
      <c r="J1975" t="s">
        <v>77</v>
      </c>
      <c r="K1975" t="s">
        <v>78</v>
      </c>
      <c r="L1975" t="s">
        <v>123</v>
      </c>
      <c r="M1975" t="s">
        <v>124</v>
      </c>
      <c r="N1975" t="s">
        <v>168</v>
      </c>
      <c r="O1975" t="s">
        <v>82</v>
      </c>
      <c r="P1975" t="str">
        <f>"4170054544                    "</f>
        <v xml:space="preserve">4170054544                    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0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>
        <v>46.15</v>
      </c>
      <c r="AR1975">
        <v>0</v>
      </c>
      <c r="AS1975">
        <v>0</v>
      </c>
      <c r="AT1975">
        <v>0</v>
      </c>
      <c r="AU1975">
        <v>0</v>
      </c>
      <c r="AV1975">
        <v>0</v>
      </c>
      <c r="AW1975">
        <v>0</v>
      </c>
      <c r="AX1975">
        <v>0</v>
      </c>
      <c r="AY1975">
        <v>0</v>
      </c>
      <c r="AZ1975">
        <v>0</v>
      </c>
      <c r="BA1975">
        <v>0</v>
      </c>
      <c r="BB1975">
        <v>0</v>
      </c>
      <c r="BC1975">
        <v>0</v>
      </c>
      <c r="BD1975">
        <v>0</v>
      </c>
      <c r="BE1975">
        <v>0</v>
      </c>
      <c r="BF1975">
        <v>0</v>
      </c>
      <c r="BG1975">
        <v>0</v>
      </c>
      <c r="BH1975">
        <v>1</v>
      </c>
      <c r="BI1975">
        <v>4</v>
      </c>
      <c r="BJ1975">
        <v>1.7</v>
      </c>
      <c r="BK1975">
        <v>4</v>
      </c>
      <c r="BL1975">
        <v>143.31</v>
      </c>
      <c r="BM1975">
        <v>21.5</v>
      </c>
      <c r="BN1975">
        <v>164.81</v>
      </c>
      <c r="BO1975">
        <v>164.81</v>
      </c>
      <c r="BQ1975" t="s">
        <v>169</v>
      </c>
      <c r="BR1975" t="s">
        <v>84</v>
      </c>
      <c r="BS1975" s="3">
        <v>45884</v>
      </c>
      <c r="BT1975" s="4">
        <v>0.48541666666666666</v>
      </c>
      <c r="BU1975" t="s">
        <v>679</v>
      </c>
      <c r="BV1975" t="s">
        <v>90</v>
      </c>
      <c r="BW1975" t="s">
        <v>773</v>
      </c>
      <c r="BX1975" t="s">
        <v>843</v>
      </c>
      <c r="BY1975">
        <v>8512</v>
      </c>
      <c r="CA1975" t="s">
        <v>171</v>
      </c>
      <c r="CC1975" t="s">
        <v>124</v>
      </c>
      <c r="CD1975">
        <v>7535</v>
      </c>
      <c r="CE1975" t="s">
        <v>147</v>
      </c>
      <c r="CF1975" s="3">
        <v>45887</v>
      </c>
      <c r="CI1975">
        <v>1</v>
      </c>
      <c r="CJ1975">
        <v>1</v>
      </c>
      <c r="CK1975">
        <v>21</v>
      </c>
      <c r="CL1975" t="s">
        <v>90</v>
      </c>
    </row>
    <row r="1976" spans="1:90" x14ac:dyDescent="0.3">
      <c r="A1976" t="s">
        <v>72</v>
      </c>
      <c r="B1976" t="s">
        <v>73</v>
      </c>
      <c r="C1976" t="s">
        <v>74</v>
      </c>
      <c r="E1976" t="str">
        <f>"080067236657"</f>
        <v>080067236657</v>
      </c>
      <c r="F1976" s="3">
        <v>45883</v>
      </c>
      <c r="G1976">
        <v>202605</v>
      </c>
      <c r="H1976" t="s">
        <v>75</v>
      </c>
      <c r="I1976" t="s">
        <v>76</v>
      </c>
      <c r="J1976" t="s">
        <v>77</v>
      </c>
      <c r="K1976" t="s">
        <v>78</v>
      </c>
      <c r="L1976" t="s">
        <v>123</v>
      </c>
      <c r="M1976" t="s">
        <v>124</v>
      </c>
      <c r="N1976" t="s">
        <v>406</v>
      </c>
      <c r="O1976" t="s">
        <v>82</v>
      </c>
      <c r="P1976" t="str">
        <f>"4170054514                    "</f>
        <v xml:space="preserve">4170054514                    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0</v>
      </c>
      <c r="AI1976">
        <v>0</v>
      </c>
      <c r="AJ1976"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Q1976">
        <v>23.09</v>
      </c>
      <c r="AR1976">
        <v>0</v>
      </c>
      <c r="AS1976">
        <v>0</v>
      </c>
      <c r="AT1976">
        <v>0</v>
      </c>
      <c r="AU1976">
        <v>0</v>
      </c>
      <c r="AV1976">
        <v>0</v>
      </c>
      <c r="AW1976">
        <v>0</v>
      </c>
      <c r="AX1976">
        <v>0</v>
      </c>
      <c r="AY1976">
        <v>0</v>
      </c>
      <c r="AZ1976">
        <v>0</v>
      </c>
      <c r="BA1976">
        <v>0</v>
      </c>
      <c r="BB1976">
        <v>0</v>
      </c>
      <c r="BC1976">
        <v>0</v>
      </c>
      <c r="BD1976">
        <v>0</v>
      </c>
      <c r="BE1976">
        <v>0</v>
      </c>
      <c r="BF1976">
        <v>0</v>
      </c>
      <c r="BG1976">
        <v>0</v>
      </c>
      <c r="BH1976">
        <v>1</v>
      </c>
      <c r="BI1976">
        <v>2</v>
      </c>
      <c r="BJ1976">
        <v>1.1000000000000001</v>
      </c>
      <c r="BK1976">
        <v>2</v>
      </c>
      <c r="BL1976">
        <v>71.69</v>
      </c>
      <c r="BM1976">
        <v>10.75</v>
      </c>
      <c r="BN1976">
        <v>82.44</v>
      </c>
      <c r="BO1976">
        <v>82.44</v>
      </c>
      <c r="BQ1976" t="s">
        <v>407</v>
      </c>
      <c r="BR1976" t="s">
        <v>84</v>
      </c>
      <c r="BS1976" s="3">
        <v>45884</v>
      </c>
      <c r="BT1976" s="4">
        <v>0.42916666666666664</v>
      </c>
      <c r="BU1976" t="s">
        <v>408</v>
      </c>
      <c r="BV1976" t="s">
        <v>86</v>
      </c>
      <c r="BY1976">
        <v>5320</v>
      </c>
      <c r="CA1976" t="s">
        <v>192</v>
      </c>
      <c r="CC1976" t="s">
        <v>124</v>
      </c>
      <c r="CD1976">
        <v>7441</v>
      </c>
      <c r="CE1976" t="s">
        <v>147</v>
      </c>
      <c r="CF1976" s="3">
        <v>45887</v>
      </c>
      <c r="CI1976">
        <v>1</v>
      </c>
      <c r="CJ1976">
        <v>1</v>
      </c>
      <c r="CK1976">
        <v>21</v>
      </c>
      <c r="CL1976" t="s">
        <v>90</v>
      </c>
    </row>
    <row r="1977" spans="1:90" x14ac:dyDescent="0.3">
      <c r="A1977" t="s">
        <v>72</v>
      </c>
      <c r="B1977" t="s">
        <v>73</v>
      </c>
      <c r="C1977" t="s">
        <v>74</v>
      </c>
      <c r="E1977" t="str">
        <f>"080067236685"</f>
        <v>080067236685</v>
      </c>
      <c r="F1977" s="3">
        <v>45883</v>
      </c>
      <c r="G1977">
        <v>202605</v>
      </c>
      <c r="H1977" t="s">
        <v>75</v>
      </c>
      <c r="I1977" t="s">
        <v>76</v>
      </c>
      <c r="J1977" t="s">
        <v>77</v>
      </c>
      <c r="K1977" t="s">
        <v>78</v>
      </c>
      <c r="L1977" t="s">
        <v>123</v>
      </c>
      <c r="M1977" t="s">
        <v>124</v>
      </c>
      <c r="N1977" t="s">
        <v>406</v>
      </c>
      <c r="O1977" t="s">
        <v>82</v>
      </c>
      <c r="P1977" t="str">
        <f>"4170054527                    "</f>
        <v xml:space="preserve">4170054527                    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0</v>
      </c>
      <c r="AI1977">
        <v>0</v>
      </c>
      <c r="AJ1977">
        <v>0</v>
      </c>
      <c r="AK1977">
        <v>0</v>
      </c>
      <c r="AL1977">
        <v>0</v>
      </c>
      <c r="AM1977">
        <v>0</v>
      </c>
      <c r="AN1977">
        <v>0</v>
      </c>
      <c r="AO1977">
        <v>0</v>
      </c>
      <c r="AP1977">
        <v>0</v>
      </c>
      <c r="AQ1977">
        <v>23.09</v>
      </c>
      <c r="AR1977">
        <v>0</v>
      </c>
      <c r="AS1977">
        <v>0</v>
      </c>
      <c r="AT1977">
        <v>0</v>
      </c>
      <c r="AU1977">
        <v>0</v>
      </c>
      <c r="AV1977">
        <v>0</v>
      </c>
      <c r="AW1977">
        <v>0</v>
      </c>
      <c r="AX1977">
        <v>0</v>
      </c>
      <c r="AY1977">
        <v>0</v>
      </c>
      <c r="AZ1977">
        <v>0</v>
      </c>
      <c r="BA1977">
        <v>0</v>
      </c>
      <c r="BB1977">
        <v>0</v>
      </c>
      <c r="BC1977">
        <v>0</v>
      </c>
      <c r="BD1977">
        <v>0</v>
      </c>
      <c r="BE1977">
        <v>0</v>
      </c>
      <c r="BF1977">
        <v>0</v>
      </c>
      <c r="BG1977">
        <v>0</v>
      </c>
      <c r="BH1977">
        <v>1</v>
      </c>
      <c r="BI1977">
        <v>2</v>
      </c>
      <c r="BJ1977">
        <v>1.7</v>
      </c>
      <c r="BK1977">
        <v>2</v>
      </c>
      <c r="BL1977">
        <v>71.69</v>
      </c>
      <c r="BM1977">
        <v>10.75</v>
      </c>
      <c r="BN1977">
        <v>82.44</v>
      </c>
      <c r="BO1977">
        <v>82.44</v>
      </c>
      <c r="BQ1977" t="s">
        <v>407</v>
      </c>
      <c r="BR1977" t="s">
        <v>84</v>
      </c>
      <c r="BS1977" s="3">
        <v>45884</v>
      </c>
      <c r="BT1977" s="4">
        <v>0.42916666666666664</v>
      </c>
      <c r="BU1977" t="s">
        <v>408</v>
      </c>
      <c r="BV1977" t="s">
        <v>86</v>
      </c>
      <c r="BY1977">
        <v>8512</v>
      </c>
      <c r="CA1977" t="s">
        <v>192</v>
      </c>
      <c r="CC1977" t="s">
        <v>124</v>
      </c>
      <c r="CD1977">
        <v>7441</v>
      </c>
      <c r="CE1977" t="s">
        <v>147</v>
      </c>
      <c r="CF1977" s="3">
        <v>45887</v>
      </c>
      <c r="CI1977">
        <v>1</v>
      </c>
      <c r="CJ1977">
        <v>1</v>
      </c>
      <c r="CK1977">
        <v>21</v>
      </c>
      <c r="CL1977" t="s">
        <v>90</v>
      </c>
    </row>
    <row r="1978" spans="1:90" x14ac:dyDescent="0.3">
      <c r="A1978" t="s">
        <v>72</v>
      </c>
      <c r="B1978" t="s">
        <v>73</v>
      </c>
      <c r="C1978" t="s">
        <v>74</v>
      </c>
      <c r="E1978" t="str">
        <f>"080067236778"</f>
        <v>080067236778</v>
      </c>
      <c r="F1978" s="3">
        <v>45883</v>
      </c>
      <c r="G1978">
        <v>202605</v>
      </c>
      <c r="H1978" t="s">
        <v>75</v>
      </c>
      <c r="I1978" t="s">
        <v>76</v>
      </c>
      <c r="J1978" t="s">
        <v>77</v>
      </c>
      <c r="K1978" t="s">
        <v>78</v>
      </c>
      <c r="L1978" t="s">
        <v>123</v>
      </c>
      <c r="M1978" t="s">
        <v>124</v>
      </c>
      <c r="N1978" t="s">
        <v>612</v>
      </c>
      <c r="O1978" t="s">
        <v>82</v>
      </c>
      <c r="P1978" t="str">
        <f>"4170054739                    "</f>
        <v xml:space="preserve">4170054739                    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0</v>
      </c>
      <c r="AI1978">
        <v>0</v>
      </c>
      <c r="AJ1978">
        <v>0</v>
      </c>
      <c r="AK1978">
        <v>0</v>
      </c>
      <c r="AL1978">
        <v>0</v>
      </c>
      <c r="AM1978">
        <v>0</v>
      </c>
      <c r="AN1978">
        <v>0</v>
      </c>
      <c r="AO1978">
        <v>0</v>
      </c>
      <c r="AP1978">
        <v>0</v>
      </c>
      <c r="AQ1978">
        <v>103.82</v>
      </c>
      <c r="AR1978">
        <v>0</v>
      </c>
      <c r="AS1978">
        <v>0</v>
      </c>
      <c r="AT1978">
        <v>0</v>
      </c>
      <c r="AU1978">
        <v>0</v>
      </c>
      <c r="AV1978">
        <v>0</v>
      </c>
      <c r="AW1978">
        <v>0</v>
      </c>
      <c r="AX1978">
        <v>0</v>
      </c>
      <c r="AY1978">
        <v>0</v>
      </c>
      <c r="AZ1978">
        <v>0</v>
      </c>
      <c r="BA1978">
        <v>0</v>
      </c>
      <c r="BB1978">
        <v>0</v>
      </c>
      <c r="BC1978">
        <v>0</v>
      </c>
      <c r="BD1978">
        <v>0</v>
      </c>
      <c r="BE1978">
        <v>0</v>
      </c>
      <c r="BF1978">
        <v>0</v>
      </c>
      <c r="BG1978">
        <v>0</v>
      </c>
      <c r="BH1978">
        <v>1</v>
      </c>
      <c r="BI1978">
        <v>8</v>
      </c>
      <c r="BJ1978">
        <v>8.9</v>
      </c>
      <c r="BK1978">
        <v>9</v>
      </c>
      <c r="BL1978">
        <v>322.38</v>
      </c>
      <c r="BM1978">
        <v>48.36</v>
      </c>
      <c r="BN1978">
        <v>370.74</v>
      </c>
      <c r="BO1978">
        <v>370.74</v>
      </c>
      <c r="BQ1978" t="s">
        <v>613</v>
      </c>
      <c r="BR1978" t="s">
        <v>84</v>
      </c>
      <c r="BS1978" s="3">
        <v>45884</v>
      </c>
      <c r="BT1978" s="4">
        <v>0.40902777777777777</v>
      </c>
      <c r="BU1978" t="s">
        <v>2588</v>
      </c>
      <c r="BV1978" t="s">
        <v>86</v>
      </c>
      <c r="BY1978">
        <v>44640</v>
      </c>
      <c r="CA1978" t="s">
        <v>128</v>
      </c>
      <c r="CC1978" t="s">
        <v>124</v>
      </c>
      <c r="CD1978">
        <v>7561</v>
      </c>
      <c r="CE1978" t="s">
        <v>147</v>
      </c>
      <c r="CF1978" s="3">
        <v>45887</v>
      </c>
      <c r="CI1978">
        <v>1</v>
      </c>
      <c r="CJ1978">
        <v>1</v>
      </c>
      <c r="CK1978">
        <v>21</v>
      </c>
      <c r="CL1978" t="s">
        <v>90</v>
      </c>
    </row>
    <row r="1979" spans="1:90" x14ac:dyDescent="0.3">
      <c r="A1979" t="s">
        <v>72</v>
      </c>
      <c r="B1979" t="s">
        <v>73</v>
      </c>
      <c r="C1979" t="s">
        <v>74</v>
      </c>
      <c r="E1979" t="str">
        <f>"080067236980"</f>
        <v>080067236980</v>
      </c>
      <c r="F1979" s="3">
        <v>45883</v>
      </c>
      <c r="G1979">
        <v>202605</v>
      </c>
      <c r="H1979" t="s">
        <v>75</v>
      </c>
      <c r="I1979" t="s">
        <v>76</v>
      </c>
      <c r="J1979" t="s">
        <v>77</v>
      </c>
      <c r="K1979" t="s">
        <v>78</v>
      </c>
      <c r="L1979" t="s">
        <v>123</v>
      </c>
      <c r="M1979" t="s">
        <v>124</v>
      </c>
      <c r="N1979" t="s">
        <v>377</v>
      </c>
      <c r="O1979" t="s">
        <v>82</v>
      </c>
      <c r="P1979" t="str">
        <f>"4170054764                    "</f>
        <v xml:space="preserve">4170054764                    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0</v>
      </c>
      <c r="AL1979">
        <v>0</v>
      </c>
      <c r="AM1979">
        <v>0</v>
      </c>
      <c r="AN1979">
        <v>0</v>
      </c>
      <c r="AO1979">
        <v>0</v>
      </c>
      <c r="AP1979">
        <v>0</v>
      </c>
      <c r="AQ1979">
        <v>178.78</v>
      </c>
      <c r="AR1979">
        <v>0</v>
      </c>
      <c r="AS1979">
        <v>0</v>
      </c>
      <c r="AT1979">
        <v>0</v>
      </c>
      <c r="AU1979">
        <v>0</v>
      </c>
      <c r="AV1979">
        <v>0</v>
      </c>
      <c r="AW1979">
        <v>0</v>
      </c>
      <c r="AX1979">
        <v>0</v>
      </c>
      <c r="AY1979">
        <v>0</v>
      </c>
      <c r="AZ1979">
        <v>0</v>
      </c>
      <c r="BA1979">
        <v>0</v>
      </c>
      <c r="BB1979">
        <v>0</v>
      </c>
      <c r="BC1979">
        <v>0</v>
      </c>
      <c r="BD1979">
        <v>0</v>
      </c>
      <c r="BE1979">
        <v>0</v>
      </c>
      <c r="BF1979">
        <v>0</v>
      </c>
      <c r="BG1979">
        <v>0</v>
      </c>
      <c r="BH1979">
        <v>1</v>
      </c>
      <c r="BI1979">
        <v>15</v>
      </c>
      <c r="BJ1979">
        <v>15.5</v>
      </c>
      <c r="BK1979">
        <v>15.5</v>
      </c>
      <c r="BL1979">
        <v>555.16</v>
      </c>
      <c r="BM1979">
        <v>83.27</v>
      </c>
      <c r="BN1979">
        <v>638.42999999999995</v>
      </c>
      <c r="BO1979">
        <v>638.42999999999995</v>
      </c>
      <c r="BQ1979" t="s">
        <v>378</v>
      </c>
      <c r="BR1979" t="s">
        <v>84</v>
      </c>
      <c r="BS1979" s="3">
        <v>45884</v>
      </c>
      <c r="BT1979" s="4">
        <v>0.30208333333333331</v>
      </c>
      <c r="BU1979" t="s">
        <v>2589</v>
      </c>
      <c r="BV1979" t="s">
        <v>86</v>
      </c>
      <c r="BY1979">
        <v>77256</v>
      </c>
      <c r="CC1979" t="s">
        <v>124</v>
      </c>
      <c r="CD1979">
        <v>7535</v>
      </c>
      <c r="CE1979" t="s">
        <v>117</v>
      </c>
      <c r="CF1979" s="3">
        <v>45887</v>
      </c>
      <c r="CI1979">
        <v>1</v>
      </c>
      <c r="CJ1979">
        <v>1</v>
      </c>
      <c r="CK1979">
        <v>21</v>
      </c>
      <c r="CL1979" t="s">
        <v>90</v>
      </c>
    </row>
    <row r="1980" spans="1:90" x14ac:dyDescent="0.3">
      <c r="A1980" t="s">
        <v>72</v>
      </c>
      <c r="B1980" t="s">
        <v>73</v>
      </c>
      <c r="C1980" t="s">
        <v>74</v>
      </c>
      <c r="E1980" t="str">
        <f>"080067237012"</f>
        <v>080067237012</v>
      </c>
      <c r="F1980" s="3">
        <v>45883</v>
      </c>
      <c r="G1980">
        <v>202605</v>
      </c>
      <c r="H1980" t="s">
        <v>75</v>
      </c>
      <c r="I1980" t="s">
        <v>76</v>
      </c>
      <c r="J1980" t="s">
        <v>77</v>
      </c>
      <c r="K1980" t="s">
        <v>78</v>
      </c>
      <c r="L1980" t="s">
        <v>123</v>
      </c>
      <c r="M1980" t="s">
        <v>124</v>
      </c>
      <c r="N1980" t="s">
        <v>377</v>
      </c>
      <c r="O1980" t="s">
        <v>82</v>
      </c>
      <c r="P1980" t="str">
        <f>"4170054868                    "</f>
        <v xml:space="preserve">4170054868                    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0</v>
      </c>
      <c r="AI1980">
        <v>0</v>
      </c>
      <c r="AJ1980">
        <v>0</v>
      </c>
      <c r="AK1980">
        <v>0</v>
      </c>
      <c r="AL1980">
        <v>0</v>
      </c>
      <c r="AM1980">
        <v>0</v>
      </c>
      <c r="AN1980">
        <v>0</v>
      </c>
      <c r="AO1980">
        <v>0</v>
      </c>
      <c r="AP1980">
        <v>0</v>
      </c>
      <c r="AQ1980">
        <v>69.22</v>
      </c>
      <c r="AR1980">
        <v>0</v>
      </c>
      <c r="AS1980">
        <v>0</v>
      </c>
      <c r="AT1980">
        <v>0</v>
      </c>
      <c r="AU1980">
        <v>0</v>
      </c>
      <c r="AV1980">
        <v>0</v>
      </c>
      <c r="AW1980">
        <v>0</v>
      </c>
      <c r="AX1980">
        <v>0</v>
      </c>
      <c r="AY1980">
        <v>0</v>
      </c>
      <c r="AZ1980">
        <v>0</v>
      </c>
      <c r="BA1980">
        <v>0</v>
      </c>
      <c r="BB1980">
        <v>0</v>
      </c>
      <c r="BC1980">
        <v>0</v>
      </c>
      <c r="BD1980">
        <v>0</v>
      </c>
      <c r="BE1980">
        <v>0</v>
      </c>
      <c r="BF1980">
        <v>0</v>
      </c>
      <c r="BG1980">
        <v>0</v>
      </c>
      <c r="BH1980">
        <v>1</v>
      </c>
      <c r="BI1980">
        <v>6</v>
      </c>
      <c r="BJ1980">
        <v>3.4</v>
      </c>
      <c r="BK1980">
        <v>6</v>
      </c>
      <c r="BL1980">
        <v>214.94</v>
      </c>
      <c r="BM1980">
        <v>32.24</v>
      </c>
      <c r="BN1980">
        <v>247.18</v>
      </c>
      <c r="BO1980">
        <v>247.18</v>
      </c>
      <c r="BQ1980" t="s">
        <v>378</v>
      </c>
      <c r="BR1980" t="s">
        <v>84</v>
      </c>
      <c r="BS1980" s="3">
        <v>45884</v>
      </c>
      <c r="BT1980" s="4">
        <v>0.30208333333333331</v>
      </c>
      <c r="BU1980" t="s">
        <v>2589</v>
      </c>
      <c r="BV1980" t="s">
        <v>86</v>
      </c>
      <c r="BY1980">
        <v>16965</v>
      </c>
      <c r="CC1980" t="s">
        <v>124</v>
      </c>
      <c r="CD1980">
        <v>7535</v>
      </c>
      <c r="CE1980" t="s">
        <v>147</v>
      </c>
      <c r="CF1980" s="3">
        <v>45887</v>
      </c>
      <c r="CI1980">
        <v>1</v>
      </c>
      <c r="CJ1980">
        <v>1</v>
      </c>
      <c r="CK1980">
        <v>21</v>
      </c>
      <c r="CL1980" t="s">
        <v>90</v>
      </c>
    </row>
    <row r="1981" spans="1:90" x14ac:dyDescent="0.3">
      <c r="A1981" t="s">
        <v>72</v>
      </c>
      <c r="B1981" t="s">
        <v>73</v>
      </c>
      <c r="C1981" t="s">
        <v>74</v>
      </c>
      <c r="E1981" t="str">
        <f>"080067237176"</f>
        <v>080067237176</v>
      </c>
      <c r="F1981" s="3">
        <v>45883</v>
      </c>
      <c r="G1981">
        <v>202605</v>
      </c>
      <c r="H1981" t="s">
        <v>75</v>
      </c>
      <c r="I1981" t="s">
        <v>76</v>
      </c>
      <c r="J1981" t="s">
        <v>77</v>
      </c>
      <c r="K1981" t="s">
        <v>78</v>
      </c>
      <c r="L1981" t="s">
        <v>75</v>
      </c>
      <c r="M1981" t="s">
        <v>76</v>
      </c>
      <c r="N1981" t="s">
        <v>740</v>
      </c>
      <c r="O1981" t="s">
        <v>82</v>
      </c>
      <c r="P1981" t="str">
        <f>"4170054627                    "</f>
        <v xml:space="preserve">4170054627                    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0</v>
      </c>
      <c r="AL1981">
        <v>0</v>
      </c>
      <c r="AM1981">
        <v>0</v>
      </c>
      <c r="AN1981">
        <v>0</v>
      </c>
      <c r="AO1981">
        <v>0</v>
      </c>
      <c r="AP1981">
        <v>0</v>
      </c>
      <c r="AQ1981">
        <v>18.03</v>
      </c>
      <c r="AR1981">
        <v>0</v>
      </c>
      <c r="AS1981">
        <v>0</v>
      </c>
      <c r="AT1981">
        <v>0</v>
      </c>
      <c r="AU1981">
        <v>0</v>
      </c>
      <c r="AV1981">
        <v>0</v>
      </c>
      <c r="AW1981">
        <v>0</v>
      </c>
      <c r="AX1981">
        <v>0</v>
      </c>
      <c r="AY1981">
        <v>0</v>
      </c>
      <c r="AZ1981">
        <v>0</v>
      </c>
      <c r="BA1981">
        <v>0</v>
      </c>
      <c r="BB1981">
        <v>0</v>
      </c>
      <c r="BC1981">
        <v>0</v>
      </c>
      <c r="BD1981">
        <v>0</v>
      </c>
      <c r="BE1981">
        <v>0</v>
      </c>
      <c r="BF1981">
        <v>0</v>
      </c>
      <c r="BG1981">
        <v>0</v>
      </c>
      <c r="BH1981">
        <v>1</v>
      </c>
      <c r="BI1981">
        <v>1</v>
      </c>
      <c r="BJ1981">
        <v>0.2</v>
      </c>
      <c r="BK1981">
        <v>1</v>
      </c>
      <c r="BL1981">
        <v>55.99</v>
      </c>
      <c r="BM1981">
        <v>8.4</v>
      </c>
      <c r="BN1981">
        <v>64.39</v>
      </c>
      <c r="BO1981">
        <v>64.39</v>
      </c>
      <c r="BQ1981" t="s">
        <v>741</v>
      </c>
      <c r="BR1981" t="s">
        <v>84</v>
      </c>
      <c r="BS1981" s="3">
        <v>45884</v>
      </c>
      <c r="BT1981" s="4">
        <v>0.49375000000000002</v>
      </c>
      <c r="BU1981" t="s">
        <v>2590</v>
      </c>
      <c r="BV1981" t="s">
        <v>90</v>
      </c>
      <c r="BW1981" t="s">
        <v>380</v>
      </c>
      <c r="BX1981" t="s">
        <v>1132</v>
      </c>
      <c r="BY1981">
        <v>1200</v>
      </c>
      <c r="CA1981" t="s">
        <v>2446</v>
      </c>
      <c r="CC1981" t="s">
        <v>76</v>
      </c>
      <c r="CD1981">
        <v>1600</v>
      </c>
      <c r="CE1981" t="s">
        <v>109</v>
      </c>
      <c r="CF1981" s="3">
        <v>45887</v>
      </c>
      <c r="CI1981">
        <v>1</v>
      </c>
      <c r="CJ1981">
        <v>1</v>
      </c>
      <c r="CK1981">
        <v>22</v>
      </c>
      <c r="CL1981" t="s">
        <v>90</v>
      </c>
    </row>
    <row r="1982" spans="1:90" x14ac:dyDescent="0.3">
      <c r="A1982" t="s">
        <v>72</v>
      </c>
      <c r="B1982" t="s">
        <v>73</v>
      </c>
      <c r="C1982" t="s">
        <v>74</v>
      </c>
      <c r="E1982" t="str">
        <f>"080067237211"</f>
        <v>080067237211</v>
      </c>
      <c r="F1982" s="3">
        <v>45883</v>
      </c>
      <c r="G1982">
        <v>202605</v>
      </c>
      <c r="H1982" t="s">
        <v>75</v>
      </c>
      <c r="I1982" t="s">
        <v>76</v>
      </c>
      <c r="J1982" t="s">
        <v>77</v>
      </c>
      <c r="K1982" t="s">
        <v>78</v>
      </c>
      <c r="L1982" t="s">
        <v>325</v>
      </c>
      <c r="M1982" t="s">
        <v>326</v>
      </c>
      <c r="N1982" t="s">
        <v>458</v>
      </c>
      <c r="O1982" t="s">
        <v>82</v>
      </c>
      <c r="P1982" t="str">
        <f>"4170054617                    "</f>
        <v xml:space="preserve">4170054617                    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0</v>
      </c>
      <c r="AI1982">
        <v>0</v>
      </c>
      <c r="AJ1982">
        <v>0</v>
      </c>
      <c r="AK1982">
        <v>0</v>
      </c>
      <c r="AL1982">
        <v>0</v>
      </c>
      <c r="AM1982">
        <v>0</v>
      </c>
      <c r="AN1982">
        <v>0</v>
      </c>
      <c r="AO1982">
        <v>0</v>
      </c>
      <c r="AP1982">
        <v>0</v>
      </c>
      <c r="AQ1982">
        <v>18.03</v>
      </c>
      <c r="AR1982">
        <v>0</v>
      </c>
      <c r="AS1982">
        <v>0</v>
      </c>
      <c r="AT1982">
        <v>0</v>
      </c>
      <c r="AU1982">
        <v>0</v>
      </c>
      <c r="AV1982">
        <v>0</v>
      </c>
      <c r="AW1982">
        <v>0</v>
      </c>
      <c r="AX1982">
        <v>0</v>
      </c>
      <c r="AY1982">
        <v>0</v>
      </c>
      <c r="AZ1982">
        <v>0</v>
      </c>
      <c r="BA1982">
        <v>0</v>
      </c>
      <c r="BB1982">
        <v>0</v>
      </c>
      <c r="BC1982">
        <v>0</v>
      </c>
      <c r="BD1982">
        <v>0</v>
      </c>
      <c r="BE1982">
        <v>0</v>
      </c>
      <c r="BF1982">
        <v>0</v>
      </c>
      <c r="BG1982">
        <v>0</v>
      </c>
      <c r="BH1982">
        <v>1</v>
      </c>
      <c r="BI1982">
        <v>1</v>
      </c>
      <c r="BJ1982">
        <v>0.2</v>
      </c>
      <c r="BK1982">
        <v>1</v>
      </c>
      <c r="BL1982">
        <v>55.99</v>
      </c>
      <c r="BM1982">
        <v>8.4</v>
      </c>
      <c r="BN1982">
        <v>64.39</v>
      </c>
      <c r="BO1982">
        <v>64.39</v>
      </c>
      <c r="BQ1982" t="s">
        <v>459</v>
      </c>
      <c r="BR1982" t="s">
        <v>84</v>
      </c>
      <c r="BS1982" s="3">
        <v>45884</v>
      </c>
      <c r="BT1982" s="4">
        <v>0.40833333333333333</v>
      </c>
      <c r="BU1982" t="s">
        <v>2591</v>
      </c>
      <c r="BV1982" t="s">
        <v>86</v>
      </c>
      <c r="BY1982">
        <v>1200</v>
      </c>
      <c r="CA1982" t="s">
        <v>461</v>
      </c>
      <c r="CC1982" t="s">
        <v>326</v>
      </c>
      <c r="CD1982">
        <v>2197</v>
      </c>
      <c r="CE1982" t="s">
        <v>109</v>
      </c>
      <c r="CF1982" s="3">
        <v>45885</v>
      </c>
      <c r="CI1982">
        <v>1</v>
      </c>
      <c r="CJ1982">
        <v>1</v>
      </c>
      <c r="CK1982">
        <v>22</v>
      </c>
      <c r="CL1982" t="s">
        <v>90</v>
      </c>
    </row>
    <row r="1983" spans="1:90" x14ac:dyDescent="0.3">
      <c r="A1983" t="s">
        <v>72</v>
      </c>
      <c r="B1983" t="s">
        <v>73</v>
      </c>
      <c r="C1983" t="s">
        <v>74</v>
      </c>
      <c r="E1983" t="str">
        <f>"080067237261"</f>
        <v>080067237261</v>
      </c>
      <c r="F1983" s="3">
        <v>45883</v>
      </c>
      <c r="G1983">
        <v>202605</v>
      </c>
      <c r="H1983" t="s">
        <v>75</v>
      </c>
      <c r="I1983" t="s">
        <v>76</v>
      </c>
      <c r="J1983" t="s">
        <v>77</v>
      </c>
      <c r="K1983" t="s">
        <v>78</v>
      </c>
      <c r="L1983" t="s">
        <v>123</v>
      </c>
      <c r="M1983" t="s">
        <v>124</v>
      </c>
      <c r="N1983" t="s">
        <v>1993</v>
      </c>
      <c r="O1983" t="s">
        <v>95</v>
      </c>
      <c r="P1983" t="str">
        <f>"4170054567                    "</f>
        <v xml:space="preserve">4170054567                    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0</v>
      </c>
      <c r="AL1983">
        <v>0</v>
      </c>
      <c r="AM1983">
        <v>0</v>
      </c>
      <c r="AN1983">
        <v>0</v>
      </c>
      <c r="AO1983">
        <v>0</v>
      </c>
      <c r="AP1983">
        <v>0</v>
      </c>
      <c r="AQ1983">
        <v>112.83</v>
      </c>
      <c r="AR1983">
        <v>0</v>
      </c>
      <c r="AS1983">
        <v>0</v>
      </c>
      <c r="AT1983">
        <v>0</v>
      </c>
      <c r="AU1983">
        <v>0</v>
      </c>
      <c r="AV1983">
        <v>0</v>
      </c>
      <c r="AW1983">
        <v>0</v>
      </c>
      <c r="AX1983">
        <v>0</v>
      </c>
      <c r="AY1983">
        <v>0</v>
      </c>
      <c r="AZ1983">
        <v>0</v>
      </c>
      <c r="BA1983">
        <v>0</v>
      </c>
      <c r="BB1983">
        <v>0</v>
      </c>
      <c r="BC1983">
        <v>0</v>
      </c>
      <c r="BD1983">
        <v>0</v>
      </c>
      <c r="BE1983">
        <v>0</v>
      </c>
      <c r="BF1983">
        <v>0</v>
      </c>
      <c r="BG1983">
        <v>0</v>
      </c>
      <c r="BH1983">
        <v>4</v>
      </c>
      <c r="BI1983">
        <v>52</v>
      </c>
      <c r="BJ1983">
        <v>11.8</v>
      </c>
      <c r="BK1983">
        <v>52</v>
      </c>
      <c r="BL1983">
        <v>356.24</v>
      </c>
      <c r="BM1983">
        <v>53.44</v>
      </c>
      <c r="BN1983">
        <v>409.68</v>
      </c>
      <c r="BO1983">
        <v>409.68</v>
      </c>
      <c r="BQ1983" t="s">
        <v>1994</v>
      </c>
      <c r="BR1983" t="s">
        <v>84</v>
      </c>
      <c r="BS1983" s="3">
        <v>45887</v>
      </c>
      <c r="BT1983" s="4">
        <v>0.5395833333333333</v>
      </c>
      <c r="BU1983" t="s">
        <v>2592</v>
      </c>
      <c r="BV1983" t="s">
        <v>86</v>
      </c>
      <c r="BY1983">
        <v>29376</v>
      </c>
      <c r="CA1983" t="s">
        <v>2593</v>
      </c>
      <c r="CC1983" t="s">
        <v>124</v>
      </c>
      <c r="CD1983">
        <v>7925</v>
      </c>
      <c r="CE1983" t="s">
        <v>1095</v>
      </c>
      <c r="CI1983">
        <v>3</v>
      </c>
      <c r="CJ1983">
        <v>2</v>
      </c>
      <c r="CK1983">
        <v>41</v>
      </c>
      <c r="CL1983" t="s">
        <v>90</v>
      </c>
    </row>
    <row r="1984" spans="1:90" x14ac:dyDescent="0.3">
      <c r="A1984" t="s">
        <v>72</v>
      </c>
      <c r="B1984" t="s">
        <v>73</v>
      </c>
      <c r="C1984" t="s">
        <v>74</v>
      </c>
      <c r="E1984" t="str">
        <f>"080067237285"</f>
        <v>080067237285</v>
      </c>
      <c r="F1984" s="3">
        <v>45883</v>
      </c>
      <c r="G1984">
        <v>202605</v>
      </c>
      <c r="H1984" t="s">
        <v>75</v>
      </c>
      <c r="I1984" t="s">
        <v>76</v>
      </c>
      <c r="J1984" t="s">
        <v>77</v>
      </c>
      <c r="K1984" t="s">
        <v>78</v>
      </c>
      <c r="L1984" t="s">
        <v>75</v>
      </c>
      <c r="M1984" t="s">
        <v>76</v>
      </c>
      <c r="N1984" t="s">
        <v>1100</v>
      </c>
      <c r="O1984" t="s">
        <v>82</v>
      </c>
      <c r="P1984" t="str">
        <f>"4170054590                    "</f>
        <v xml:space="preserve">4170054590                    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0</v>
      </c>
      <c r="AI1984">
        <v>0</v>
      </c>
      <c r="AJ1984">
        <v>0</v>
      </c>
      <c r="AK1984">
        <v>0</v>
      </c>
      <c r="AL1984">
        <v>0</v>
      </c>
      <c r="AM1984">
        <v>0</v>
      </c>
      <c r="AN1984">
        <v>0</v>
      </c>
      <c r="AO1984">
        <v>0</v>
      </c>
      <c r="AP1984">
        <v>0</v>
      </c>
      <c r="AQ1984">
        <v>18.03</v>
      </c>
      <c r="AR1984">
        <v>0</v>
      </c>
      <c r="AS1984">
        <v>0</v>
      </c>
      <c r="AT1984">
        <v>0</v>
      </c>
      <c r="AU1984">
        <v>0</v>
      </c>
      <c r="AV1984">
        <v>0</v>
      </c>
      <c r="AW1984">
        <v>0</v>
      </c>
      <c r="AX1984">
        <v>0</v>
      </c>
      <c r="AY1984">
        <v>0</v>
      </c>
      <c r="AZ1984">
        <v>0</v>
      </c>
      <c r="BA1984">
        <v>0</v>
      </c>
      <c r="BB1984">
        <v>0</v>
      </c>
      <c r="BC1984">
        <v>0</v>
      </c>
      <c r="BD1984">
        <v>0</v>
      </c>
      <c r="BE1984">
        <v>0</v>
      </c>
      <c r="BF1984">
        <v>0</v>
      </c>
      <c r="BG1984">
        <v>0</v>
      </c>
      <c r="BH1984">
        <v>1</v>
      </c>
      <c r="BI1984">
        <v>1</v>
      </c>
      <c r="BJ1984">
        <v>1.9</v>
      </c>
      <c r="BK1984">
        <v>2</v>
      </c>
      <c r="BL1984">
        <v>55.99</v>
      </c>
      <c r="BM1984">
        <v>8.4</v>
      </c>
      <c r="BN1984">
        <v>64.39</v>
      </c>
      <c r="BO1984">
        <v>64.39</v>
      </c>
      <c r="BQ1984" t="s">
        <v>1101</v>
      </c>
      <c r="BR1984" t="s">
        <v>84</v>
      </c>
      <c r="BS1984" s="3">
        <v>45884</v>
      </c>
      <c r="BT1984" s="4">
        <v>0.43958333333333333</v>
      </c>
      <c r="BU1984" t="s">
        <v>2594</v>
      </c>
      <c r="BV1984" t="s">
        <v>90</v>
      </c>
      <c r="BW1984" t="s">
        <v>380</v>
      </c>
      <c r="BX1984" t="s">
        <v>1132</v>
      </c>
      <c r="BY1984">
        <v>9600</v>
      </c>
      <c r="CC1984" t="s">
        <v>76</v>
      </c>
      <c r="CD1984">
        <v>1600</v>
      </c>
      <c r="CE1984" t="s">
        <v>147</v>
      </c>
      <c r="CF1984" s="3">
        <v>45885</v>
      </c>
      <c r="CI1984">
        <v>1</v>
      </c>
      <c r="CJ1984">
        <v>1</v>
      </c>
      <c r="CK1984">
        <v>22</v>
      </c>
      <c r="CL1984" t="s">
        <v>90</v>
      </c>
    </row>
    <row r="1985" spans="1:90" x14ac:dyDescent="0.3">
      <c r="A1985" t="s">
        <v>72</v>
      </c>
      <c r="B1985" t="s">
        <v>73</v>
      </c>
      <c r="C1985" t="s">
        <v>74</v>
      </c>
      <c r="E1985" t="str">
        <f>"080067237561"</f>
        <v>080067237561</v>
      </c>
      <c r="F1985" s="3">
        <v>45883</v>
      </c>
      <c r="G1985">
        <v>202605</v>
      </c>
      <c r="H1985" t="s">
        <v>75</v>
      </c>
      <c r="I1985" t="s">
        <v>76</v>
      </c>
      <c r="J1985" t="s">
        <v>77</v>
      </c>
      <c r="K1985" t="s">
        <v>78</v>
      </c>
      <c r="L1985" t="s">
        <v>75</v>
      </c>
      <c r="M1985" t="s">
        <v>76</v>
      </c>
      <c r="N1985" t="s">
        <v>537</v>
      </c>
      <c r="O1985" t="s">
        <v>113</v>
      </c>
      <c r="P1985" t="str">
        <f>"4170054624                    "</f>
        <v xml:space="preserve">4170054624                    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0</v>
      </c>
      <c r="AK1985">
        <v>0</v>
      </c>
      <c r="AL1985">
        <v>0</v>
      </c>
      <c r="AM1985">
        <v>0</v>
      </c>
      <c r="AN1985">
        <v>0</v>
      </c>
      <c r="AO1985">
        <v>0</v>
      </c>
      <c r="AP1985">
        <v>0</v>
      </c>
      <c r="AQ1985">
        <v>20.059999999999999</v>
      </c>
      <c r="AR1985">
        <v>0</v>
      </c>
      <c r="AS1985">
        <v>0</v>
      </c>
      <c r="AT1985">
        <v>0</v>
      </c>
      <c r="AU1985">
        <v>0</v>
      </c>
      <c r="AV1985">
        <v>0</v>
      </c>
      <c r="AW1985">
        <v>0</v>
      </c>
      <c r="AX1985">
        <v>0</v>
      </c>
      <c r="AY1985">
        <v>0</v>
      </c>
      <c r="AZ1985">
        <v>0</v>
      </c>
      <c r="BA1985">
        <v>0</v>
      </c>
      <c r="BB1985">
        <v>0</v>
      </c>
      <c r="BC1985">
        <v>0</v>
      </c>
      <c r="BD1985">
        <v>0</v>
      </c>
      <c r="BE1985">
        <v>0</v>
      </c>
      <c r="BF1985">
        <v>0</v>
      </c>
      <c r="BG1985">
        <v>0</v>
      </c>
      <c r="BH1985">
        <v>1</v>
      </c>
      <c r="BI1985">
        <v>9</v>
      </c>
      <c r="BJ1985">
        <v>1.7</v>
      </c>
      <c r="BK1985">
        <v>9</v>
      </c>
      <c r="BL1985">
        <v>62.29</v>
      </c>
      <c r="BM1985">
        <v>9.34</v>
      </c>
      <c r="BN1985">
        <v>71.63</v>
      </c>
      <c r="BO1985">
        <v>71.63</v>
      </c>
      <c r="BQ1985" t="s">
        <v>538</v>
      </c>
      <c r="BR1985" t="s">
        <v>84</v>
      </c>
      <c r="BS1985" s="3">
        <v>45884</v>
      </c>
      <c r="BT1985" s="4">
        <v>0.39583333333333331</v>
      </c>
      <c r="BU1985" t="s">
        <v>1747</v>
      </c>
      <c r="BV1985" t="s">
        <v>86</v>
      </c>
      <c r="BY1985">
        <v>8512</v>
      </c>
      <c r="CA1985" t="s">
        <v>739</v>
      </c>
      <c r="CC1985" t="s">
        <v>76</v>
      </c>
      <c r="CD1985">
        <v>1619</v>
      </c>
      <c r="CE1985" t="s">
        <v>147</v>
      </c>
      <c r="CF1985" s="3">
        <v>45884</v>
      </c>
      <c r="CI1985">
        <v>1</v>
      </c>
      <c r="CJ1985">
        <v>1</v>
      </c>
      <c r="CK1985">
        <v>32</v>
      </c>
      <c r="CL1985" t="s">
        <v>90</v>
      </c>
    </row>
    <row r="1986" spans="1:90" x14ac:dyDescent="0.3">
      <c r="A1986" t="s">
        <v>72</v>
      </c>
      <c r="B1986" t="s">
        <v>73</v>
      </c>
      <c r="C1986" t="s">
        <v>74</v>
      </c>
      <c r="E1986" t="str">
        <f>"080067237609"</f>
        <v>080067237609</v>
      </c>
      <c r="F1986" s="3">
        <v>45883</v>
      </c>
      <c r="G1986">
        <v>202605</v>
      </c>
      <c r="H1986" t="s">
        <v>75</v>
      </c>
      <c r="I1986" t="s">
        <v>76</v>
      </c>
      <c r="J1986" t="s">
        <v>77</v>
      </c>
      <c r="K1986" t="s">
        <v>78</v>
      </c>
      <c r="L1986" t="s">
        <v>118</v>
      </c>
      <c r="M1986" t="s">
        <v>118</v>
      </c>
      <c r="N1986" t="s">
        <v>466</v>
      </c>
      <c r="O1986" t="s">
        <v>82</v>
      </c>
      <c r="P1986" t="str">
        <f>"4170054677                    "</f>
        <v xml:space="preserve">4170054677                    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0</v>
      </c>
      <c r="AI1986">
        <v>0</v>
      </c>
      <c r="AJ1986"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Q1986">
        <v>44.73</v>
      </c>
      <c r="AR1986">
        <v>0</v>
      </c>
      <c r="AS1986">
        <v>0</v>
      </c>
      <c r="AT1986">
        <v>0</v>
      </c>
      <c r="AU1986">
        <v>0</v>
      </c>
      <c r="AV1986">
        <v>0</v>
      </c>
      <c r="AW1986">
        <v>0</v>
      </c>
      <c r="AX1986">
        <v>0</v>
      </c>
      <c r="AY1986">
        <v>0</v>
      </c>
      <c r="AZ1986">
        <v>0</v>
      </c>
      <c r="BA1986">
        <v>0</v>
      </c>
      <c r="BB1986">
        <v>0</v>
      </c>
      <c r="BC1986">
        <v>0</v>
      </c>
      <c r="BD1986">
        <v>0</v>
      </c>
      <c r="BE1986">
        <v>0</v>
      </c>
      <c r="BF1986">
        <v>0</v>
      </c>
      <c r="BG1986">
        <v>0</v>
      </c>
      <c r="BH1986">
        <v>1</v>
      </c>
      <c r="BI1986">
        <v>1</v>
      </c>
      <c r="BJ1986">
        <v>1.1000000000000001</v>
      </c>
      <c r="BK1986">
        <v>1.5</v>
      </c>
      <c r="BL1986">
        <v>138.88999999999999</v>
      </c>
      <c r="BM1986">
        <v>20.83</v>
      </c>
      <c r="BN1986">
        <v>159.72</v>
      </c>
      <c r="BO1986">
        <v>159.72</v>
      </c>
      <c r="BQ1986" t="s">
        <v>1178</v>
      </c>
      <c r="BR1986" t="s">
        <v>84</v>
      </c>
      <c r="BS1986" s="3">
        <v>45884</v>
      </c>
      <c r="BT1986" s="4">
        <v>0.5395833333333333</v>
      </c>
      <c r="BU1986" t="s">
        <v>468</v>
      </c>
      <c r="BV1986" t="s">
        <v>86</v>
      </c>
      <c r="BY1986">
        <v>5320</v>
      </c>
      <c r="CA1986" t="s">
        <v>122</v>
      </c>
      <c r="CC1986" t="s">
        <v>118</v>
      </c>
      <c r="CD1986">
        <v>7646</v>
      </c>
      <c r="CE1986" t="s">
        <v>147</v>
      </c>
      <c r="CF1986" s="3">
        <v>45887</v>
      </c>
      <c r="CI1986">
        <v>1</v>
      </c>
      <c r="CJ1986">
        <v>1</v>
      </c>
      <c r="CK1986">
        <v>23</v>
      </c>
      <c r="CL1986" t="s">
        <v>90</v>
      </c>
    </row>
    <row r="1987" spans="1:90" x14ac:dyDescent="0.3">
      <c r="A1987" t="s">
        <v>72</v>
      </c>
      <c r="B1987" t="s">
        <v>73</v>
      </c>
      <c r="C1987" t="s">
        <v>74</v>
      </c>
      <c r="E1987" t="str">
        <f>"080067237668"</f>
        <v>080067237668</v>
      </c>
      <c r="F1987" s="3">
        <v>45883</v>
      </c>
      <c r="G1987">
        <v>202605</v>
      </c>
      <c r="H1987" t="s">
        <v>75</v>
      </c>
      <c r="I1987" t="s">
        <v>76</v>
      </c>
      <c r="J1987" t="s">
        <v>77</v>
      </c>
      <c r="K1987" t="s">
        <v>78</v>
      </c>
      <c r="L1987" t="s">
        <v>303</v>
      </c>
      <c r="M1987" t="s">
        <v>304</v>
      </c>
      <c r="N1987" t="s">
        <v>840</v>
      </c>
      <c r="O1987" t="s">
        <v>82</v>
      </c>
      <c r="P1987" t="str">
        <f>"4170054508                    "</f>
        <v xml:space="preserve">4170054508                    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0</v>
      </c>
      <c r="AI1987">
        <v>0</v>
      </c>
      <c r="AJ1987">
        <v>0</v>
      </c>
      <c r="AK1987">
        <v>0</v>
      </c>
      <c r="AL1987">
        <v>0</v>
      </c>
      <c r="AM1987">
        <v>0</v>
      </c>
      <c r="AN1987">
        <v>0</v>
      </c>
      <c r="AO1987">
        <v>0</v>
      </c>
      <c r="AP1987">
        <v>0</v>
      </c>
      <c r="AQ1987">
        <v>44.73</v>
      </c>
      <c r="AR1987">
        <v>0</v>
      </c>
      <c r="AS1987">
        <v>0</v>
      </c>
      <c r="AT1987">
        <v>0</v>
      </c>
      <c r="AU1987">
        <v>0</v>
      </c>
      <c r="AV1987">
        <v>0</v>
      </c>
      <c r="AW1987">
        <v>0</v>
      </c>
      <c r="AX1987">
        <v>0</v>
      </c>
      <c r="AY1987">
        <v>0</v>
      </c>
      <c r="AZ1987">
        <v>0</v>
      </c>
      <c r="BA1987">
        <v>0</v>
      </c>
      <c r="BB1987">
        <v>0</v>
      </c>
      <c r="BC1987">
        <v>0</v>
      </c>
      <c r="BD1987">
        <v>0</v>
      </c>
      <c r="BE1987">
        <v>0</v>
      </c>
      <c r="BF1987">
        <v>0</v>
      </c>
      <c r="BG1987">
        <v>0</v>
      </c>
      <c r="BH1987">
        <v>1</v>
      </c>
      <c r="BI1987">
        <v>2</v>
      </c>
      <c r="BJ1987">
        <v>0.6</v>
      </c>
      <c r="BK1987">
        <v>2</v>
      </c>
      <c r="BL1987">
        <v>138.88999999999999</v>
      </c>
      <c r="BM1987">
        <v>20.83</v>
      </c>
      <c r="BN1987">
        <v>159.72</v>
      </c>
      <c r="BO1987">
        <v>159.72</v>
      </c>
      <c r="BQ1987" t="s">
        <v>841</v>
      </c>
      <c r="BR1987" t="s">
        <v>84</v>
      </c>
      <c r="BS1987" s="3">
        <v>45884</v>
      </c>
      <c r="BT1987" s="4">
        <v>0.50069444444444444</v>
      </c>
      <c r="BU1987" t="s">
        <v>2078</v>
      </c>
      <c r="BV1987" t="s">
        <v>86</v>
      </c>
      <c r="BY1987">
        <v>3192</v>
      </c>
      <c r="CA1987" t="s">
        <v>308</v>
      </c>
      <c r="CC1987" t="s">
        <v>304</v>
      </c>
      <c r="CD1987">
        <v>7130</v>
      </c>
      <c r="CE1987" t="s">
        <v>147</v>
      </c>
      <c r="CF1987" s="3">
        <v>45887</v>
      </c>
      <c r="CI1987">
        <v>1</v>
      </c>
      <c r="CJ1987">
        <v>1</v>
      </c>
      <c r="CK1987">
        <v>23</v>
      </c>
      <c r="CL1987" t="s">
        <v>90</v>
      </c>
    </row>
    <row r="1988" spans="1:90" x14ac:dyDescent="0.3">
      <c r="A1988" t="s">
        <v>72</v>
      </c>
      <c r="B1988" t="s">
        <v>73</v>
      </c>
      <c r="C1988" t="s">
        <v>74</v>
      </c>
      <c r="E1988" t="str">
        <f>"080067237722"</f>
        <v>080067237722</v>
      </c>
      <c r="F1988" s="3">
        <v>45883</v>
      </c>
      <c r="G1988">
        <v>202605</v>
      </c>
      <c r="H1988" t="s">
        <v>75</v>
      </c>
      <c r="I1988" t="s">
        <v>76</v>
      </c>
      <c r="J1988" t="s">
        <v>77</v>
      </c>
      <c r="K1988" t="s">
        <v>78</v>
      </c>
      <c r="L1988" t="s">
        <v>137</v>
      </c>
      <c r="M1988" t="s">
        <v>138</v>
      </c>
      <c r="N1988" t="s">
        <v>261</v>
      </c>
      <c r="O1988" t="s">
        <v>82</v>
      </c>
      <c r="P1988" t="str">
        <f>"4170054610                    "</f>
        <v xml:space="preserve">4170054610                    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0</v>
      </c>
      <c r="AI1988">
        <v>0</v>
      </c>
      <c r="AJ1988">
        <v>0</v>
      </c>
      <c r="AK1988">
        <v>0</v>
      </c>
      <c r="AL1988">
        <v>0</v>
      </c>
      <c r="AM1988">
        <v>0</v>
      </c>
      <c r="AN1988">
        <v>0</v>
      </c>
      <c r="AO1988">
        <v>0</v>
      </c>
      <c r="AP1988">
        <v>0</v>
      </c>
      <c r="AQ1988">
        <v>34.619999999999997</v>
      </c>
      <c r="AR1988">
        <v>0</v>
      </c>
      <c r="AS1988">
        <v>0</v>
      </c>
      <c r="AT1988">
        <v>0</v>
      </c>
      <c r="AU1988">
        <v>0</v>
      </c>
      <c r="AV1988">
        <v>0</v>
      </c>
      <c r="AW1988">
        <v>0</v>
      </c>
      <c r="AX1988">
        <v>0</v>
      </c>
      <c r="AY1988">
        <v>0</v>
      </c>
      <c r="AZ1988">
        <v>0</v>
      </c>
      <c r="BA1988">
        <v>0</v>
      </c>
      <c r="BB1988">
        <v>0</v>
      </c>
      <c r="BC1988">
        <v>0</v>
      </c>
      <c r="BD1988">
        <v>0</v>
      </c>
      <c r="BE1988">
        <v>0</v>
      </c>
      <c r="BF1988">
        <v>0</v>
      </c>
      <c r="BG1988">
        <v>0</v>
      </c>
      <c r="BH1988">
        <v>1</v>
      </c>
      <c r="BI1988">
        <v>3</v>
      </c>
      <c r="BJ1988">
        <v>0.9</v>
      </c>
      <c r="BK1988">
        <v>3</v>
      </c>
      <c r="BL1988">
        <v>107.5</v>
      </c>
      <c r="BM1988">
        <v>16.13</v>
      </c>
      <c r="BN1988">
        <v>123.63</v>
      </c>
      <c r="BO1988">
        <v>123.63</v>
      </c>
      <c r="BQ1988" t="s">
        <v>262</v>
      </c>
      <c r="BR1988" t="s">
        <v>84</v>
      </c>
      <c r="BS1988" s="3">
        <v>45884</v>
      </c>
      <c r="BT1988" s="4">
        <v>0.42083333333333334</v>
      </c>
      <c r="BU1988" t="s">
        <v>263</v>
      </c>
      <c r="BV1988" t="s">
        <v>86</v>
      </c>
      <c r="BY1988">
        <v>4560</v>
      </c>
      <c r="CA1988" t="s">
        <v>264</v>
      </c>
      <c r="CC1988" t="s">
        <v>138</v>
      </c>
      <c r="CD1988">
        <v>3608</v>
      </c>
      <c r="CE1988" t="s">
        <v>147</v>
      </c>
      <c r="CF1988" s="3">
        <v>45884</v>
      </c>
      <c r="CI1988">
        <v>1</v>
      </c>
      <c r="CJ1988">
        <v>1</v>
      </c>
      <c r="CK1988">
        <v>21</v>
      </c>
      <c r="CL1988" t="s">
        <v>90</v>
      </c>
    </row>
    <row r="1989" spans="1:90" x14ac:dyDescent="0.3">
      <c r="A1989" t="s">
        <v>72</v>
      </c>
      <c r="B1989" t="s">
        <v>73</v>
      </c>
      <c r="C1989" t="s">
        <v>74</v>
      </c>
      <c r="E1989" t="str">
        <f>"080067237770"</f>
        <v>080067237770</v>
      </c>
      <c r="F1989" s="3">
        <v>45883</v>
      </c>
      <c r="G1989">
        <v>202605</v>
      </c>
      <c r="H1989" t="s">
        <v>75</v>
      </c>
      <c r="I1989" t="s">
        <v>76</v>
      </c>
      <c r="J1989" t="s">
        <v>77</v>
      </c>
      <c r="K1989" t="s">
        <v>78</v>
      </c>
      <c r="L1989" t="s">
        <v>179</v>
      </c>
      <c r="M1989" t="s">
        <v>180</v>
      </c>
      <c r="N1989" t="s">
        <v>275</v>
      </c>
      <c r="O1989" t="s">
        <v>113</v>
      </c>
      <c r="P1989" t="str">
        <f>"4170054563                    "</f>
        <v xml:space="preserve">4170054563                    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N1989">
        <v>0</v>
      </c>
      <c r="AO1989">
        <v>0</v>
      </c>
      <c r="AP1989">
        <v>0</v>
      </c>
      <c r="AQ1989">
        <v>110.4</v>
      </c>
      <c r="AR1989">
        <v>0</v>
      </c>
      <c r="AS1989">
        <v>0</v>
      </c>
      <c r="AT1989">
        <v>0</v>
      </c>
      <c r="AU1989">
        <v>0</v>
      </c>
      <c r="AV1989">
        <v>0</v>
      </c>
      <c r="AW1989">
        <v>0</v>
      </c>
      <c r="AX1989">
        <v>0</v>
      </c>
      <c r="AY1989">
        <v>0</v>
      </c>
      <c r="AZ1989">
        <v>0</v>
      </c>
      <c r="BA1989">
        <v>0</v>
      </c>
      <c r="BB1989">
        <v>0</v>
      </c>
      <c r="BC1989">
        <v>0</v>
      </c>
      <c r="BD1989">
        <v>0</v>
      </c>
      <c r="BE1989">
        <v>0</v>
      </c>
      <c r="BF1989">
        <v>0</v>
      </c>
      <c r="BG1989">
        <v>0</v>
      </c>
      <c r="BH1989">
        <v>1</v>
      </c>
      <c r="BI1989">
        <v>6</v>
      </c>
      <c r="BJ1989">
        <v>4.5</v>
      </c>
      <c r="BK1989">
        <v>6</v>
      </c>
      <c r="BL1989">
        <v>342.83</v>
      </c>
      <c r="BM1989">
        <v>51.42</v>
      </c>
      <c r="BN1989">
        <v>394.25</v>
      </c>
      <c r="BO1989">
        <v>394.25</v>
      </c>
      <c r="BQ1989" t="s">
        <v>276</v>
      </c>
      <c r="BR1989" t="s">
        <v>84</v>
      </c>
      <c r="BS1989" s="3">
        <v>45884</v>
      </c>
      <c r="BT1989" s="4">
        <v>0.37777777777777777</v>
      </c>
      <c r="BU1989" t="s">
        <v>1658</v>
      </c>
      <c r="BV1989" t="s">
        <v>86</v>
      </c>
      <c r="BY1989">
        <v>22400</v>
      </c>
      <c r="CA1989" t="s">
        <v>184</v>
      </c>
      <c r="CC1989" t="s">
        <v>180</v>
      </c>
      <c r="CD1989">
        <v>1748</v>
      </c>
      <c r="CE1989" t="s">
        <v>117</v>
      </c>
      <c r="CF1989" s="3">
        <v>45885</v>
      </c>
      <c r="CI1989">
        <v>1</v>
      </c>
      <c r="CJ1989">
        <v>1</v>
      </c>
      <c r="CK1989">
        <v>34</v>
      </c>
      <c r="CL1989" t="s">
        <v>90</v>
      </c>
    </row>
    <row r="1990" spans="1:90" x14ac:dyDescent="0.3">
      <c r="A1990" t="s">
        <v>72</v>
      </c>
      <c r="B1990" t="s">
        <v>73</v>
      </c>
      <c r="C1990" t="s">
        <v>74</v>
      </c>
      <c r="E1990" t="str">
        <f>"080067237796"</f>
        <v>080067237796</v>
      </c>
      <c r="F1990" s="3">
        <v>45883</v>
      </c>
      <c r="G1990">
        <v>202605</v>
      </c>
      <c r="H1990" t="s">
        <v>75</v>
      </c>
      <c r="I1990" t="s">
        <v>76</v>
      </c>
      <c r="J1990" t="s">
        <v>77</v>
      </c>
      <c r="K1990" t="s">
        <v>78</v>
      </c>
      <c r="L1990" t="s">
        <v>123</v>
      </c>
      <c r="M1990" t="s">
        <v>124</v>
      </c>
      <c r="N1990" t="s">
        <v>168</v>
      </c>
      <c r="O1990" t="s">
        <v>95</v>
      </c>
      <c r="P1990" t="str">
        <f>"4170054559                    "</f>
        <v xml:space="preserve">4170054559                    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0</v>
      </c>
      <c r="AI1990">
        <v>0</v>
      </c>
      <c r="AJ1990">
        <v>0</v>
      </c>
      <c r="AK1990">
        <v>0</v>
      </c>
      <c r="AL1990">
        <v>0</v>
      </c>
      <c r="AM1990">
        <v>0</v>
      </c>
      <c r="AN1990">
        <v>0</v>
      </c>
      <c r="AO1990">
        <v>0</v>
      </c>
      <c r="AP1990">
        <v>0</v>
      </c>
      <c r="AQ1990">
        <v>75.97</v>
      </c>
      <c r="AR1990">
        <v>0</v>
      </c>
      <c r="AS1990">
        <v>0</v>
      </c>
      <c r="AT1990">
        <v>0</v>
      </c>
      <c r="AU1990">
        <v>0</v>
      </c>
      <c r="AV1990">
        <v>0</v>
      </c>
      <c r="AW1990">
        <v>0</v>
      </c>
      <c r="AX1990">
        <v>0</v>
      </c>
      <c r="AY1990">
        <v>0</v>
      </c>
      <c r="AZ1990">
        <v>0</v>
      </c>
      <c r="BA1990">
        <v>0</v>
      </c>
      <c r="BB1990">
        <v>0</v>
      </c>
      <c r="BC1990">
        <v>0</v>
      </c>
      <c r="BD1990">
        <v>0</v>
      </c>
      <c r="BE1990">
        <v>0</v>
      </c>
      <c r="BF1990">
        <v>0</v>
      </c>
      <c r="BG1990">
        <v>0</v>
      </c>
      <c r="BH1990">
        <v>1</v>
      </c>
      <c r="BI1990">
        <v>32</v>
      </c>
      <c r="BJ1990">
        <v>30.9</v>
      </c>
      <c r="BK1990">
        <v>32</v>
      </c>
      <c r="BL1990">
        <v>241.78</v>
      </c>
      <c r="BM1990">
        <v>36.270000000000003</v>
      </c>
      <c r="BN1990">
        <v>278.05</v>
      </c>
      <c r="BO1990">
        <v>278.05</v>
      </c>
      <c r="BQ1990" t="s">
        <v>169</v>
      </c>
      <c r="BR1990" t="s">
        <v>84</v>
      </c>
      <c r="BS1990" s="3">
        <v>45887</v>
      </c>
      <c r="BT1990" s="4">
        <v>0.43194444444444446</v>
      </c>
      <c r="BU1990" t="s">
        <v>679</v>
      </c>
      <c r="BV1990" t="s">
        <v>86</v>
      </c>
      <c r="BY1990">
        <v>154560</v>
      </c>
      <c r="CA1990" t="s">
        <v>171</v>
      </c>
      <c r="CC1990" t="s">
        <v>124</v>
      </c>
      <c r="CD1990">
        <v>7535</v>
      </c>
      <c r="CE1990" t="s">
        <v>178</v>
      </c>
      <c r="CI1990">
        <v>3</v>
      </c>
      <c r="CJ1990">
        <v>2</v>
      </c>
      <c r="CK1990">
        <v>41</v>
      </c>
      <c r="CL1990" t="s">
        <v>90</v>
      </c>
    </row>
    <row r="1991" spans="1:90" x14ac:dyDescent="0.3">
      <c r="A1991" t="s">
        <v>72</v>
      </c>
      <c r="B1991" t="s">
        <v>73</v>
      </c>
      <c r="C1991" t="s">
        <v>74</v>
      </c>
      <c r="E1991" t="str">
        <f>"080067237970"</f>
        <v>080067237970</v>
      </c>
      <c r="F1991" s="3">
        <v>45883</v>
      </c>
      <c r="G1991">
        <v>202605</v>
      </c>
      <c r="H1991" t="s">
        <v>75</v>
      </c>
      <c r="I1991" t="s">
        <v>76</v>
      </c>
      <c r="J1991" t="s">
        <v>77</v>
      </c>
      <c r="K1991" t="s">
        <v>78</v>
      </c>
      <c r="L1991" t="s">
        <v>452</v>
      </c>
      <c r="M1991" t="s">
        <v>453</v>
      </c>
      <c r="N1991" t="s">
        <v>454</v>
      </c>
      <c r="O1991" t="s">
        <v>82</v>
      </c>
      <c r="P1991" t="str">
        <f>"4170054776                    "</f>
        <v xml:space="preserve">4170054776                    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  <c r="AL1991">
        <v>0</v>
      </c>
      <c r="AM1991">
        <v>0</v>
      </c>
      <c r="AN1991">
        <v>0</v>
      </c>
      <c r="AO1991">
        <v>0</v>
      </c>
      <c r="AP1991">
        <v>0</v>
      </c>
      <c r="AQ1991">
        <v>85.12</v>
      </c>
      <c r="AR1991">
        <v>0</v>
      </c>
      <c r="AS1991">
        <v>0</v>
      </c>
      <c r="AT1991">
        <v>0</v>
      </c>
      <c r="AU1991">
        <v>0</v>
      </c>
      <c r="AV1991">
        <v>0</v>
      </c>
      <c r="AW1991">
        <v>0</v>
      </c>
      <c r="AX1991">
        <v>0</v>
      </c>
      <c r="AY1991">
        <v>0</v>
      </c>
      <c r="AZ1991">
        <v>0</v>
      </c>
      <c r="BA1991">
        <v>0</v>
      </c>
      <c r="BB1991">
        <v>0</v>
      </c>
      <c r="BC1991">
        <v>0</v>
      </c>
      <c r="BD1991">
        <v>0</v>
      </c>
      <c r="BE1991">
        <v>0</v>
      </c>
      <c r="BF1991">
        <v>0</v>
      </c>
      <c r="BG1991">
        <v>0</v>
      </c>
      <c r="BH1991">
        <v>1</v>
      </c>
      <c r="BI1991">
        <v>2</v>
      </c>
      <c r="BJ1991">
        <v>3.7</v>
      </c>
      <c r="BK1991">
        <v>4</v>
      </c>
      <c r="BL1991">
        <v>264.32</v>
      </c>
      <c r="BM1991">
        <v>39.65</v>
      </c>
      <c r="BN1991">
        <v>303.97000000000003</v>
      </c>
      <c r="BO1991">
        <v>303.97000000000003</v>
      </c>
      <c r="BQ1991" t="s">
        <v>455</v>
      </c>
      <c r="BR1991" t="s">
        <v>84</v>
      </c>
      <c r="BS1991" s="3">
        <v>45884</v>
      </c>
      <c r="BT1991" s="4">
        <v>0.36319444444444443</v>
      </c>
      <c r="BU1991" t="s">
        <v>483</v>
      </c>
      <c r="BV1991" t="s">
        <v>86</v>
      </c>
      <c r="BY1991">
        <v>18480</v>
      </c>
      <c r="CA1991" t="s">
        <v>1093</v>
      </c>
      <c r="CC1991" t="s">
        <v>453</v>
      </c>
      <c r="CD1991">
        <v>1947</v>
      </c>
      <c r="CE1991" t="s">
        <v>117</v>
      </c>
      <c r="CF1991" s="3">
        <v>45887</v>
      </c>
      <c r="CI1991">
        <v>1</v>
      </c>
      <c r="CJ1991">
        <v>1</v>
      </c>
      <c r="CK1991">
        <v>23</v>
      </c>
      <c r="CL1991" t="s">
        <v>90</v>
      </c>
    </row>
    <row r="1992" spans="1:90" x14ac:dyDescent="0.3">
      <c r="A1992" t="s">
        <v>72</v>
      </c>
      <c r="B1992" t="s">
        <v>73</v>
      </c>
      <c r="C1992" t="s">
        <v>74</v>
      </c>
      <c r="E1992" t="str">
        <f>"080067237994"</f>
        <v>080067237994</v>
      </c>
      <c r="F1992" s="3">
        <v>45883</v>
      </c>
      <c r="G1992">
        <v>202605</v>
      </c>
      <c r="H1992" t="s">
        <v>75</v>
      </c>
      <c r="I1992" t="s">
        <v>76</v>
      </c>
      <c r="J1992" t="s">
        <v>77</v>
      </c>
      <c r="K1992" t="s">
        <v>78</v>
      </c>
      <c r="L1992" t="s">
        <v>325</v>
      </c>
      <c r="M1992" t="s">
        <v>326</v>
      </c>
      <c r="N1992" t="s">
        <v>2595</v>
      </c>
      <c r="O1992" t="s">
        <v>82</v>
      </c>
      <c r="P1992" t="str">
        <f>"4170054768                    "</f>
        <v xml:space="preserve">4170054768                    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0</v>
      </c>
      <c r="AI1992">
        <v>0</v>
      </c>
      <c r="AJ1992"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Q1992">
        <v>18.03</v>
      </c>
      <c r="AR1992">
        <v>0</v>
      </c>
      <c r="AS1992">
        <v>0</v>
      </c>
      <c r="AT1992">
        <v>0</v>
      </c>
      <c r="AU1992">
        <v>0</v>
      </c>
      <c r="AV1992">
        <v>0</v>
      </c>
      <c r="AW1992">
        <v>0</v>
      </c>
      <c r="AX1992">
        <v>0</v>
      </c>
      <c r="AY1992">
        <v>0</v>
      </c>
      <c r="AZ1992">
        <v>0</v>
      </c>
      <c r="BA1992">
        <v>0</v>
      </c>
      <c r="BB1992">
        <v>0</v>
      </c>
      <c r="BC1992">
        <v>0</v>
      </c>
      <c r="BD1992">
        <v>0</v>
      </c>
      <c r="BE1992">
        <v>0</v>
      </c>
      <c r="BF1992">
        <v>0</v>
      </c>
      <c r="BG1992">
        <v>0</v>
      </c>
      <c r="BH1992">
        <v>1</v>
      </c>
      <c r="BI1992">
        <v>1</v>
      </c>
      <c r="BJ1992">
        <v>1.1000000000000001</v>
      </c>
      <c r="BK1992">
        <v>2</v>
      </c>
      <c r="BL1992">
        <v>55.99</v>
      </c>
      <c r="BM1992">
        <v>8.4</v>
      </c>
      <c r="BN1992">
        <v>64.39</v>
      </c>
      <c r="BO1992">
        <v>64.39</v>
      </c>
      <c r="BQ1992" t="s">
        <v>2596</v>
      </c>
      <c r="BR1992" t="s">
        <v>84</v>
      </c>
      <c r="BS1992" s="3">
        <v>45884</v>
      </c>
      <c r="BT1992" s="4">
        <v>0.41597222222222224</v>
      </c>
      <c r="BU1992" t="s">
        <v>2597</v>
      </c>
      <c r="BV1992" t="s">
        <v>86</v>
      </c>
      <c r="BY1992">
        <v>5320</v>
      </c>
      <c r="CA1992" t="s">
        <v>146</v>
      </c>
      <c r="CC1992" t="s">
        <v>326</v>
      </c>
      <c r="CD1992">
        <v>2065</v>
      </c>
      <c r="CE1992" t="s">
        <v>147</v>
      </c>
      <c r="CF1992" s="3">
        <v>45884</v>
      </c>
      <c r="CI1992">
        <v>1</v>
      </c>
      <c r="CJ1992">
        <v>1</v>
      </c>
      <c r="CK1992">
        <v>22</v>
      </c>
      <c r="CL1992" t="s">
        <v>90</v>
      </c>
    </row>
    <row r="1993" spans="1:90" x14ac:dyDescent="0.3">
      <c r="A1993" t="s">
        <v>72</v>
      </c>
      <c r="B1993" t="s">
        <v>73</v>
      </c>
      <c r="C1993" t="s">
        <v>74</v>
      </c>
      <c r="E1993" t="str">
        <f>"080067238210"</f>
        <v>080067238210</v>
      </c>
      <c r="F1993" s="3">
        <v>45883</v>
      </c>
      <c r="G1993">
        <v>202605</v>
      </c>
      <c r="H1993" t="s">
        <v>75</v>
      </c>
      <c r="I1993" t="s">
        <v>76</v>
      </c>
      <c r="J1993" t="s">
        <v>77</v>
      </c>
      <c r="K1993" t="s">
        <v>78</v>
      </c>
      <c r="L1993" t="s">
        <v>137</v>
      </c>
      <c r="M1993" t="s">
        <v>138</v>
      </c>
      <c r="N1993" t="s">
        <v>370</v>
      </c>
      <c r="O1993" t="s">
        <v>82</v>
      </c>
      <c r="P1993" t="str">
        <f>"4170054635                    "</f>
        <v xml:space="preserve">4170054635                    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0</v>
      </c>
      <c r="AL1993">
        <v>0</v>
      </c>
      <c r="AM1993">
        <v>0</v>
      </c>
      <c r="AN1993">
        <v>0</v>
      </c>
      <c r="AO1993">
        <v>0</v>
      </c>
      <c r="AP1993">
        <v>0</v>
      </c>
      <c r="AQ1993">
        <v>23.09</v>
      </c>
      <c r="AR1993">
        <v>0</v>
      </c>
      <c r="AS1993">
        <v>0</v>
      </c>
      <c r="AT1993">
        <v>0</v>
      </c>
      <c r="AU1993">
        <v>0</v>
      </c>
      <c r="AV1993">
        <v>0</v>
      </c>
      <c r="AW1993">
        <v>0</v>
      </c>
      <c r="AX1993">
        <v>0</v>
      </c>
      <c r="AY1993">
        <v>0</v>
      </c>
      <c r="AZ1993">
        <v>0</v>
      </c>
      <c r="BA1993">
        <v>0</v>
      </c>
      <c r="BB1993">
        <v>0</v>
      </c>
      <c r="BC1993">
        <v>0</v>
      </c>
      <c r="BD1993">
        <v>0</v>
      </c>
      <c r="BE1993">
        <v>0</v>
      </c>
      <c r="BF1993">
        <v>0</v>
      </c>
      <c r="BG1993">
        <v>0</v>
      </c>
      <c r="BH1993">
        <v>1</v>
      </c>
      <c r="BI1993">
        <v>1</v>
      </c>
      <c r="BJ1993">
        <v>0.2</v>
      </c>
      <c r="BK1993">
        <v>1</v>
      </c>
      <c r="BL1993">
        <v>71.69</v>
      </c>
      <c r="BM1993">
        <v>10.75</v>
      </c>
      <c r="BN1993">
        <v>82.44</v>
      </c>
      <c r="BO1993">
        <v>82.44</v>
      </c>
      <c r="BQ1993" t="s">
        <v>371</v>
      </c>
      <c r="BR1993" t="s">
        <v>84</v>
      </c>
      <c r="BS1993" s="3">
        <v>45884</v>
      </c>
      <c r="BT1993" s="4">
        <v>0.41111111111111109</v>
      </c>
      <c r="BU1993" t="s">
        <v>2598</v>
      </c>
      <c r="BV1993" t="s">
        <v>86</v>
      </c>
      <c r="BY1993">
        <v>1200</v>
      </c>
      <c r="CA1993" t="s">
        <v>264</v>
      </c>
      <c r="CC1993" t="s">
        <v>138</v>
      </c>
      <c r="CD1993">
        <v>3608</v>
      </c>
      <c r="CE1993" t="s">
        <v>109</v>
      </c>
      <c r="CF1993" s="3">
        <v>45884</v>
      </c>
      <c r="CI1993">
        <v>1</v>
      </c>
      <c r="CJ1993">
        <v>1</v>
      </c>
      <c r="CK1993">
        <v>21</v>
      </c>
      <c r="CL1993" t="s">
        <v>90</v>
      </c>
    </row>
    <row r="1994" spans="1:90" x14ac:dyDescent="0.3">
      <c r="A1994" t="s">
        <v>72</v>
      </c>
      <c r="B1994" t="s">
        <v>73</v>
      </c>
      <c r="C1994" t="s">
        <v>74</v>
      </c>
      <c r="E1994" t="str">
        <f>"080067238248"</f>
        <v>080067238248</v>
      </c>
      <c r="F1994" s="3">
        <v>45883</v>
      </c>
      <c r="G1994">
        <v>202605</v>
      </c>
      <c r="H1994" t="s">
        <v>75</v>
      </c>
      <c r="I1994" t="s">
        <v>76</v>
      </c>
      <c r="J1994" t="s">
        <v>77</v>
      </c>
      <c r="K1994" t="s">
        <v>78</v>
      </c>
      <c r="L1994" t="s">
        <v>179</v>
      </c>
      <c r="M1994" t="s">
        <v>180</v>
      </c>
      <c r="N1994" t="s">
        <v>275</v>
      </c>
      <c r="O1994" t="s">
        <v>82</v>
      </c>
      <c r="P1994" t="str">
        <f>"4170054498                    "</f>
        <v xml:space="preserve">4170054498                    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0</v>
      </c>
      <c r="AI1994">
        <v>0</v>
      </c>
      <c r="AJ1994"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>
        <v>32.47</v>
      </c>
      <c r="AR1994">
        <v>0</v>
      </c>
      <c r="AS1994">
        <v>0</v>
      </c>
      <c r="AT1994">
        <v>0</v>
      </c>
      <c r="AU1994">
        <v>0</v>
      </c>
      <c r="AV1994">
        <v>0</v>
      </c>
      <c r="AW1994">
        <v>0</v>
      </c>
      <c r="AX1994">
        <v>0</v>
      </c>
      <c r="AY1994">
        <v>0</v>
      </c>
      <c r="AZ1994">
        <v>0</v>
      </c>
      <c r="BA1994">
        <v>0</v>
      </c>
      <c r="BB1994">
        <v>0</v>
      </c>
      <c r="BC1994">
        <v>0</v>
      </c>
      <c r="BD1994">
        <v>0</v>
      </c>
      <c r="BE1994">
        <v>0</v>
      </c>
      <c r="BF1994">
        <v>0</v>
      </c>
      <c r="BG1994">
        <v>0</v>
      </c>
      <c r="BH1994">
        <v>1</v>
      </c>
      <c r="BI1994">
        <v>1</v>
      </c>
      <c r="BJ1994">
        <v>0.2</v>
      </c>
      <c r="BK1994">
        <v>1</v>
      </c>
      <c r="BL1994">
        <v>100.82</v>
      </c>
      <c r="BM1994">
        <v>15.12</v>
      </c>
      <c r="BN1994">
        <v>115.94</v>
      </c>
      <c r="BO1994">
        <v>115.94</v>
      </c>
      <c r="BQ1994" t="s">
        <v>276</v>
      </c>
      <c r="BR1994" t="s">
        <v>84</v>
      </c>
      <c r="BS1994" s="3">
        <v>45884</v>
      </c>
      <c r="BT1994" s="4">
        <v>0.37777777777777777</v>
      </c>
      <c r="BU1994" t="s">
        <v>1658</v>
      </c>
      <c r="BV1994" t="s">
        <v>86</v>
      </c>
      <c r="BY1994">
        <v>1200</v>
      </c>
      <c r="CA1994" t="s">
        <v>184</v>
      </c>
      <c r="CC1994" t="s">
        <v>180</v>
      </c>
      <c r="CD1994">
        <v>1748</v>
      </c>
      <c r="CE1994" t="s">
        <v>109</v>
      </c>
      <c r="CF1994" s="3">
        <v>45885</v>
      </c>
      <c r="CI1994">
        <v>1</v>
      </c>
      <c r="CJ1994">
        <v>1</v>
      </c>
      <c r="CK1994">
        <v>24</v>
      </c>
      <c r="CL1994" t="s">
        <v>90</v>
      </c>
    </row>
    <row r="1995" spans="1:90" x14ac:dyDescent="0.3">
      <c r="A1995" t="s">
        <v>72</v>
      </c>
      <c r="B1995" t="s">
        <v>73</v>
      </c>
      <c r="C1995" t="s">
        <v>74</v>
      </c>
      <c r="E1995" t="str">
        <f>"080067238308"</f>
        <v>080067238308</v>
      </c>
      <c r="F1995" s="3">
        <v>45883</v>
      </c>
      <c r="G1995">
        <v>202605</v>
      </c>
      <c r="H1995" t="s">
        <v>75</v>
      </c>
      <c r="I1995" t="s">
        <v>76</v>
      </c>
      <c r="J1995" t="s">
        <v>77</v>
      </c>
      <c r="K1995" t="s">
        <v>78</v>
      </c>
      <c r="L1995" t="s">
        <v>75</v>
      </c>
      <c r="M1995" t="s">
        <v>76</v>
      </c>
      <c r="N1995" t="s">
        <v>2599</v>
      </c>
      <c r="O1995" t="s">
        <v>95</v>
      </c>
      <c r="P1995" t="str">
        <f>"4170054698                    "</f>
        <v xml:space="preserve">4170054698                    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0</v>
      </c>
      <c r="AI1995">
        <v>0</v>
      </c>
      <c r="AJ1995"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Q1995">
        <v>63.65</v>
      </c>
      <c r="AR1995">
        <v>0</v>
      </c>
      <c r="AS1995">
        <v>0</v>
      </c>
      <c r="AT1995">
        <v>0</v>
      </c>
      <c r="AU1995">
        <v>0</v>
      </c>
      <c r="AV1995">
        <v>0</v>
      </c>
      <c r="AW1995">
        <v>0</v>
      </c>
      <c r="AX1995">
        <v>0</v>
      </c>
      <c r="AY1995">
        <v>0</v>
      </c>
      <c r="AZ1995">
        <v>0</v>
      </c>
      <c r="BA1995">
        <v>0</v>
      </c>
      <c r="BB1995">
        <v>0</v>
      </c>
      <c r="BC1995">
        <v>0</v>
      </c>
      <c r="BD1995">
        <v>0</v>
      </c>
      <c r="BE1995">
        <v>0</v>
      </c>
      <c r="BF1995">
        <v>0</v>
      </c>
      <c r="BG1995">
        <v>0</v>
      </c>
      <c r="BH1995">
        <v>2</v>
      </c>
      <c r="BI1995">
        <v>44</v>
      </c>
      <c r="BJ1995">
        <v>17.3</v>
      </c>
      <c r="BK1995">
        <v>44</v>
      </c>
      <c r="BL1995">
        <v>203.52</v>
      </c>
      <c r="BM1995">
        <v>30.53</v>
      </c>
      <c r="BN1995">
        <v>234.05</v>
      </c>
      <c r="BO1995">
        <v>234.05</v>
      </c>
      <c r="BQ1995" t="s">
        <v>2600</v>
      </c>
      <c r="BR1995" t="s">
        <v>84</v>
      </c>
      <c r="BS1995" s="3">
        <v>45884</v>
      </c>
      <c r="BT1995" s="4">
        <v>0.39583333333333331</v>
      </c>
      <c r="BU1995" t="s">
        <v>1747</v>
      </c>
      <c r="BV1995" t="s">
        <v>86</v>
      </c>
      <c r="BY1995">
        <v>43320</v>
      </c>
      <c r="CA1995" t="s">
        <v>739</v>
      </c>
      <c r="CC1995" t="s">
        <v>76</v>
      </c>
      <c r="CD1995">
        <v>1619</v>
      </c>
      <c r="CE1995" t="s">
        <v>147</v>
      </c>
      <c r="CF1995" s="3">
        <v>45884</v>
      </c>
      <c r="CI1995">
        <v>1</v>
      </c>
      <c r="CJ1995">
        <v>1</v>
      </c>
      <c r="CK1995">
        <v>42</v>
      </c>
      <c r="CL1995" t="s">
        <v>90</v>
      </c>
    </row>
    <row r="1996" spans="1:90" x14ac:dyDescent="0.3">
      <c r="A1996" t="s">
        <v>72</v>
      </c>
      <c r="B1996" t="s">
        <v>73</v>
      </c>
      <c r="C1996" t="s">
        <v>74</v>
      </c>
      <c r="E1996" t="str">
        <f>"080067238342"</f>
        <v>080067238342</v>
      </c>
      <c r="F1996" s="3">
        <v>45883</v>
      </c>
      <c r="G1996">
        <v>202605</v>
      </c>
      <c r="H1996" t="s">
        <v>75</v>
      </c>
      <c r="I1996" t="s">
        <v>76</v>
      </c>
      <c r="J1996" t="s">
        <v>77</v>
      </c>
      <c r="K1996" t="s">
        <v>78</v>
      </c>
      <c r="L1996" t="s">
        <v>129</v>
      </c>
      <c r="M1996" t="s">
        <v>130</v>
      </c>
      <c r="N1996" t="s">
        <v>131</v>
      </c>
      <c r="O1996" t="s">
        <v>82</v>
      </c>
      <c r="P1996" t="str">
        <f>"4170054759                    "</f>
        <v xml:space="preserve">4170054759                    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0</v>
      </c>
      <c r="AI1996">
        <v>0</v>
      </c>
      <c r="AJ1996"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Q1996">
        <v>23.09</v>
      </c>
      <c r="AR1996">
        <v>0</v>
      </c>
      <c r="AS1996">
        <v>0</v>
      </c>
      <c r="AT1996">
        <v>0</v>
      </c>
      <c r="AU1996">
        <v>0</v>
      </c>
      <c r="AV1996">
        <v>0</v>
      </c>
      <c r="AW1996">
        <v>0</v>
      </c>
      <c r="AX1996">
        <v>0</v>
      </c>
      <c r="AY1996">
        <v>0</v>
      </c>
      <c r="AZ1996">
        <v>0</v>
      </c>
      <c r="BA1996">
        <v>0</v>
      </c>
      <c r="BB1996">
        <v>0</v>
      </c>
      <c r="BC1996">
        <v>0</v>
      </c>
      <c r="BD1996">
        <v>0</v>
      </c>
      <c r="BE1996">
        <v>0</v>
      </c>
      <c r="BF1996">
        <v>0</v>
      </c>
      <c r="BG1996">
        <v>0</v>
      </c>
      <c r="BH1996">
        <v>1</v>
      </c>
      <c r="BI1996">
        <v>1</v>
      </c>
      <c r="BJ1996">
        <v>1.1000000000000001</v>
      </c>
      <c r="BK1996">
        <v>1.5</v>
      </c>
      <c r="BL1996">
        <v>71.69</v>
      </c>
      <c r="BM1996">
        <v>10.75</v>
      </c>
      <c r="BN1996">
        <v>82.44</v>
      </c>
      <c r="BO1996">
        <v>82.44</v>
      </c>
      <c r="BQ1996" t="s">
        <v>132</v>
      </c>
      <c r="BR1996" t="s">
        <v>84</v>
      </c>
      <c r="BS1996" s="3">
        <v>45884</v>
      </c>
      <c r="BT1996" s="4">
        <v>0.4236111111111111</v>
      </c>
      <c r="BU1996" t="s">
        <v>133</v>
      </c>
      <c r="BV1996" t="s">
        <v>86</v>
      </c>
      <c r="BY1996">
        <v>5320</v>
      </c>
      <c r="CA1996" t="s">
        <v>945</v>
      </c>
      <c r="CC1996" t="s">
        <v>130</v>
      </c>
      <c r="CD1996">
        <v>4133</v>
      </c>
      <c r="CE1996" t="s">
        <v>147</v>
      </c>
      <c r="CF1996" s="3">
        <v>45885</v>
      </c>
      <c r="CI1996">
        <v>1</v>
      </c>
      <c r="CJ1996">
        <v>1</v>
      </c>
      <c r="CK1996">
        <v>21</v>
      </c>
      <c r="CL1996" t="s">
        <v>90</v>
      </c>
    </row>
    <row r="1997" spans="1:90" x14ac:dyDescent="0.3">
      <c r="A1997" t="s">
        <v>72</v>
      </c>
      <c r="B1997" t="s">
        <v>73</v>
      </c>
      <c r="C1997" t="s">
        <v>74</v>
      </c>
      <c r="E1997" t="str">
        <f>"080067238398"</f>
        <v>080067238398</v>
      </c>
      <c r="F1997" s="3">
        <v>45883</v>
      </c>
      <c r="G1997">
        <v>202605</v>
      </c>
      <c r="H1997" t="s">
        <v>75</v>
      </c>
      <c r="I1997" t="s">
        <v>76</v>
      </c>
      <c r="J1997" t="s">
        <v>77</v>
      </c>
      <c r="K1997" t="s">
        <v>78</v>
      </c>
      <c r="L1997" t="s">
        <v>79</v>
      </c>
      <c r="M1997" t="s">
        <v>80</v>
      </c>
      <c r="N1997" t="s">
        <v>1787</v>
      </c>
      <c r="O1997" t="s">
        <v>113</v>
      </c>
      <c r="P1997" t="str">
        <f>"4170054523                    "</f>
        <v xml:space="preserve">4170054523                    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0</v>
      </c>
      <c r="AL1997">
        <v>0</v>
      </c>
      <c r="AM1997">
        <v>0</v>
      </c>
      <c r="AN1997">
        <v>0</v>
      </c>
      <c r="AO1997">
        <v>0</v>
      </c>
      <c r="AP1997">
        <v>0</v>
      </c>
      <c r="AQ1997">
        <v>24.11</v>
      </c>
      <c r="AR1997">
        <v>0</v>
      </c>
      <c r="AS1997">
        <v>0</v>
      </c>
      <c r="AT1997">
        <v>0</v>
      </c>
      <c r="AU1997">
        <v>0</v>
      </c>
      <c r="AV1997">
        <v>0</v>
      </c>
      <c r="AW1997">
        <v>0</v>
      </c>
      <c r="AX1997">
        <v>0</v>
      </c>
      <c r="AY1997">
        <v>0</v>
      </c>
      <c r="AZ1997">
        <v>0</v>
      </c>
      <c r="BA1997">
        <v>0</v>
      </c>
      <c r="BB1997">
        <v>0</v>
      </c>
      <c r="BC1997">
        <v>0</v>
      </c>
      <c r="BD1997">
        <v>0</v>
      </c>
      <c r="BE1997">
        <v>0</v>
      </c>
      <c r="BF1997">
        <v>0</v>
      </c>
      <c r="BG1997">
        <v>0</v>
      </c>
      <c r="BH1997">
        <v>1</v>
      </c>
      <c r="BI1997">
        <v>11</v>
      </c>
      <c r="BJ1997">
        <v>4.0999999999999996</v>
      </c>
      <c r="BK1997">
        <v>11</v>
      </c>
      <c r="BL1997">
        <v>74.86</v>
      </c>
      <c r="BM1997">
        <v>11.23</v>
      </c>
      <c r="BN1997">
        <v>86.09</v>
      </c>
      <c r="BO1997">
        <v>86.09</v>
      </c>
      <c r="BQ1997" t="s">
        <v>1788</v>
      </c>
      <c r="BR1997" t="s">
        <v>84</v>
      </c>
      <c r="BS1997" s="3">
        <v>45884</v>
      </c>
      <c r="BT1997" s="4">
        <v>0.47847222222222224</v>
      </c>
      <c r="BU1997" t="s">
        <v>121</v>
      </c>
      <c r="BV1997" t="s">
        <v>86</v>
      </c>
      <c r="BY1997">
        <v>20358</v>
      </c>
      <c r="CA1997" t="s">
        <v>1026</v>
      </c>
      <c r="CC1997" t="s">
        <v>80</v>
      </c>
      <c r="CD1997">
        <v>1401</v>
      </c>
      <c r="CE1997" t="s">
        <v>147</v>
      </c>
      <c r="CF1997" s="3">
        <v>45884</v>
      </c>
      <c r="CI1997">
        <v>1</v>
      </c>
      <c r="CJ1997">
        <v>1</v>
      </c>
      <c r="CK1997">
        <v>32</v>
      </c>
      <c r="CL1997" t="s">
        <v>90</v>
      </c>
    </row>
    <row r="1998" spans="1:90" x14ac:dyDescent="0.3">
      <c r="A1998" t="s">
        <v>72</v>
      </c>
      <c r="B1998" t="s">
        <v>73</v>
      </c>
      <c r="C1998" t="s">
        <v>74</v>
      </c>
      <c r="E1998" t="str">
        <f>"080067238422"</f>
        <v>080067238422</v>
      </c>
      <c r="F1998" s="3">
        <v>45883</v>
      </c>
      <c r="G1998">
        <v>202605</v>
      </c>
      <c r="H1998" t="s">
        <v>75</v>
      </c>
      <c r="I1998" t="s">
        <v>76</v>
      </c>
      <c r="J1998" t="s">
        <v>77</v>
      </c>
      <c r="K1998" t="s">
        <v>78</v>
      </c>
      <c r="L1998" t="s">
        <v>137</v>
      </c>
      <c r="M1998" t="s">
        <v>138</v>
      </c>
      <c r="N1998" t="s">
        <v>2601</v>
      </c>
      <c r="O1998" t="s">
        <v>82</v>
      </c>
      <c r="P1998" t="str">
        <f>"4170054410                    "</f>
        <v xml:space="preserve">4170054410                    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0</v>
      </c>
      <c r="AI1998">
        <v>0</v>
      </c>
      <c r="AJ1998">
        <v>0</v>
      </c>
      <c r="AK1998">
        <v>0</v>
      </c>
      <c r="AL1998">
        <v>0</v>
      </c>
      <c r="AM1998">
        <v>0</v>
      </c>
      <c r="AN1998">
        <v>0</v>
      </c>
      <c r="AO1998">
        <v>0</v>
      </c>
      <c r="AP1998">
        <v>0</v>
      </c>
      <c r="AQ1998">
        <v>23.09</v>
      </c>
      <c r="AR1998">
        <v>0</v>
      </c>
      <c r="AS1998">
        <v>0</v>
      </c>
      <c r="AT1998">
        <v>0</v>
      </c>
      <c r="AU1998">
        <v>0</v>
      </c>
      <c r="AV1998">
        <v>0</v>
      </c>
      <c r="AW1998">
        <v>0</v>
      </c>
      <c r="AX1998">
        <v>0</v>
      </c>
      <c r="AY1998">
        <v>0</v>
      </c>
      <c r="AZ1998">
        <v>0</v>
      </c>
      <c r="BA1998">
        <v>0</v>
      </c>
      <c r="BB1998">
        <v>0</v>
      </c>
      <c r="BC1998">
        <v>0</v>
      </c>
      <c r="BD1998">
        <v>0</v>
      </c>
      <c r="BE1998">
        <v>0</v>
      </c>
      <c r="BF1998">
        <v>0</v>
      </c>
      <c r="BG1998">
        <v>0</v>
      </c>
      <c r="BH1998">
        <v>1</v>
      </c>
      <c r="BI1998">
        <v>1</v>
      </c>
      <c r="BJ1998">
        <v>0.6</v>
      </c>
      <c r="BK1998">
        <v>1</v>
      </c>
      <c r="BL1998">
        <v>71.69</v>
      </c>
      <c r="BM1998">
        <v>10.75</v>
      </c>
      <c r="BN1998">
        <v>82.44</v>
      </c>
      <c r="BO1998">
        <v>82.44</v>
      </c>
      <c r="BQ1998" t="s">
        <v>2602</v>
      </c>
      <c r="BR1998" t="s">
        <v>84</v>
      </c>
      <c r="BS1998" s="3">
        <v>45884</v>
      </c>
      <c r="BT1998" s="4">
        <v>0.39930555555555558</v>
      </c>
      <c r="BU1998" t="s">
        <v>1797</v>
      </c>
      <c r="BV1998" t="s">
        <v>86</v>
      </c>
      <c r="BY1998">
        <v>3192</v>
      </c>
      <c r="CA1998" t="s">
        <v>264</v>
      </c>
      <c r="CC1998" t="s">
        <v>138</v>
      </c>
      <c r="CD1998">
        <v>3610</v>
      </c>
      <c r="CE1998" t="s">
        <v>147</v>
      </c>
      <c r="CF1998" s="3">
        <v>45884</v>
      </c>
      <c r="CI1998">
        <v>1</v>
      </c>
      <c r="CJ1998">
        <v>1</v>
      </c>
      <c r="CK1998">
        <v>21</v>
      </c>
      <c r="CL1998" t="s">
        <v>90</v>
      </c>
    </row>
    <row r="1999" spans="1:90" x14ac:dyDescent="0.3">
      <c r="A1999" t="s">
        <v>72</v>
      </c>
      <c r="B1999" t="s">
        <v>73</v>
      </c>
      <c r="C1999" t="s">
        <v>74</v>
      </c>
      <c r="E1999" t="str">
        <f>"080067238437"</f>
        <v>080067238437</v>
      </c>
      <c r="F1999" s="3">
        <v>45883</v>
      </c>
      <c r="G1999">
        <v>202605</v>
      </c>
      <c r="H1999" t="s">
        <v>75</v>
      </c>
      <c r="I1999" t="s">
        <v>76</v>
      </c>
      <c r="J1999" t="s">
        <v>77</v>
      </c>
      <c r="K1999" t="s">
        <v>78</v>
      </c>
      <c r="L1999" t="s">
        <v>217</v>
      </c>
      <c r="M1999" t="s">
        <v>218</v>
      </c>
      <c r="N1999" t="s">
        <v>942</v>
      </c>
      <c r="O1999" t="s">
        <v>82</v>
      </c>
      <c r="P1999" t="str">
        <f>"4170054763                    "</f>
        <v xml:space="preserve">4170054763                    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0</v>
      </c>
      <c r="AI1999">
        <v>0</v>
      </c>
      <c r="AJ1999">
        <v>0</v>
      </c>
      <c r="AK1999">
        <v>0</v>
      </c>
      <c r="AL1999">
        <v>0</v>
      </c>
      <c r="AM1999">
        <v>0</v>
      </c>
      <c r="AN1999">
        <v>0</v>
      </c>
      <c r="AO1999">
        <v>0</v>
      </c>
      <c r="AP1999">
        <v>0</v>
      </c>
      <c r="AQ1999">
        <v>57.68</v>
      </c>
      <c r="AR1999">
        <v>0</v>
      </c>
      <c r="AS1999">
        <v>0</v>
      </c>
      <c r="AT1999">
        <v>0</v>
      </c>
      <c r="AU1999">
        <v>0</v>
      </c>
      <c r="AV1999">
        <v>0</v>
      </c>
      <c r="AW1999">
        <v>0</v>
      </c>
      <c r="AX1999">
        <v>0</v>
      </c>
      <c r="AY1999">
        <v>0</v>
      </c>
      <c r="AZ1999">
        <v>0</v>
      </c>
      <c r="BA1999">
        <v>0</v>
      </c>
      <c r="BB1999">
        <v>0</v>
      </c>
      <c r="BC1999">
        <v>0</v>
      </c>
      <c r="BD1999">
        <v>0</v>
      </c>
      <c r="BE1999">
        <v>0</v>
      </c>
      <c r="BF1999">
        <v>0</v>
      </c>
      <c r="BG1999">
        <v>0</v>
      </c>
      <c r="BH1999">
        <v>1</v>
      </c>
      <c r="BI1999">
        <v>4</v>
      </c>
      <c r="BJ1999">
        <v>4.8</v>
      </c>
      <c r="BK1999">
        <v>5</v>
      </c>
      <c r="BL1999">
        <v>179.12</v>
      </c>
      <c r="BM1999">
        <v>26.87</v>
      </c>
      <c r="BN1999">
        <v>205.99</v>
      </c>
      <c r="BO1999">
        <v>205.99</v>
      </c>
      <c r="BQ1999" t="s">
        <v>943</v>
      </c>
      <c r="BR1999" t="s">
        <v>84</v>
      </c>
      <c r="BS1999" s="3">
        <v>45888</v>
      </c>
      <c r="BT1999" s="4">
        <v>0.3659722222222222</v>
      </c>
      <c r="BU1999" t="s">
        <v>2603</v>
      </c>
      <c r="BY1999">
        <v>23751</v>
      </c>
      <c r="CC1999" t="s">
        <v>218</v>
      </c>
      <c r="CD1999">
        <v>4080</v>
      </c>
      <c r="CE1999" t="s">
        <v>147</v>
      </c>
      <c r="CI1999">
        <v>1</v>
      </c>
      <c r="CJ1999">
        <v>3</v>
      </c>
      <c r="CK1999">
        <v>21</v>
      </c>
      <c r="CL1999" t="s">
        <v>90</v>
      </c>
    </row>
    <row r="2000" spans="1:90" x14ac:dyDescent="0.3">
      <c r="A2000" t="s">
        <v>72</v>
      </c>
      <c r="B2000" t="s">
        <v>73</v>
      </c>
      <c r="C2000" t="s">
        <v>74</v>
      </c>
      <c r="E2000" t="str">
        <f>"080067238480"</f>
        <v>080067238480</v>
      </c>
      <c r="F2000" s="3">
        <v>45883</v>
      </c>
      <c r="G2000">
        <v>202605</v>
      </c>
      <c r="H2000" t="s">
        <v>75</v>
      </c>
      <c r="I2000" t="s">
        <v>76</v>
      </c>
      <c r="J2000" t="s">
        <v>77</v>
      </c>
      <c r="K2000" t="s">
        <v>78</v>
      </c>
      <c r="L2000" t="s">
        <v>123</v>
      </c>
      <c r="M2000" t="s">
        <v>124</v>
      </c>
      <c r="N2000" t="s">
        <v>1751</v>
      </c>
      <c r="O2000" t="s">
        <v>82</v>
      </c>
      <c r="P2000" t="str">
        <f>"4170054700                    "</f>
        <v xml:space="preserve">4170054700                    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0</v>
      </c>
      <c r="AL2000">
        <v>0</v>
      </c>
      <c r="AM2000">
        <v>0</v>
      </c>
      <c r="AN2000">
        <v>0</v>
      </c>
      <c r="AO2000">
        <v>0</v>
      </c>
      <c r="AP2000">
        <v>0</v>
      </c>
      <c r="AQ2000">
        <v>23.09</v>
      </c>
      <c r="AR2000">
        <v>0</v>
      </c>
      <c r="AS2000">
        <v>0</v>
      </c>
      <c r="AT2000">
        <v>0</v>
      </c>
      <c r="AU2000">
        <v>0</v>
      </c>
      <c r="AV2000">
        <v>0</v>
      </c>
      <c r="AW2000">
        <v>0</v>
      </c>
      <c r="AX2000">
        <v>0</v>
      </c>
      <c r="AY2000">
        <v>0</v>
      </c>
      <c r="AZ2000">
        <v>0</v>
      </c>
      <c r="BA2000">
        <v>0</v>
      </c>
      <c r="BB2000">
        <v>0</v>
      </c>
      <c r="BC2000">
        <v>0</v>
      </c>
      <c r="BD2000">
        <v>0</v>
      </c>
      <c r="BE2000">
        <v>0</v>
      </c>
      <c r="BF2000">
        <v>0</v>
      </c>
      <c r="BG2000">
        <v>0</v>
      </c>
      <c r="BH2000">
        <v>1</v>
      </c>
      <c r="BI2000">
        <v>1</v>
      </c>
      <c r="BJ2000">
        <v>0.2</v>
      </c>
      <c r="BK2000">
        <v>1</v>
      </c>
      <c r="BL2000">
        <v>71.69</v>
      </c>
      <c r="BM2000">
        <v>10.75</v>
      </c>
      <c r="BN2000">
        <v>82.44</v>
      </c>
      <c r="BO2000">
        <v>82.44</v>
      </c>
      <c r="BQ2000" t="s">
        <v>1752</v>
      </c>
      <c r="BR2000" t="s">
        <v>84</v>
      </c>
      <c r="BS2000" s="3">
        <v>45884</v>
      </c>
      <c r="BT2000" s="4">
        <v>0.42499999999999999</v>
      </c>
      <c r="BU2000" t="s">
        <v>2375</v>
      </c>
      <c r="BV2000" t="s">
        <v>86</v>
      </c>
      <c r="BY2000">
        <v>1170</v>
      </c>
      <c r="CA2000" t="s">
        <v>1753</v>
      </c>
      <c r="CC2000" t="s">
        <v>124</v>
      </c>
      <c r="CD2000">
        <v>8000</v>
      </c>
      <c r="CE2000" t="s">
        <v>109</v>
      </c>
      <c r="CF2000" s="3">
        <v>45887</v>
      </c>
      <c r="CI2000">
        <v>1</v>
      </c>
      <c r="CJ2000">
        <v>1</v>
      </c>
      <c r="CK2000">
        <v>21</v>
      </c>
      <c r="CL2000" t="s">
        <v>90</v>
      </c>
    </row>
    <row r="2001" spans="1:90" x14ac:dyDescent="0.3">
      <c r="A2001" t="s">
        <v>72</v>
      </c>
      <c r="B2001" t="s">
        <v>73</v>
      </c>
      <c r="C2001" t="s">
        <v>74</v>
      </c>
      <c r="E2001" t="str">
        <f>"080067238505"</f>
        <v>080067238505</v>
      </c>
      <c r="F2001" s="3">
        <v>45883</v>
      </c>
      <c r="G2001">
        <v>202605</v>
      </c>
      <c r="H2001" t="s">
        <v>75</v>
      </c>
      <c r="I2001" t="s">
        <v>76</v>
      </c>
      <c r="J2001" t="s">
        <v>77</v>
      </c>
      <c r="K2001" t="s">
        <v>78</v>
      </c>
      <c r="L2001" t="s">
        <v>75</v>
      </c>
      <c r="M2001" t="s">
        <v>76</v>
      </c>
      <c r="N2001" t="s">
        <v>152</v>
      </c>
      <c r="O2001" t="s">
        <v>82</v>
      </c>
      <c r="P2001" t="str">
        <f>"4170054777                    "</f>
        <v xml:space="preserve">4170054777                    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0</v>
      </c>
      <c r="AI2001">
        <v>0</v>
      </c>
      <c r="AJ2001">
        <v>0</v>
      </c>
      <c r="AK2001">
        <v>0</v>
      </c>
      <c r="AL2001">
        <v>0</v>
      </c>
      <c r="AM2001">
        <v>0</v>
      </c>
      <c r="AN2001">
        <v>0</v>
      </c>
      <c r="AO2001">
        <v>0</v>
      </c>
      <c r="AP2001">
        <v>0</v>
      </c>
      <c r="AQ2001">
        <v>18.03</v>
      </c>
      <c r="AR2001">
        <v>0</v>
      </c>
      <c r="AS2001">
        <v>0</v>
      </c>
      <c r="AT2001">
        <v>0</v>
      </c>
      <c r="AU2001">
        <v>0</v>
      </c>
      <c r="AV2001">
        <v>0</v>
      </c>
      <c r="AW2001">
        <v>0</v>
      </c>
      <c r="AX2001">
        <v>0</v>
      </c>
      <c r="AY2001">
        <v>0</v>
      </c>
      <c r="AZ2001">
        <v>0</v>
      </c>
      <c r="BA2001">
        <v>0</v>
      </c>
      <c r="BB2001">
        <v>0</v>
      </c>
      <c r="BC2001">
        <v>0</v>
      </c>
      <c r="BD2001">
        <v>0</v>
      </c>
      <c r="BE2001">
        <v>0</v>
      </c>
      <c r="BF2001">
        <v>0</v>
      </c>
      <c r="BG2001">
        <v>0</v>
      </c>
      <c r="BH2001">
        <v>1</v>
      </c>
      <c r="BI2001">
        <v>1</v>
      </c>
      <c r="BJ2001">
        <v>0.2</v>
      </c>
      <c r="BK2001">
        <v>1</v>
      </c>
      <c r="BL2001">
        <v>55.99</v>
      </c>
      <c r="BM2001">
        <v>8.4</v>
      </c>
      <c r="BN2001">
        <v>64.39</v>
      </c>
      <c r="BO2001">
        <v>64.39</v>
      </c>
      <c r="BQ2001" t="s">
        <v>153</v>
      </c>
      <c r="BR2001" t="s">
        <v>84</v>
      </c>
      <c r="BS2001" s="3">
        <v>45884</v>
      </c>
      <c r="BT2001" s="4">
        <v>0.31319444444444444</v>
      </c>
      <c r="BU2001" t="s">
        <v>154</v>
      </c>
      <c r="BV2001" t="s">
        <v>86</v>
      </c>
      <c r="BY2001">
        <v>1200</v>
      </c>
      <c r="CA2001" t="s">
        <v>155</v>
      </c>
      <c r="CC2001" t="s">
        <v>76</v>
      </c>
      <c r="CD2001">
        <v>1600</v>
      </c>
      <c r="CE2001" t="s">
        <v>109</v>
      </c>
      <c r="CF2001" s="3">
        <v>45884</v>
      </c>
      <c r="CI2001">
        <v>1</v>
      </c>
      <c r="CJ2001">
        <v>1</v>
      </c>
      <c r="CK2001">
        <v>22</v>
      </c>
      <c r="CL2001" t="s">
        <v>90</v>
      </c>
    </row>
    <row r="2002" spans="1:90" x14ac:dyDescent="0.3">
      <c r="A2002" t="s">
        <v>72</v>
      </c>
      <c r="B2002" t="s">
        <v>73</v>
      </c>
      <c r="C2002" t="s">
        <v>74</v>
      </c>
      <c r="E2002" t="str">
        <f>"080067238532"</f>
        <v>080067238532</v>
      </c>
      <c r="F2002" s="3">
        <v>45883</v>
      </c>
      <c r="G2002">
        <v>202605</v>
      </c>
      <c r="H2002" t="s">
        <v>75</v>
      </c>
      <c r="I2002" t="s">
        <v>76</v>
      </c>
      <c r="J2002" t="s">
        <v>77</v>
      </c>
      <c r="K2002" t="s">
        <v>78</v>
      </c>
      <c r="L2002" t="s">
        <v>162</v>
      </c>
      <c r="M2002" t="s">
        <v>163</v>
      </c>
      <c r="N2002" t="s">
        <v>2604</v>
      </c>
      <c r="O2002" t="s">
        <v>82</v>
      </c>
      <c r="P2002" t="str">
        <f>"4170054721                    "</f>
        <v xml:space="preserve">4170054721                    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  <c r="AL2002">
        <v>0</v>
      </c>
      <c r="AM2002">
        <v>0</v>
      </c>
      <c r="AN2002">
        <v>0</v>
      </c>
      <c r="AO2002">
        <v>0</v>
      </c>
      <c r="AP2002">
        <v>0</v>
      </c>
      <c r="AQ2002">
        <v>23.09</v>
      </c>
      <c r="AR2002">
        <v>0</v>
      </c>
      <c r="AS2002">
        <v>0</v>
      </c>
      <c r="AT2002">
        <v>0</v>
      </c>
      <c r="AU2002">
        <v>0</v>
      </c>
      <c r="AV2002">
        <v>0</v>
      </c>
      <c r="AW2002">
        <v>0</v>
      </c>
      <c r="AX2002">
        <v>0</v>
      </c>
      <c r="AY2002">
        <v>0</v>
      </c>
      <c r="AZ2002">
        <v>0</v>
      </c>
      <c r="BA2002">
        <v>0</v>
      </c>
      <c r="BB2002">
        <v>0</v>
      </c>
      <c r="BC2002">
        <v>0</v>
      </c>
      <c r="BD2002">
        <v>0</v>
      </c>
      <c r="BE2002">
        <v>0</v>
      </c>
      <c r="BF2002">
        <v>0</v>
      </c>
      <c r="BG2002">
        <v>0</v>
      </c>
      <c r="BH2002">
        <v>1</v>
      </c>
      <c r="BI2002">
        <v>1</v>
      </c>
      <c r="BJ2002">
        <v>0.2</v>
      </c>
      <c r="BK2002">
        <v>1</v>
      </c>
      <c r="BL2002">
        <v>71.69</v>
      </c>
      <c r="BM2002">
        <v>10.75</v>
      </c>
      <c r="BN2002">
        <v>82.44</v>
      </c>
      <c r="BO2002">
        <v>82.44</v>
      </c>
      <c r="BQ2002" t="s">
        <v>2605</v>
      </c>
      <c r="BR2002" t="s">
        <v>84</v>
      </c>
      <c r="BS2002" s="3">
        <v>45884</v>
      </c>
      <c r="BT2002" s="4">
        <v>0.41666666666666669</v>
      </c>
      <c r="BU2002" t="s">
        <v>2606</v>
      </c>
      <c r="BV2002" t="s">
        <v>86</v>
      </c>
      <c r="BY2002">
        <v>1200</v>
      </c>
      <c r="CA2002" t="s">
        <v>919</v>
      </c>
      <c r="CC2002" t="s">
        <v>163</v>
      </c>
      <c r="CD2002">
        <v>3201</v>
      </c>
      <c r="CE2002" t="s">
        <v>109</v>
      </c>
      <c r="CF2002" s="3">
        <v>45885</v>
      </c>
      <c r="CI2002">
        <v>5</v>
      </c>
      <c r="CJ2002">
        <v>1</v>
      </c>
      <c r="CK2002">
        <v>21</v>
      </c>
      <c r="CL2002" t="s">
        <v>90</v>
      </c>
    </row>
    <row r="2003" spans="1:90" x14ac:dyDescent="0.3">
      <c r="A2003" t="s">
        <v>72</v>
      </c>
      <c r="B2003" t="s">
        <v>73</v>
      </c>
      <c r="C2003" t="s">
        <v>74</v>
      </c>
      <c r="E2003" t="str">
        <f>"080067238555"</f>
        <v>080067238555</v>
      </c>
      <c r="F2003" s="3">
        <v>45883</v>
      </c>
      <c r="G2003">
        <v>202605</v>
      </c>
      <c r="H2003" t="s">
        <v>75</v>
      </c>
      <c r="I2003" t="s">
        <v>76</v>
      </c>
      <c r="J2003" t="s">
        <v>77</v>
      </c>
      <c r="K2003" t="s">
        <v>78</v>
      </c>
      <c r="L2003" t="s">
        <v>123</v>
      </c>
      <c r="M2003" t="s">
        <v>124</v>
      </c>
      <c r="N2003" t="s">
        <v>406</v>
      </c>
      <c r="O2003" t="s">
        <v>82</v>
      </c>
      <c r="P2003" t="str">
        <f>"4170054409                    "</f>
        <v xml:space="preserve">4170054409                    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0</v>
      </c>
      <c r="AI2003">
        <v>0</v>
      </c>
      <c r="AJ2003">
        <v>0</v>
      </c>
      <c r="AK2003">
        <v>0</v>
      </c>
      <c r="AL2003">
        <v>0</v>
      </c>
      <c r="AM2003">
        <v>0</v>
      </c>
      <c r="AN2003">
        <v>0</v>
      </c>
      <c r="AO2003">
        <v>0</v>
      </c>
      <c r="AP2003">
        <v>0</v>
      </c>
      <c r="AQ2003">
        <v>23.09</v>
      </c>
      <c r="AR2003">
        <v>0</v>
      </c>
      <c r="AS2003">
        <v>0</v>
      </c>
      <c r="AT2003">
        <v>0</v>
      </c>
      <c r="AU2003">
        <v>0</v>
      </c>
      <c r="AV2003">
        <v>0</v>
      </c>
      <c r="AW2003">
        <v>0</v>
      </c>
      <c r="AX2003">
        <v>0</v>
      </c>
      <c r="AY2003">
        <v>0</v>
      </c>
      <c r="AZ2003">
        <v>0</v>
      </c>
      <c r="BA2003">
        <v>0</v>
      </c>
      <c r="BB2003">
        <v>0</v>
      </c>
      <c r="BC2003">
        <v>0</v>
      </c>
      <c r="BD2003">
        <v>0</v>
      </c>
      <c r="BE2003">
        <v>0</v>
      </c>
      <c r="BF2003">
        <v>0</v>
      </c>
      <c r="BG2003">
        <v>0</v>
      </c>
      <c r="BH2003">
        <v>1</v>
      </c>
      <c r="BI2003">
        <v>1</v>
      </c>
      <c r="BJ2003">
        <v>0.2</v>
      </c>
      <c r="BK2003">
        <v>1</v>
      </c>
      <c r="BL2003">
        <v>71.69</v>
      </c>
      <c r="BM2003">
        <v>10.75</v>
      </c>
      <c r="BN2003">
        <v>82.44</v>
      </c>
      <c r="BO2003">
        <v>82.44</v>
      </c>
      <c r="BQ2003" t="s">
        <v>407</v>
      </c>
      <c r="BR2003" t="s">
        <v>84</v>
      </c>
      <c r="BS2003" s="3">
        <v>45884</v>
      </c>
      <c r="BT2003" s="4">
        <v>0.42916666666666664</v>
      </c>
      <c r="BU2003" t="s">
        <v>408</v>
      </c>
      <c r="BV2003" t="s">
        <v>86</v>
      </c>
      <c r="BY2003">
        <v>1200</v>
      </c>
      <c r="CA2003" t="s">
        <v>192</v>
      </c>
      <c r="CC2003" t="s">
        <v>124</v>
      </c>
      <c r="CD2003">
        <v>7441</v>
      </c>
      <c r="CE2003" t="s">
        <v>109</v>
      </c>
      <c r="CF2003" s="3">
        <v>45887</v>
      </c>
      <c r="CI2003">
        <v>1</v>
      </c>
      <c r="CJ2003">
        <v>1</v>
      </c>
      <c r="CK2003">
        <v>21</v>
      </c>
      <c r="CL2003" t="s">
        <v>90</v>
      </c>
    </row>
    <row r="2004" spans="1:90" x14ac:dyDescent="0.3">
      <c r="A2004" t="s">
        <v>72</v>
      </c>
      <c r="B2004" t="s">
        <v>73</v>
      </c>
      <c r="C2004" t="s">
        <v>74</v>
      </c>
      <c r="E2004" t="str">
        <f>"080067238670"</f>
        <v>080067238670</v>
      </c>
      <c r="F2004" s="3">
        <v>45883</v>
      </c>
      <c r="G2004">
        <v>202605</v>
      </c>
      <c r="H2004" t="s">
        <v>75</v>
      </c>
      <c r="I2004" t="s">
        <v>76</v>
      </c>
      <c r="J2004" t="s">
        <v>77</v>
      </c>
      <c r="K2004" t="s">
        <v>78</v>
      </c>
      <c r="L2004" t="s">
        <v>129</v>
      </c>
      <c r="M2004" t="s">
        <v>130</v>
      </c>
      <c r="N2004" t="s">
        <v>131</v>
      </c>
      <c r="O2004" t="s">
        <v>82</v>
      </c>
      <c r="P2004" t="str">
        <f>"4170054772                    "</f>
        <v xml:space="preserve">4170054772                    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0</v>
      </c>
      <c r="AI2004">
        <v>0</v>
      </c>
      <c r="AJ2004">
        <v>0</v>
      </c>
      <c r="AK2004">
        <v>0</v>
      </c>
      <c r="AL2004">
        <v>0</v>
      </c>
      <c r="AM2004">
        <v>0</v>
      </c>
      <c r="AN2004">
        <v>0</v>
      </c>
      <c r="AO2004">
        <v>0</v>
      </c>
      <c r="AP2004">
        <v>0</v>
      </c>
      <c r="AQ2004">
        <v>23.09</v>
      </c>
      <c r="AR2004">
        <v>0</v>
      </c>
      <c r="AS2004">
        <v>0</v>
      </c>
      <c r="AT2004">
        <v>0</v>
      </c>
      <c r="AU2004">
        <v>0</v>
      </c>
      <c r="AV2004">
        <v>0</v>
      </c>
      <c r="AW2004">
        <v>0</v>
      </c>
      <c r="AX2004">
        <v>0</v>
      </c>
      <c r="AY2004">
        <v>0</v>
      </c>
      <c r="AZ2004">
        <v>0</v>
      </c>
      <c r="BA2004">
        <v>0</v>
      </c>
      <c r="BB2004">
        <v>0</v>
      </c>
      <c r="BC2004">
        <v>0</v>
      </c>
      <c r="BD2004">
        <v>0</v>
      </c>
      <c r="BE2004">
        <v>0</v>
      </c>
      <c r="BF2004">
        <v>0</v>
      </c>
      <c r="BG2004">
        <v>0</v>
      </c>
      <c r="BH2004">
        <v>1</v>
      </c>
      <c r="BI2004">
        <v>1</v>
      </c>
      <c r="BJ2004">
        <v>0.2</v>
      </c>
      <c r="BK2004">
        <v>1</v>
      </c>
      <c r="BL2004">
        <v>71.69</v>
      </c>
      <c r="BM2004">
        <v>10.75</v>
      </c>
      <c r="BN2004">
        <v>82.44</v>
      </c>
      <c r="BO2004">
        <v>82.44</v>
      </c>
      <c r="BQ2004" t="s">
        <v>132</v>
      </c>
      <c r="BR2004" t="s">
        <v>84</v>
      </c>
      <c r="BS2004" s="3">
        <v>45884</v>
      </c>
      <c r="BT2004" s="4">
        <v>0.4236111111111111</v>
      </c>
      <c r="BU2004" t="s">
        <v>133</v>
      </c>
      <c r="BV2004" t="s">
        <v>86</v>
      </c>
      <c r="BY2004">
        <v>1200</v>
      </c>
      <c r="CA2004" t="s">
        <v>945</v>
      </c>
      <c r="CC2004" t="s">
        <v>130</v>
      </c>
      <c r="CD2004">
        <v>4133</v>
      </c>
      <c r="CE2004" t="s">
        <v>109</v>
      </c>
      <c r="CF2004" s="3">
        <v>45885</v>
      </c>
      <c r="CI2004">
        <v>1</v>
      </c>
      <c r="CJ2004">
        <v>1</v>
      </c>
      <c r="CK2004">
        <v>21</v>
      </c>
      <c r="CL2004" t="s">
        <v>90</v>
      </c>
    </row>
    <row r="2005" spans="1:90" x14ac:dyDescent="0.3">
      <c r="A2005" t="s">
        <v>72</v>
      </c>
      <c r="B2005" t="s">
        <v>73</v>
      </c>
      <c r="C2005" t="s">
        <v>74</v>
      </c>
      <c r="E2005" t="str">
        <f>"080067238825"</f>
        <v>080067238825</v>
      </c>
      <c r="F2005" s="3">
        <v>45883</v>
      </c>
      <c r="G2005">
        <v>202605</v>
      </c>
      <c r="H2005" t="s">
        <v>75</v>
      </c>
      <c r="I2005" t="s">
        <v>76</v>
      </c>
      <c r="J2005" t="s">
        <v>77</v>
      </c>
      <c r="K2005" t="s">
        <v>78</v>
      </c>
      <c r="L2005" t="s">
        <v>325</v>
      </c>
      <c r="M2005" t="s">
        <v>326</v>
      </c>
      <c r="N2005" t="s">
        <v>1055</v>
      </c>
      <c r="O2005" t="s">
        <v>82</v>
      </c>
      <c r="P2005" t="str">
        <f>"4170054766                    "</f>
        <v xml:space="preserve">4170054766                    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0</v>
      </c>
      <c r="AI2005">
        <v>0</v>
      </c>
      <c r="AJ2005">
        <v>0</v>
      </c>
      <c r="AK2005">
        <v>0</v>
      </c>
      <c r="AL2005">
        <v>0</v>
      </c>
      <c r="AM2005">
        <v>0</v>
      </c>
      <c r="AN2005">
        <v>0</v>
      </c>
      <c r="AO2005">
        <v>0</v>
      </c>
      <c r="AP2005">
        <v>0</v>
      </c>
      <c r="AQ2005">
        <v>18.03</v>
      </c>
      <c r="AR2005">
        <v>0</v>
      </c>
      <c r="AS2005">
        <v>0</v>
      </c>
      <c r="AT2005">
        <v>0</v>
      </c>
      <c r="AU2005">
        <v>0</v>
      </c>
      <c r="AV2005">
        <v>0</v>
      </c>
      <c r="AW2005">
        <v>0</v>
      </c>
      <c r="AX2005">
        <v>0</v>
      </c>
      <c r="AY2005">
        <v>0</v>
      </c>
      <c r="AZ2005">
        <v>0</v>
      </c>
      <c r="BA2005">
        <v>0</v>
      </c>
      <c r="BB2005">
        <v>0</v>
      </c>
      <c r="BC2005">
        <v>0</v>
      </c>
      <c r="BD2005">
        <v>0</v>
      </c>
      <c r="BE2005">
        <v>0</v>
      </c>
      <c r="BF2005">
        <v>0</v>
      </c>
      <c r="BG2005">
        <v>0</v>
      </c>
      <c r="BH2005">
        <v>1</v>
      </c>
      <c r="BI2005">
        <v>1</v>
      </c>
      <c r="BJ2005">
        <v>0.2</v>
      </c>
      <c r="BK2005">
        <v>1</v>
      </c>
      <c r="BL2005">
        <v>55.99</v>
      </c>
      <c r="BM2005">
        <v>8.4</v>
      </c>
      <c r="BN2005">
        <v>64.39</v>
      </c>
      <c r="BO2005">
        <v>64.39</v>
      </c>
      <c r="BQ2005" t="s">
        <v>1056</v>
      </c>
      <c r="BR2005" t="s">
        <v>84</v>
      </c>
      <c r="BS2005" s="3">
        <v>45884</v>
      </c>
      <c r="BT2005" s="4">
        <v>0.3923611111111111</v>
      </c>
      <c r="BU2005" t="s">
        <v>2607</v>
      </c>
      <c r="BV2005" t="s">
        <v>86</v>
      </c>
      <c r="BY2005">
        <v>1200</v>
      </c>
      <c r="CA2005" t="s">
        <v>461</v>
      </c>
      <c r="CC2005" t="s">
        <v>326</v>
      </c>
      <c r="CD2005">
        <v>2094</v>
      </c>
      <c r="CE2005" t="s">
        <v>109</v>
      </c>
      <c r="CF2005" s="3">
        <v>45885</v>
      </c>
      <c r="CI2005">
        <v>1</v>
      </c>
      <c r="CJ2005">
        <v>1</v>
      </c>
      <c r="CK2005">
        <v>22</v>
      </c>
      <c r="CL2005" t="s">
        <v>90</v>
      </c>
    </row>
    <row r="2006" spans="1:90" x14ac:dyDescent="0.3">
      <c r="A2006" t="s">
        <v>72</v>
      </c>
      <c r="B2006" t="s">
        <v>73</v>
      </c>
      <c r="C2006" t="s">
        <v>74</v>
      </c>
      <c r="E2006" t="str">
        <f>"080067238861"</f>
        <v>080067238861</v>
      </c>
      <c r="F2006" s="3">
        <v>45883</v>
      </c>
      <c r="G2006">
        <v>202605</v>
      </c>
      <c r="H2006" t="s">
        <v>75</v>
      </c>
      <c r="I2006" t="s">
        <v>76</v>
      </c>
      <c r="J2006" t="s">
        <v>77</v>
      </c>
      <c r="K2006" t="s">
        <v>78</v>
      </c>
      <c r="L2006" t="s">
        <v>278</v>
      </c>
      <c r="M2006" t="s">
        <v>279</v>
      </c>
      <c r="N2006" t="s">
        <v>2253</v>
      </c>
      <c r="O2006" t="s">
        <v>82</v>
      </c>
      <c r="P2006" t="str">
        <f>"4170054773                    "</f>
        <v xml:space="preserve">4170054773                    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0</v>
      </c>
      <c r="AI2006">
        <v>0</v>
      </c>
      <c r="AJ2006">
        <v>0</v>
      </c>
      <c r="AK2006">
        <v>0</v>
      </c>
      <c r="AL2006">
        <v>0</v>
      </c>
      <c r="AM2006">
        <v>0</v>
      </c>
      <c r="AN2006">
        <v>0</v>
      </c>
      <c r="AO2006">
        <v>0</v>
      </c>
      <c r="AP2006">
        <v>0</v>
      </c>
      <c r="AQ2006">
        <v>23.09</v>
      </c>
      <c r="AR2006">
        <v>0</v>
      </c>
      <c r="AS2006">
        <v>0</v>
      </c>
      <c r="AT2006">
        <v>0</v>
      </c>
      <c r="AU2006">
        <v>0</v>
      </c>
      <c r="AV2006">
        <v>0</v>
      </c>
      <c r="AW2006">
        <v>0</v>
      </c>
      <c r="AX2006">
        <v>0</v>
      </c>
      <c r="AY2006">
        <v>0</v>
      </c>
      <c r="AZ2006">
        <v>0</v>
      </c>
      <c r="BA2006">
        <v>0</v>
      </c>
      <c r="BB2006">
        <v>0</v>
      </c>
      <c r="BC2006">
        <v>0</v>
      </c>
      <c r="BD2006">
        <v>0</v>
      </c>
      <c r="BE2006">
        <v>0</v>
      </c>
      <c r="BF2006">
        <v>0</v>
      </c>
      <c r="BG2006">
        <v>0</v>
      </c>
      <c r="BH2006">
        <v>1</v>
      </c>
      <c r="BI2006">
        <v>1</v>
      </c>
      <c r="BJ2006">
        <v>0.2</v>
      </c>
      <c r="BK2006">
        <v>1</v>
      </c>
      <c r="BL2006">
        <v>71.69</v>
      </c>
      <c r="BM2006">
        <v>10.75</v>
      </c>
      <c r="BN2006">
        <v>82.44</v>
      </c>
      <c r="BO2006">
        <v>82.44</v>
      </c>
      <c r="BQ2006" t="s">
        <v>2254</v>
      </c>
      <c r="BR2006" t="s">
        <v>84</v>
      </c>
      <c r="BS2006" s="3">
        <v>45884</v>
      </c>
      <c r="BT2006" s="4">
        <v>0.38680555555555557</v>
      </c>
      <c r="BU2006" t="s">
        <v>1289</v>
      </c>
      <c r="BV2006" t="s">
        <v>86</v>
      </c>
      <c r="BY2006">
        <v>1200</v>
      </c>
      <c r="CA2006" t="s">
        <v>1987</v>
      </c>
      <c r="CC2006" t="s">
        <v>279</v>
      </c>
      <c r="CD2006" s="5" t="s">
        <v>533</v>
      </c>
      <c r="CE2006" t="s">
        <v>109</v>
      </c>
      <c r="CF2006" s="3">
        <v>45884</v>
      </c>
      <c r="CI2006">
        <v>1</v>
      </c>
      <c r="CJ2006">
        <v>1</v>
      </c>
      <c r="CK2006">
        <v>21</v>
      </c>
      <c r="CL2006" t="s">
        <v>90</v>
      </c>
    </row>
    <row r="2007" spans="1:90" x14ac:dyDescent="0.3">
      <c r="A2007" t="s">
        <v>72</v>
      </c>
      <c r="B2007" t="s">
        <v>73</v>
      </c>
      <c r="C2007" t="s">
        <v>74</v>
      </c>
      <c r="E2007" t="str">
        <f>"080067238899"</f>
        <v>080067238899</v>
      </c>
      <c r="F2007" s="3">
        <v>45883</v>
      </c>
      <c r="G2007">
        <v>202605</v>
      </c>
      <c r="H2007" t="s">
        <v>75</v>
      </c>
      <c r="I2007" t="s">
        <v>76</v>
      </c>
      <c r="J2007" t="s">
        <v>77</v>
      </c>
      <c r="K2007" t="s">
        <v>78</v>
      </c>
      <c r="L2007" t="s">
        <v>172</v>
      </c>
      <c r="M2007" t="s">
        <v>173</v>
      </c>
      <c r="N2007" t="s">
        <v>174</v>
      </c>
      <c r="O2007" t="s">
        <v>82</v>
      </c>
      <c r="P2007" t="str">
        <f>"4170054731                    "</f>
        <v xml:space="preserve">4170054731                    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0</v>
      </c>
      <c r="AI2007">
        <v>0</v>
      </c>
      <c r="AJ2007">
        <v>0</v>
      </c>
      <c r="AK2007">
        <v>0</v>
      </c>
      <c r="AL2007">
        <v>0</v>
      </c>
      <c r="AM2007">
        <v>0</v>
      </c>
      <c r="AN2007">
        <v>0</v>
      </c>
      <c r="AO2007">
        <v>0</v>
      </c>
      <c r="AP2007">
        <v>0</v>
      </c>
      <c r="AQ2007">
        <v>23.09</v>
      </c>
      <c r="AR2007">
        <v>0</v>
      </c>
      <c r="AS2007">
        <v>0</v>
      </c>
      <c r="AT2007">
        <v>0</v>
      </c>
      <c r="AU2007">
        <v>0</v>
      </c>
      <c r="AV2007">
        <v>0</v>
      </c>
      <c r="AW2007">
        <v>0</v>
      </c>
      <c r="AX2007">
        <v>0</v>
      </c>
      <c r="AY2007">
        <v>0</v>
      </c>
      <c r="AZ2007">
        <v>0</v>
      </c>
      <c r="BA2007">
        <v>0</v>
      </c>
      <c r="BB2007">
        <v>0</v>
      </c>
      <c r="BC2007">
        <v>0</v>
      </c>
      <c r="BD2007">
        <v>0</v>
      </c>
      <c r="BE2007">
        <v>0</v>
      </c>
      <c r="BF2007">
        <v>0</v>
      </c>
      <c r="BG2007">
        <v>0</v>
      </c>
      <c r="BH2007">
        <v>1</v>
      </c>
      <c r="BI2007">
        <v>1</v>
      </c>
      <c r="BJ2007">
        <v>0.2</v>
      </c>
      <c r="BK2007">
        <v>1</v>
      </c>
      <c r="BL2007">
        <v>71.69</v>
      </c>
      <c r="BM2007">
        <v>10.75</v>
      </c>
      <c r="BN2007">
        <v>82.44</v>
      </c>
      <c r="BO2007">
        <v>82.44</v>
      </c>
      <c r="BQ2007" t="s">
        <v>175</v>
      </c>
      <c r="BR2007" t="s">
        <v>84</v>
      </c>
      <c r="BS2007" s="3">
        <v>45884</v>
      </c>
      <c r="BT2007" s="4">
        <v>0.43263888888888891</v>
      </c>
      <c r="BU2007" t="s">
        <v>2608</v>
      </c>
      <c r="BV2007" t="s">
        <v>86</v>
      </c>
      <c r="BY2007">
        <v>1200</v>
      </c>
      <c r="CA2007" t="s">
        <v>1779</v>
      </c>
      <c r="CC2007" t="s">
        <v>173</v>
      </c>
      <c r="CD2007">
        <v>7600</v>
      </c>
      <c r="CE2007" t="s">
        <v>109</v>
      </c>
      <c r="CF2007" s="3">
        <v>45887</v>
      </c>
      <c r="CI2007">
        <v>1</v>
      </c>
      <c r="CJ2007">
        <v>1</v>
      </c>
      <c r="CK2007">
        <v>21</v>
      </c>
      <c r="CL2007" t="s">
        <v>90</v>
      </c>
    </row>
    <row r="2008" spans="1:90" x14ac:dyDescent="0.3">
      <c r="A2008" t="s">
        <v>72</v>
      </c>
      <c r="B2008" t="s">
        <v>73</v>
      </c>
      <c r="C2008" t="s">
        <v>74</v>
      </c>
      <c r="E2008" t="str">
        <f>"080067238934"</f>
        <v>080067238934</v>
      </c>
      <c r="F2008" s="3">
        <v>45883</v>
      </c>
      <c r="G2008">
        <v>202605</v>
      </c>
      <c r="H2008" t="s">
        <v>75</v>
      </c>
      <c r="I2008" t="s">
        <v>76</v>
      </c>
      <c r="J2008" t="s">
        <v>77</v>
      </c>
      <c r="K2008" t="s">
        <v>78</v>
      </c>
      <c r="L2008" t="s">
        <v>241</v>
      </c>
      <c r="M2008" t="s">
        <v>242</v>
      </c>
      <c r="N2008" t="s">
        <v>1898</v>
      </c>
      <c r="O2008" t="s">
        <v>95</v>
      </c>
      <c r="P2008" t="str">
        <f>"4170054702                    "</f>
        <v xml:space="preserve">4170054702                    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0</v>
      </c>
      <c r="AK2008">
        <v>0</v>
      </c>
      <c r="AL2008">
        <v>0</v>
      </c>
      <c r="AM2008">
        <v>0</v>
      </c>
      <c r="AN2008">
        <v>0</v>
      </c>
      <c r="AO2008">
        <v>0</v>
      </c>
      <c r="AP2008">
        <v>0</v>
      </c>
      <c r="AQ2008">
        <v>1365.7</v>
      </c>
      <c r="AR2008">
        <v>0</v>
      </c>
      <c r="AS2008">
        <v>0</v>
      </c>
      <c r="AT2008">
        <v>0</v>
      </c>
      <c r="AU2008">
        <v>0</v>
      </c>
      <c r="AV2008">
        <v>0</v>
      </c>
      <c r="AW2008">
        <v>0</v>
      </c>
      <c r="AX2008">
        <v>0</v>
      </c>
      <c r="AY2008">
        <v>0</v>
      </c>
      <c r="AZ2008">
        <v>0</v>
      </c>
      <c r="BA2008">
        <v>0</v>
      </c>
      <c r="BB2008">
        <v>0</v>
      </c>
      <c r="BC2008">
        <v>0</v>
      </c>
      <c r="BD2008">
        <v>0</v>
      </c>
      <c r="BE2008">
        <v>0</v>
      </c>
      <c r="BF2008">
        <v>0</v>
      </c>
      <c r="BG2008">
        <v>0</v>
      </c>
      <c r="BH2008">
        <v>9</v>
      </c>
      <c r="BI2008">
        <v>575</v>
      </c>
      <c r="BJ2008">
        <v>1337</v>
      </c>
      <c r="BK2008">
        <v>1337</v>
      </c>
      <c r="BL2008">
        <v>4246.7299999999996</v>
      </c>
      <c r="BM2008">
        <v>637.01</v>
      </c>
      <c r="BN2008">
        <v>4883.74</v>
      </c>
      <c r="BO2008">
        <v>4883.74</v>
      </c>
      <c r="BQ2008" t="s">
        <v>1899</v>
      </c>
      <c r="BR2008" t="s">
        <v>84</v>
      </c>
      <c r="BS2008" s="3">
        <v>45884</v>
      </c>
      <c r="BT2008" s="4">
        <v>0.39583333333333331</v>
      </c>
      <c r="BU2008" t="s">
        <v>2609</v>
      </c>
      <c r="BV2008" t="s">
        <v>86</v>
      </c>
      <c r="BY2008">
        <v>6685050.8899999997</v>
      </c>
      <c r="CA2008" t="s">
        <v>1939</v>
      </c>
      <c r="CC2008" t="s">
        <v>242</v>
      </c>
      <c r="CD2008">
        <v>1459</v>
      </c>
      <c r="CE2008" t="s">
        <v>708</v>
      </c>
      <c r="CF2008" s="3">
        <v>45884</v>
      </c>
      <c r="CI2008">
        <v>1</v>
      </c>
      <c r="CJ2008">
        <v>1</v>
      </c>
      <c r="CK2008">
        <v>42</v>
      </c>
      <c r="CL2008" t="s">
        <v>90</v>
      </c>
    </row>
    <row r="2009" spans="1:90" x14ac:dyDescent="0.3">
      <c r="A2009" t="s">
        <v>72</v>
      </c>
      <c r="B2009" t="s">
        <v>73</v>
      </c>
      <c r="C2009" t="s">
        <v>74</v>
      </c>
      <c r="E2009" t="str">
        <f>"080067239483"</f>
        <v>080067239483</v>
      </c>
      <c r="F2009" s="3">
        <v>45883</v>
      </c>
      <c r="G2009">
        <v>202605</v>
      </c>
      <c r="H2009" t="s">
        <v>75</v>
      </c>
      <c r="I2009" t="s">
        <v>76</v>
      </c>
      <c r="J2009" t="s">
        <v>77</v>
      </c>
      <c r="K2009" t="s">
        <v>78</v>
      </c>
      <c r="L2009" t="s">
        <v>198</v>
      </c>
      <c r="M2009" t="s">
        <v>199</v>
      </c>
      <c r="N2009" t="s">
        <v>680</v>
      </c>
      <c r="O2009" t="s">
        <v>95</v>
      </c>
      <c r="P2009" t="str">
        <f>"4170054488                    "</f>
        <v xml:space="preserve">4170054488                    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0</v>
      </c>
      <c r="AI2009">
        <v>0</v>
      </c>
      <c r="AJ2009">
        <v>0</v>
      </c>
      <c r="AK2009">
        <v>0</v>
      </c>
      <c r="AL2009">
        <v>0</v>
      </c>
      <c r="AM2009">
        <v>0</v>
      </c>
      <c r="AN2009">
        <v>0</v>
      </c>
      <c r="AO2009">
        <v>0</v>
      </c>
      <c r="AP2009">
        <v>0</v>
      </c>
      <c r="AQ2009">
        <v>151.53</v>
      </c>
      <c r="AR2009">
        <v>0</v>
      </c>
      <c r="AS2009">
        <v>0</v>
      </c>
      <c r="AT2009">
        <v>0</v>
      </c>
      <c r="AU2009">
        <v>0</v>
      </c>
      <c r="AV2009">
        <v>0</v>
      </c>
      <c r="AW2009">
        <v>0</v>
      </c>
      <c r="AX2009">
        <v>0</v>
      </c>
      <c r="AY2009">
        <v>0</v>
      </c>
      <c r="AZ2009">
        <v>0</v>
      </c>
      <c r="BA2009">
        <v>0</v>
      </c>
      <c r="BB2009">
        <v>0</v>
      </c>
      <c r="BC2009">
        <v>0</v>
      </c>
      <c r="BD2009">
        <v>0</v>
      </c>
      <c r="BE2009">
        <v>0</v>
      </c>
      <c r="BF2009">
        <v>0</v>
      </c>
      <c r="BG2009">
        <v>0</v>
      </c>
      <c r="BH2009">
        <v>2</v>
      </c>
      <c r="BI2009">
        <v>42</v>
      </c>
      <c r="BJ2009">
        <v>72.900000000000006</v>
      </c>
      <c r="BK2009">
        <v>73</v>
      </c>
      <c r="BL2009">
        <v>476.42</v>
      </c>
      <c r="BM2009">
        <v>71.459999999999994</v>
      </c>
      <c r="BN2009">
        <v>547.88</v>
      </c>
      <c r="BO2009">
        <v>547.88</v>
      </c>
      <c r="BQ2009" t="s">
        <v>681</v>
      </c>
      <c r="BR2009" t="s">
        <v>84</v>
      </c>
      <c r="BS2009" s="3">
        <v>45887</v>
      </c>
      <c r="BT2009" s="4">
        <v>0.40069444444444446</v>
      </c>
      <c r="BU2009" t="s">
        <v>1385</v>
      </c>
      <c r="BV2009" t="s">
        <v>86</v>
      </c>
      <c r="BY2009">
        <v>182160</v>
      </c>
      <c r="CA2009" t="s">
        <v>413</v>
      </c>
      <c r="CC2009" t="s">
        <v>199</v>
      </c>
      <c r="CD2009">
        <v>6001</v>
      </c>
      <c r="CE2009" t="s">
        <v>1095</v>
      </c>
      <c r="CF2009" s="3">
        <v>45887</v>
      </c>
      <c r="CI2009">
        <v>3</v>
      </c>
      <c r="CJ2009">
        <v>2</v>
      </c>
      <c r="CK2009">
        <v>41</v>
      </c>
      <c r="CL2009" t="s">
        <v>90</v>
      </c>
    </row>
    <row r="2010" spans="1:90" x14ac:dyDescent="0.3">
      <c r="A2010" t="s">
        <v>72</v>
      </c>
      <c r="B2010" t="s">
        <v>73</v>
      </c>
      <c r="C2010" t="s">
        <v>74</v>
      </c>
      <c r="E2010" t="str">
        <f>"080067239547"</f>
        <v>080067239547</v>
      </c>
      <c r="F2010" s="3">
        <v>45883</v>
      </c>
      <c r="G2010">
        <v>202605</v>
      </c>
      <c r="H2010" t="s">
        <v>75</v>
      </c>
      <c r="I2010" t="s">
        <v>76</v>
      </c>
      <c r="J2010" t="s">
        <v>77</v>
      </c>
      <c r="K2010" t="s">
        <v>78</v>
      </c>
      <c r="L2010" t="s">
        <v>325</v>
      </c>
      <c r="M2010" t="s">
        <v>326</v>
      </c>
      <c r="N2010" t="s">
        <v>458</v>
      </c>
      <c r="O2010" t="s">
        <v>82</v>
      </c>
      <c r="P2010" t="str">
        <f>"4170054770                    "</f>
        <v xml:space="preserve">4170054770                    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0</v>
      </c>
      <c r="AI2010">
        <v>0</v>
      </c>
      <c r="AJ2010">
        <v>0</v>
      </c>
      <c r="AK2010">
        <v>0</v>
      </c>
      <c r="AL2010">
        <v>0</v>
      </c>
      <c r="AM2010">
        <v>0</v>
      </c>
      <c r="AN2010">
        <v>0</v>
      </c>
      <c r="AO2010">
        <v>0</v>
      </c>
      <c r="AP2010">
        <v>0</v>
      </c>
      <c r="AQ2010">
        <v>18.03</v>
      </c>
      <c r="AR2010">
        <v>0</v>
      </c>
      <c r="AS2010">
        <v>0</v>
      </c>
      <c r="AT2010">
        <v>0</v>
      </c>
      <c r="AU2010">
        <v>0</v>
      </c>
      <c r="AV2010">
        <v>0</v>
      </c>
      <c r="AW2010">
        <v>0</v>
      </c>
      <c r="AX2010">
        <v>0</v>
      </c>
      <c r="AY2010">
        <v>0</v>
      </c>
      <c r="AZ2010">
        <v>0</v>
      </c>
      <c r="BA2010">
        <v>0</v>
      </c>
      <c r="BB2010">
        <v>0</v>
      </c>
      <c r="BC2010">
        <v>0</v>
      </c>
      <c r="BD2010">
        <v>0</v>
      </c>
      <c r="BE2010">
        <v>0</v>
      </c>
      <c r="BF2010">
        <v>0</v>
      </c>
      <c r="BG2010">
        <v>0</v>
      </c>
      <c r="BH2010">
        <v>1</v>
      </c>
      <c r="BI2010">
        <v>3</v>
      </c>
      <c r="BJ2010">
        <v>4.0999999999999996</v>
      </c>
      <c r="BK2010">
        <v>5</v>
      </c>
      <c r="BL2010">
        <v>55.99</v>
      </c>
      <c r="BM2010">
        <v>8.4</v>
      </c>
      <c r="BN2010">
        <v>64.39</v>
      </c>
      <c r="BO2010">
        <v>64.39</v>
      </c>
      <c r="BQ2010" t="s">
        <v>459</v>
      </c>
      <c r="BR2010" t="s">
        <v>84</v>
      </c>
      <c r="BS2010" s="3">
        <v>45884</v>
      </c>
      <c r="BT2010" s="4">
        <v>0.40694444444444444</v>
      </c>
      <c r="BU2010" t="s">
        <v>2610</v>
      </c>
      <c r="BV2010" t="s">
        <v>86</v>
      </c>
      <c r="BY2010">
        <v>20358</v>
      </c>
      <c r="CA2010" t="s">
        <v>461</v>
      </c>
      <c r="CC2010" t="s">
        <v>326</v>
      </c>
      <c r="CD2010">
        <v>2197</v>
      </c>
      <c r="CE2010" t="s">
        <v>147</v>
      </c>
      <c r="CF2010" s="3">
        <v>45885</v>
      </c>
      <c r="CI2010">
        <v>1</v>
      </c>
      <c r="CJ2010">
        <v>1</v>
      </c>
      <c r="CK2010">
        <v>22</v>
      </c>
      <c r="CL2010" t="s">
        <v>90</v>
      </c>
    </row>
    <row r="2011" spans="1:90" x14ac:dyDescent="0.3">
      <c r="A2011" t="s">
        <v>72</v>
      </c>
      <c r="B2011" t="s">
        <v>73</v>
      </c>
      <c r="C2011" t="s">
        <v>74</v>
      </c>
      <c r="E2011" t="str">
        <f>"080067239560"</f>
        <v>080067239560</v>
      </c>
      <c r="F2011" s="3">
        <v>45883</v>
      </c>
      <c r="G2011">
        <v>202605</v>
      </c>
      <c r="H2011" t="s">
        <v>75</v>
      </c>
      <c r="I2011" t="s">
        <v>76</v>
      </c>
      <c r="J2011" t="s">
        <v>77</v>
      </c>
      <c r="K2011" t="s">
        <v>78</v>
      </c>
      <c r="L2011" t="s">
        <v>1504</v>
      </c>
      <c r="M2011" t="s">
        <v>1505</v>
      </c>
      <c r="N2011" t="s">
        <v>2611</v>
      </c>
      <c r="O2011" t="s">
        <v>82</v>
      </c>
      <c r="P2011" t="str">
        <f>"4170054436                    "</f>
        <v xml:space="preserve">4170054436                    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0</v>
      </c>
      <c r="AI2011">
        <v>0</v>
      </c>
      <c r="AJ2011">
        <v>0</v>
      </c>
      <c r="AK2011">
        <v>0</v>
      </c>
      <c r="AL2011">
        <v>0</v>
      </c>
      <c r="AM2011">
        <v>0</v>
      </c>
      <c r="AN2011">
        <v>0</v>
      </c>
      <c r="AO2011">
        <v>0</v>
      </c>
      <c r="AP2011">
        <v>0</v>
      </c>
      <c r="AQ2011">
        <v>44.73</v>
      </c>
      <c r="AR2011">
        <v>0</v>
      </c>
      <c r="AS2011">
        <v>0</v>
      </c>
      <c r="AT2011">
        <v>0</v>
      </c>
      <c r="AU2011">
        <v>0</v>
      </c>
      <c r="AV2011">
        <v>0</v>
      </c>
      <c r="AW2011">
        <v>0</v>
      </c>
      <c r="AX2011">
        <v>0</v>
      </c>
      <c r="AY2011">
        <v>0</v>
      </c>
      <c r="AZ2011">
        <v>0</v>
      </c>
      <c r="BA2011">
        <v>0</v>
      </c>
      <c r="BB2011">
        <v>0</v>
      </c>
      <c r="BC2011">
        <v>0</v>
      </c>
      <c r="BD2011">
        <v>0</v>
      </c>
      <c r="BE2011">
        <v>0</v>
      </c>
      <c r="BF2011">
        <v>0</v>
      </c>
      <c r="BG2011">
        <v>0</v>
      </c>
      <c r="BH2011">
        <v>1</v>
      </c>
      <c r="BI2011">
        <v>1</v>
      </c>
      <c r="BJ2011">
        <v>0.9</v>
      </c>
      <c r="BK2011">
        <v>1</v>
      </c>
      <c r="BL2011">
        <v>138.88999999999999</v>
      </c>
      <c r="BM2011">
        <v>20.83</v>
      </c>
      <c r="BN2011">
        <v>159.72</v>
      </c>
      <c r="BO2011">
        <v>159.72</v>
      </c>
      <c r="BQ2011" t="s">
        <v>2612</v>
      </c>
      <c r="BR2011" t="s">
        <v>84</v>
      </c>
      <c r="BS2011" s="3">
        <v>45887</v>
      </c>
      <c r="BT2011" s="4">
        <v>0.47291666666666665</v>
      </c>
      <c r="BU2011" t="s">
        <v>2613</v>
      </c>
      <c r="BV2011" t="s">
        <v>86</v>
      </c>
      <c r="BY2011">
        <v>4256</v>
      </c>
      <c r="CA2011" t="s">
        <v>1509</v>
      </c>
      <c r="CC2011" t="s">
        <v>1505</v>
      </c>
      <c r="CD2011">
        <v>4490</v>
      </c>
      <c r="CE2011" t="s">
        <v>147</v>
      </c>
      <c r="CF2011" s="3">
        <v>45887</v>
      </c>
      <c r="CI2011">
        <v>5</v>
      </c>
      <c r="CJ2011">
        <v>2</v>
      </c>
      <c r="CK2011">
        <v>23</v>
      </c>
      <c r="CL2011" t="s">
        <v>90</v>
      </c>
    </row>
    <row r="2012" spans="1:90" x14ac:dyDescent="0.3">
      <c r="A2012" t="s">
        <v>72</v>
      </c>
      <c r="B2012" t="s">
        <v>73</v>
      </c>
      <c r="C2012" t="s">
        <v>74</v>
      </c>
      <c r="E2012" t="str">
        <f>"080067239574"</f>
        <v>080067239574</v>
      </c>
      <c r="F2012" s="3">
        <v>45883</v>
      </c>
      <c r="G2012">
        <v>202605</v>
      </c>
      <c r="H2012" t="s">
        <v>75</v>
      </c>
      <c r="I2012" t="s">
        <v>76</v>
      </c>
      <c r="J2012" t="s">
        <v>77</v>
      </c>
      <c r="K2012" t="s">
        <v>78</v>
      </c>
      <c r="L2012" t="s">
        <v>278</v>
      </c>
      <c r="M2012" t="s">
        <v>279</v>
      </c>
      <c r="N2012" t="s">
        <v>880</v>
      </c>
      <c r="O2012" t="s">
        <v>82</v>
      </c>
      <c r="P2012" t="str">
        <f>"4170054755                    "</f>
        <v xml:space="preserve">4170054755                    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0</v>
      </c>
      <c r="AI2012">
        <v>0</v>
      </c>
      <c r="AJ2012">
        <v>0</v>
      </c>
      <c r="AK2012">
        <v>0</v>
      </c>
      <c r="AL2012">
        <v>0</v>
      </c>
      <c r="AM2012">
        <v>0</v>
      </c>
      <c r="AN2012">
        <v>0</v>
      </c>
      <c r="AO2012">
        <v>0</v>
      </c>
      <c r="AP2012">
        <v>0</v>
      </c>
      <c r="AQ2012">
        <v>23.09</v>
      </c>
      <c r="AR2012">
        <v>0</v>
      </c>
      <c r="AS2012">
        <v>0</v>
      </c>
      <c r="AT2012">
        <v>0</v>
      </c>
      <c r="AU2012">
        <v>0</v>
      </c>
      <c r="AV2012">
        <v>0</v>
      </c>
      <c r="AW2012">
        <v>0</v>
      </c>
      <c r="AX2012">
        <v>0</v>
      </c>
      <c r="AY2012">
        <v>0</v>
      </c>
      <c r="AZ2012">
        <v>0</v>
      </c>
      <c r="BA2012">
        <v>0</v>
      </c>
      <c r="BB2012">
        <v>0</v>
      </c>
      <c r="BC2012">
        <v>0</v>
      </c>
      <c r="BD2012">
        <v>0</v>
      </c>
      <c r="BE2012">
        <v>0</v>
      </c>
      <c r="BF2012">
        <v>0</v>
      </c>
      <c r="BG2012">
        <v>0</v>
      </c>
      <c r="BH2012">
        <v>1</v>
      </c>
      <c r="BI2012">
        <v>1</v>
      </c>
      <c r="BJ2012">
        <v>0.9</v>
      </c>
      <c r="BK2012">
        <v>1</v>
      </c>
      <c r="BL2012">
        <v>71.69</v>
      </c>
      <c r="BM2012">
        <v>10.75</v>
      </c>
      <c r="BN2012">
        <v>82.44</v>
      </c>
      <c r="BO2012">
        <v>82.44</v>
      </c>
      <c r="BQ2012" t="s">
        <v>881</v>
      </c>
      <c r="BR2012" t="s">
        <v>84</v>
      </c>
      <c r="BS2012" s="3">
        <v>45884</v>
      </c>
      <c r="BT2012" s="4">
        <v>0.3263888888888889</v>
      </c>
      <c r="BU2012" t="s">
        <v>2614</v>
      </c>
      <c r="BV2012" t="s">
        <v>86</v>
      </c>
      <c r="BY2012">
        <v>4256</v>
      </c>
      <c r="CA2012" t="s">
        <v>2615</v>
      </c>
      <c r="CC2012" t="s">
        <v>279</v>
      </c>
      <c r="CD2012" s="5" t="s">
        <v>883</v>
      </c>
      <c r="CE2012" t="s">
        <v>147</v>
      </c>
      <c r="CF2012" s="3">
        <v>45884</v>
      </c>
      <c r="CI2012">
        <v>1</v>
      </c>
      <c r="CJ2012">
        <v>1</v>
      </c>
      <c r="CK2012">
        <v>21</v>
      </c>
      <c r="CL2012" t="s">
        <v>90</v>
      </c>
    </row>
    <row r="2013" spans="1:90" x14ac:dyDescent="0.3">
      <c r="A2013" t="s">
        <v>72</v>
      </c>
      <c r="B2013" t="s">
        <v>73</v>
      </c>
      <c r="C2013" t="s">
        <v>74</v>
      </c>
      <c r="E2013" t="str">
        <f>"080067239585"</f>
        <v>080067239585</v>
      </c>
      <c r="F2013" s="3">
        <v>45883</v>
      </c>
      <c r="G2013">
        <v>202605</v>
      </c>
      <c r="H2013" t="s">
        <v>75</v>
      </c>
      <c r="I2013" t="s">
        <v>76</v>
      </c>
      <c r="J2013" t="s">
        <v>77</v>
      </c>
      <c r="K2013" t="s">
        <v>78</v>
      </c>
      <c r="L2013" t="s">
        <v>325</v>
      </c>
      <c r="M2013" t="s">
        <v>326</v>
      </c>
      <c r="N2013" t="s">
        <v>852</v>
      </c>
      <c r="O2013" t="s">
        <v>82</v>
      </c>
      <c r="P2013" t="str">
        <f>"4170054493                    "</f>
        <v xml:space="preserve">4170054493                    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0</v>
      </c>
      <c r="AL2013">
        <v>0</v>
      </c>
      <c r="AM2013">
        <v>0</v>
      </c>
      <c r="AN2013">
        <v>0</v>
      </c>
      <c r="AO2013">
        <v>0</v>
      </c>
      <c r="AP2013">
        <v>0</v>
      </c>
      <c r="AQ2013">
        <v>18.03</v>
      </c>
      <c r="AR2013">
        <v>0</v>
      </c>
      <c r="AS2013">
        <v>0</v>
      </c>
      <c r="AT2013">
        <v>0</v>
      </c>
      <c r="AU2013">
        <v>0</v>
      </c>
      <c r="AV2013">
        <v>0</v>
      </c>
      <c r="AW2013">
        <v>0</v>
      </c>
      <c r="AX2013">
        <v>0</v>
      </c>
      <c r="AY2013">
        <v>0</v>
      </c>
      <c r="AZ2013">
        <v>0</v>
      </c>
      <c r="BA2013">
        <v>0</v>
      </c>
      <c r="BB2013">
        <v>0</v>
      </c>
      <c r="BC2013">
        <v>0</v>
      </c>
      <c r="BD2013">
        <v>0</v>
      </c>
      <c r="BE2013">
        <v>0</v>
      </c>
      <c r="BF2013">
        <v>0</v>
      </c>
      <c r="BG2013">
        <v>0</v>
      </c>
      <c r="BH2013">
        <v>1</v>
      </c>
      <c r="BI2013">
        <v>1</v>
      </c>
      <c r="BJ2013">
        <v>0.9</v>
      </c>
      <c r="BK2013">
        <v>1</v>
      </c>
      <c r="BL2013">
        <v>55.99</v>
      </c>
      <c r="BM2013">
        <v>8.4</v>
      </c>
      <c r="BN2013">
        <v>64.39</v>
      </c>
      <c r="BO2013">
        <v>64.39</v>
      </c>
      <c r="BQ2013" t="s">
        <v>853</v>
      </c>
      <c r="BR2013" t="s">
        <v>84</v>
      </c>
      <c r="BS2013" s="3">
        <v>45884</v>
      </c>
      <c r="BT2013" s="4">
        <v>0.33333333333333331</v>
      </c>
      <c r="BU2013" t="s">
        <v>854</v>
      </c>
      <c r="BV2013" t="s">
        <v>86</v>
      </c>
      <c r="BY2013">
        <v>4680</v>
      </c>
      <c r="CA2013" t="s">
        <v>331</v>
      </c>
      <c r="CC2013" t="s">
        <v>326</v>
      </c>
      <c r="CD2013">
        <v>2091</v>
      </c>
      <c r="CE2013" t="s">
        <v>147</v>
      </c>
      <c r="CF2013" s="3">
        <v>45884</v>
      </c>
      <c r="CI2013">
        <v>1</v>
      </c>
      <c r="CJ2013">
        <v>1</v>
      </c>
      <c r="CK2013">
        <v>22</v>
      </c>
      <c r="CL2013" t="s">
        <v>90</v>
      </c>
    </row>
    <row r="2014" spans="1:90" x14ac:dyDescent="0.3">
      <c r="A2014" t="s">
        <v>72</v>
      </c>
      <c r="B2014" t="s">
        <v>73</v>
      </c>
      <c r="C2014" t="s">
        <v>74</v>
      </c>
      <c r="E2014" t="str">
        <f>"080067239613"</f>
        <v>080067239613</v>
      </c>
      <c r="F2014" s="3">
        <v>45883</v>
      </c>
      <c r="G2014">
        <v>202605</v>
      </c>
      <c r="H2014" t="s">
        <v>75</v>
      </c>
      <c r="I2014" t="s">
        <v>76</v>
      </c>
      <c r="J2014" t="s">
        <v>77</v>
      </c>
      <c r="K2014" t="s">
        <v>78</v>
      </c>
      <c r="L2014" t="s">
        <v>129</v>
      </c>
      <c r="M2014" t="s">
        <v>130</v>
      </c>
      <c r="N2014" t="s">
        <v>131</v>
      </c>
      <c r="O2014" t="s">
        <v>82</v>
      </c>
      <c r="P2014" t="str">
        <f>"4170054757                    "</f>
        <v xml:space="preserve">4170054757                    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0</v>
      </c>
      <c r="AI2014">
        <v>0</v>
      </c>
      <c r="AJ2014">
        <v>0</v>
      </c>
      <c r="AK2014">
        <v>0</v>
      </c>
      <c r="AL2014">
        <v>0</v>
      </c>
      <c r="AM2014">
        <v>0</v>
      </c>
      <c r="AN2014">
        <v>0</v>
      </c>
      <c r="AO2014">
        <v>0</v>
      </c>
      <c r="AP2014">
        <v>0</v>
      </c>
      <c r="AQ2014">
        <v>23.09</v>
      </c>
      <c r="AR2014">
        <v>0</v>
      </c>
      <c r="AS2014">
        <v>0</v>
      </c>
      <c r="AT2014">
        <v>0</v>
      </c>
      <c r="AU2014">
        <v>0</v>
      </c>
      <c r="AV2014">
        <v>0</v>
      </c>
      <c r="AW2014">
        <v>0</v>
      </c>
      <c r="AX2014">
        <v>0</v>
      </c>
      <c r="AY2014">
        <v>0</v>
      </c>
      <c r="AZ2014">
        <v>0</v>
      </c>
      <c r="BA2014">
        <v>0</v>
      </c>
      <c r="BB2014">
        <v>0</v>
      </c>
      <c r="BC2014">
        <v>0</v>
      </c>
      <c r="BD2014">
        <v>0</v>
      </c>
      <c r="BE2014">
        <v>0</v>
      </c>
      <c r="BF2014">
        <v>0</v>
      </c>
      <c r="BG2014">
        <v>0</v>
      </c>
      <c r="BH2014">
        <v>1</v>
      </c>
      <c r="BI2014">
        <v>1</v>
      </c>
      <c r="BJ2014">
        <v>0.2</v>
      </c>
      <c r="BK2014">
        <v>1</v>
      </c>
      <c r="BL2014">
        <v>71.69</v>
      </c>
      <c r="BM2014">
        <v>10.75</v>
      </c>
      <c r="BN2014">
        <v>82.44</v>
      </c>
      <c r="BO2014">
        <v>82.44</v>
      </c>
      <c r="BQ2014" t="s">
        <v>132</v>
      </c>
      <c r="BR2014" t="s">
        <v>84</v>
      </c>
      <c r="BS2014" s="3">
        <v>45884</v>
      </c>
      <c r="BT2014" s="4">
        <v>0.4236111111111111</v>
      </c>
      <c r="BU2014" t="s">
        <v>133</v>
      </c>
      <c r="BV2014" t="s">
        <v>86</v>
      </c>
      <c r="BY2014">
        <v>1200</v>
      </c>
      <c r="CA2014" t="s">
        <v>945</v>
      </c>
      <c r="CC2014" t="s">
        <v>130</v>
      </c>
      <c r="CD2014">
        <v>4133</v>
      </c>
      <c r="CE2014" t="s">
        <v>109</v>
      </c>
      <c r="CF2014" s="3">
        <v>45885</v>
      </c>
      <c r="CI2014">
        <v>1</v>
      </c>
      <c r="CJ2014">
        <v>1</v>
      </c>
      <c r="CK2014">
        <v>21</v>
      </c>
      <c r="CL2014" t="s">
        <v>90</v>
      </c>
    </row>
    <row r="2015" spans="1:90" x14ac:dyDescent="0.3">
      <c r="A2015" t="s">
        <v>72</v>
      </c>
      <c r="B2015" t="s">
        <v>73</v>
      </c>
      <c r="C2015" t="s">
        <v>74</v>
      </c>
      <c r="E2015" t="str">
        <f>"080067239619"</f>
        <v>080067239619</v>
      </c>
      <c r="F2015" s="3">
        <v>45883</v>
      </c>
      <c r="G2015">
        <v>202605</v>
      </c>
      <c r="H2015" t="s">
        <v>75</v>
      </c>
      <c r="I2015" t="s">
        <v>76</v>
      </c>
      <c r="J2015" t="s">
        <v>77</v>
      </c>
      <c r="K2015" t="s">
        <v>78</v>
      </c>
      <c r="L2015" t="s">
        <v>123</v>
      </c>
      <c r="M2015" t="s">
        <v>124</v>
      </c>
      <c r="N2015" t="s">
        <v>377</v>
      </c>
      <c r="O2015" t="s">
        <v>82</v>
      </c>
      <c r="P2015" t="str">
        <f>"4170054780                    "</f>
        <v xml:space="preserve">4170054780                    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0</v>
      </c>
      <c r="AM2015">
        <v>0</v>
      </c>
      <c r="AN2015">
        <v>0</v>
      </c>
      <c r="AO2015">
        <v>0</v>
      </c>
      <c r="AP2015">
        <v>0</v>
      </c>
      <c r="AQ2015">
        <v>230.68</v>
      </c>
      <c r="AR2015">
        <v>0</v>
      </c>
      <c r="AS2015">
        <v>0</v>
      </c>
      <c r="AT2015">
        <v>0</v>
      </c>
      <c r="AU2015">
        <v>0</v>
      </c>
      <c r="AV2015">
        <v>0</v>
      </c>
      <c r="AW2015">
        <v>0</v>
      </c>
      <c r="AX2015">
        <v>0</v>
      </c>
      <c r="AY2015">
        <v>0</v>
      </c>
      <c r="AZ2015">
        <v>0</v>
      </c>
      <c r="BA2015">
        <v>0</v>
      </c>
      <c r="BB2015">
        <v>0</v>
      </c>
      <c r="BC2015">
        <v>0</v>
      </c>
      <c r="BD2015">
        <v>0</v>
      </c>
      <c r="BE2015">
        <v>0</v>
      </c>
      <c r="BF2015">
        <v>0</v>
      </c>
      <c r="BG2015">
        <v>0</v>
      </c>
      <c r="BH2015">
        <v>1</v>
      </c>
      <c r="BI2015">
        <v>20</v>
      </c>
      <c r="BJ2015">
        <v>3.6</v>
      </c>
      <c r="BK2015">
        <v>20</v>
      </c>
      <c r="BL2015">
        <v>716.32</v>
      </c>
      <c r="BM2015">
        <v>107.45</v>
      </c>
      <c r="BN2015">
        <v>823.77</v>
      </c>
      <c r="BO2015">
        <v>823.77</v>
      </c>
      <c r="BQ2015" t="s">
        <v>378</v>
      </c>
      <c r="BR2015" t="s">
        <v>84</v>
      </c>
      <c r="BS2015" s="3">
        <v>45884</v>
      </c>
      <c r="BT2015" s="4">
        <v>0.30208333333333331</v>
      </c>
      <c r="BU2015" t="s">
        <v>2589</v>
      </c>
      <c r="BV2015" t="s">
        <v>86</v>
      </c>
      <c r="BY2015">
        <v>18096</v>
      </c>
      <c r="CC2015" t="s">
        <v>124</v>
      </c>
      <c r="CD2015">
        <v>7535</v>
      </c>
      <c r="CE2015" t="s">
        <v>147</v>
      </c>
      <c r="CF2015" s="3">
        <v>45887</v>
      </c>
      <c r="CI2015">
        <v>1</v>
      </c>
      <c r="CJ2015">
        <v>1</v>
      </c>
      <c r="CK2015">
        <v>21</v>
      </c>
      <c r="CL2015" t="s">
        <v>90</v>
      </c>
    </row>
    <row r="2016" spans="1:90" x14ac:dyDescent="0.3">
      <c r="A2016" t="s">
        <v>72</v>
      </c>
      <c r="B2016" t="s">
        <v>73</v>
      </c>
      <c r="C2016" t="s">
        <v>74</v>
      </c>
      <c r="E2016" t="str">
        <f>"080067239631"</f>
        <v>080067239631</v>
      </c>
      <c r="F2016" s="3">
        <v>45883</v>
      </c>
      <c r="G2016">
        <v>202605</v>
      </c>
      <c r="H2016" t="s">
        <v>75</v>
      </c>
      <c r="I2016" t="s">
        <v>76</v>
      </c>
      <c r="J2016" t="s">
        <v>77</v>
      </c>
      <c r="K2016" t="s">
        <v>78</v>
      </c>
      <c r="L2016" t="s">
        <v>385</v>
      </c>
      <c r="M2016" t="s">
        <v>386</v>
      </c>
      <c r="N2016" t="s">
        <v>1030</v>
      </c>
      <c r="O2016" t="s">
        <v>82</v>
      </c>
      <c r="P2016" t="str">
        <f>"4170054727                    "</f>
        <v xml:space="preserve">4170054727                    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0</v>
      </c>
      <c r="AI2016">
        <v>0</v>
      </c>
      <c r="AJ2016">
        <v>0</v>
      </c>
      <c r="AK2016">
        <v>0</v>
      </c>
      <c r="AL2016">
        <v>0</v>
      </c>
      <c r="AM2016">
        <v>0</v>
      </c>
      <c r="AN2016">
        <v>0</v>
      </c>
      <c r="AO2016">
        <v>0</v>
      </c>
      <c r="AP2016">
        <v>0</v>
      </c>
      <c r="AQ2016">
        <v>18.03</v>
      </c>
      <c r="AR2016">
        <v>0</v>
      </c>
      <c r="AS2016">
        <v>0</v>
      </c>
      <c r="AT2016">
        <v>0</v>
      </c>
      <c r="AU2016">
        <v>0</v>
      </c>
      <c r="AV2016">
        <v>0</v>
      </c>
      <c r="AW2016">
        <v>0</v>
      </c>
      <c r="AX2016">
        <v>0</v>
      </c>
      <c r="AY2016">
        <v>0</v>
      </c>
      <c r="AZ2016">
        <v>0</v>
      </c>
      <c r="BA2016">
        <v>0</v>
      </c>
      <c r="BB2016">
        <v>0</v>
      </c>
      <c r="BC2016">
        <v>0</v>
      </c>
      <c r="BD2016">
        <v>0</v>
      </c>
      <c r="BE2016">
        <v>0</v>
      </c>
      <c r="BF2016">
        <v>0</v>
      </c>
      <c r="BG2016">
        <v>0</v>
      </c>
      <c r="BH2016">
        <v>1</v>
      </c>
      <c r="BI2016">
        <v>1</v>
      </c>
      <c r="BJ2016">
        <v>0.2</v>
      </c>
      <c r="BK2016">
        <v>1</v>
      </c>
      <c r="BL2016">
        <v>55.99</v>
      </c>
      <c r="BM2016">
        <v>8.4</v>
      </c>
      <c r="BN2016">
        <v>64.39</v>
      </c>
      <c r="BO2016">
        <v>64.39</v>
      </c>
      <c r="BQ2016" t="s">
        <v>1031</v>
      </c>
      <c r="BR2016" t="s">
        <v>84</v>
      </c>
      <c r="BS2016" s="3">
        <v>45884</v>
      </c>
      <c r="BT2016" s="4">
        <v>0.3347222222222222</v>
      </c>
      <c r="BU2016" t="s">
        <v>2108</v>
      </c>
      <c r="BV2016" t="s">
        <v>86</v>
      </c>
      <c r="BY2016">
        <v>1200</v>
      </c>
      <c r="CA2016" t="s">
        <v>851</v>
      </c>
      <c r="CC2016" t="s">
        <v>386</v>
      </c>
      <c r="CD2016">
        <v>1559</v>
      </c>
      <c r="CE2016" t="s">
        <v>109</v>
      </c>
      <c r="CF2016" s="3">
        <v>45884</v>
      </c>
      <c r="CI2016">
        <v>1</v>
      </c>
      <c r="CJ2016">
        <v>1</v>
      </c>
      <c r="CK2016">
        <v>22</v>
      </c>
      <c r="CL2016" t="s">
        <v>90</v>
      </c>
    </row>
    <row r="2017" spans="1:90" x14ac:dyDescent="0.3">
      <c r="A2017" t="s">
        <v>72</v>
      </c>
      <c r="B2017" t="s">
        <v>73</v>
      </c>
      <c r="C2017" t="s">
        <v>74</v>
      </c>
      <c r="E2017" t="str">
        <f>"080067239638"</f>
        <v>080067239638</v>
      </c>
      <c r="F2017" s="3">
        <v>45883</v>
      </c>
      <c r="G2017">
        <v>202605</v>
      </c>
      <c r="H2017" t="s">
        <v>75</v>
      </c>
      <c r="I2017" t="s">
        <v>76</v>
      </c>
      <c r="J2017" t="s">
        <v>77</v>
      </c>
      <c r="K2017" t="s">
        <v>78</v>
      </c>
      <c r="L2017" t="s">
        <v>373</v>
      </c>
      <c r="M2017" t="s">
        <v>374</v>
      </c>
      <c r="N2017" t="s">
        <v>1695</v>
      </c>
      <c r="O2017" t="s">
        <v>82</v>
      </c>
      <c r="P2017" t="str">
        <f>"4170054765                    "</f>
        <v xml:space="preserve">4170054765                    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0</v>
      </c>
      <c r="AL2017">
        <v>0</v>
      </c>
      <c r="AM2017">
        <v>0</v>
      </c>
      <c r="AN2017">
        <v>0</v>
      </c>
      <c r="AO2017">
        <v>0</v>
      </c>
      <c r="AP2017">
        <v>0</v>
      </c>
      <c r="AQ2017">
        <v>23.09</v>
      </c>
      <c r="AR2017">
        <v>0</v>
      </c>
      <c r="AS2017">
        <v>0</v>
      </c>
      <c r="AT2017">
        <v>0</v>
      </c>
      <c r="AU2017">
        <v>0</v>
      </c>
      <c r="AV2017">
        <v>0</v>
      </c>
      <c r="AW2017">
        <v>0</v>
      </c>
      <c r="AX2017">
        <v>0</v>
      </c>
      <c r="AY2017">
        <v>0</v>
      </c>
      <c r="AZ2017">
        <v>0</v>
      </c>
      <c r="BA2017">
        <v>0</v>
      </c>
      <c r="BB2017">
        <v>0</v>
      </c>
      <c r="BC2017">
        <v>0</v>
      </c>
      <c r="BD2017">
        <v>0</v>
      </c>
      <c r="BE2017">
        <v>0</v>
      </c>
      <c r="BF2017">
        <v>0</v>
      </c>
      <c r="BG2017">
        <v>0</v>
      </c>
      <c r="BH2017">
        <v>1</v>
      </c>
      <c r="BI2017">
        <v>1</v>
      </c>
      <c r="BJ2017">
        <v>0.2</v>
      </c>
      <c r="BK2017">
        <v>1</v>
      </c>
      <c r="BL2017">
        <v>71.69</v>
      </c>
      <c r="BM2017">
        <v>10.75</v>
      </c>
      <c r="BN2017">
        <v>82.44</v>
      </c>
      <c r="BO2017">
        <v>82.44</v>
      </c>
      <c r="BQ2017" t="s">
        <v>1696</v>
      </c>
      <c r="BR2017" t="s">
        <v>84</v>
      </c>
      <c r="BS2017" s="3">
        <v>45884</v>
      </c>
      <c r="BT2017" s="4">
        <v>0.43611111111111112</v>
      </c>
      <c r="BU2017" t="s">
        <v>1697</v>
      </c>
      <c r="BV2017" t="s">
        <v>86</v>
      </c>
      <c r="BY2017">
        <v>1200</v>
      </c>
      <c r="CA2017" t="s">
        <v>203</v>
      </c>
      <c r="CC2017" t="s">
        <v>374</v>
      </c>
      <c r="CD2017">
        <v>6220</v>
      </c>
      <c r="CE2017" t="s">
        <v>109</v>
      </c>
      <c r="CF2017" s="3">
        <v>45884</v>
      </c>
      <c r="CI2017">
        <v>1</v>
      </c>
      <c r="CJ2017">
        <v>1</v>
      </c>
      <c r="CK2017">
        <v>21</v>
      </c>
      <c r="CL2017" t="s">
        <v>90</v>
      </c>
    </row>
    <row r="2018" spans="1:90" x14ac:dyDescent="0.3">
      <c r="A2018" t="s">
        <v>72</v>
      </c>
      <c r="B2018" t="s">
        <v>73</v>
      </c>
      <c r="C2018" t="s">
        <v>74</v>
      </c>
      <c r="E2018" t="str">
        <f>"080067239647"</f>
        <v>080067239647</v>
      </c>
      <c r="F2018" s="3">
        <v>45883</v>
      </c>
      <c r="G2018">
        <v>202605</v>
      </c>
      <c r="H2018" t="s">
        <v>75</v>
      </c>
      <c r="I2018" t="s">
        <v>76</v>
      </c>
      <c r="J2018" t="s">
        <v>77</v>
      </c>
      <c r="K2018" t="s">
        <v>78</v>
      </c>
      <c r="L2018" t="s">
        <v>79</v>
      </c>
      <c r="M2018" t="s">
        <v>80</v>
      </c>
      <c r="N2018" t="s">
        <v>778</v>
      </c>
      <c r="O2018" t="s">
        <v>82</v>
      </c>
      <c r="P2018" t="str">
        <f>"4170054568                    "</f>
        <v xml:space="preserve">4170054568                    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0</v>
      </c>
      <c r="AI2018">
        <v>0</v>
      </c>
      <c r="AJ2018">
        <v>0</v>
      </c>
      <c r="AK2018">
        <v>0</v>
      </c>
      <c r="AL2018">
        <v>0</v>
      </c>
      <c r="AM2018">
        <v>0</v>
      </c>
      <c r="AN2018">
        <v>0</v>
      </c>
      <c r="AO2018">
        <v>0</v>
      </c>
      <c r="AP2018">
        <v>0</v>
      </c>
      <c r="AQ2018">
        <v>18.03</v>
      </c>
      <c r="AR2018">
        <v>0</v>
      </c>
      <c r="AS2018">
        <v>0</v>
      </c>
      <c r="AT2018">
        <v>0</v>
      </c>
      <c r="AU2018">
        <v>0</v>
      </c>
      <c r="AV2018">
        <v>0</v>
      </c>
      <c r="AW2018">
        <v>0</v>
      </c>
      <c r="AX2018">
        <v>0</v>
      </c>
      <c r="AY2018">
        <v>0</v>
      </c>
      <c r="AZ2018">
        <v>0</v>
      </c>
      <c r="BA2018">
        <v>0</v>
      </c>
      <c r="BB2018">
        <v>0</v>
      </c>
      <c r="BC2018">
        <v>0</v>
      </c>
      <c r="BD2018">
        <v>0</v>
      </c>
      <c r="BE2018">
        <v>0</v>
      </c>
      <c r="BF2018">
        <v>0</v>
      </c>
      <c r="BG2018">
        <v>0</v>
      </c>
      <c r="BH2018">
        <v>1</v>
      </c>
      <c r="BI2018">
        <v>2</v>
      </c>
      <c r="BJ2018">
        <v>0.9</v>
      </c>
      <c r="BK2018">
        <v>2</v>
      </c>
      <c r="BL2018">
        <v>55.99</v>
      </c>
      <c r="BM2018">
        <v>8.4</v>
      </c>
      <c r="BN2018">
        <v>64.39</v>
      </c>
      <c r="BO2018">
        <v>64.39</v>
      </c>
      <c r="BQ2018" t="s">
        <v>779</v>
      </c>
      <c r="BR2018" t="s">
        <v>84</v>
      </c>
      <c r="BS2018" s="3">
        <v>45884</v>
      </c>
      <c r="BT2018" s="4">
        <v>0.38472222222222224</v>
      </c>
      <c r="BU2018" t="s">
        <v>2616</v>
      </c>
      <c r="BV2018" t="s">
        <v>86</v>
      </c>
      <c r="BY2018">
        <v>4275</v>
      </c>
      <c r="CA2018" t="s">
        <v>2617</v>
      </c>
      <c r="CC2018" t="s">
        <v>80</v>
      </c>
      <c r="CD2018">
        <v>1401</v>
      </c>
      <c r="CE2018" t="s">
        <v>147</v>
      </c>
      <c r="CF2018" s="3">
        <v>45884</v>
      </c>
      <c r="CI2018">
        <v>1</v>
      </c>
      <c r="CJ2018">
        <v>1</v>
      </c>
      <c r="CK2018">
        <v>22</v>
      </c>
      <c r="CL2018" t="s">
        <v>90</v>
      </c>
    </row>
    <row r="2019" spans="1:90" x14ac:dyDescent="0.3">
      <c r="A2019" t="s">
        <v>72</v>
      </c>
      <c r="B2019" t="s">
        <v>73</v>
      </c>
      <c r="C2019" t="s">
        <v>74</v>
      </c>
      <c r="E2019" t="str">
        <f>"080067239659"</f>
        <v>080067239659</v>
      </c>
      <c r="F2019" s="3">
        <v>45883</v>
      </c>
      <c r="G2019">
        <v>202605</v>
      </c>
      <c r="H2019" t="s">
        <v>75</v>
      </c>
      <c r="I2019" t="s">
        <v>76</v>
      </c>
      <c r="J2019" t="s">
        <v>77</v>
      </c>
      <c r="K2019" t="s">
        <v>78</v>
      </c>
      <c r="L2019" t="s">
        <v>118</v>
      </c>
      <c r="M2019" t="s">
        <v>118</v>
      </c>
      <c r="N2019" t="s">
        <v>466</v>
      </c>
      <c r="O2019" t="s">
        <v>82</v>
      </c>
      <c r="P2019" t="str">
        <f>"4170054751                    "</f>
        <v xml:space="preserve">4170054751                    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  <c r="AL2019">
        <v>0</v>
      </c>
      <c r="AM2019">
        <v>0</v>
      </c>
      <c r="AN2019">
        <v>0</v>
      </c>
      <c r="AO2019">
        <v>0</v>
      </c>
      <c r="AP2019">
        <v>0</v>
      </c>
      <c r="AQ2019">
        <v>44.73</v>
      </c>
      <c r="AR2019">
        <v>0</v>
      </c>
      <c r="AS2019">
        <v>0</v>
      </c>
      <c r="AT2019">
        <v>0</v>
      </c>
      <c r="AU2019">
        <v>0</v>
      </c>
      <c r="AV2019">
        <v>0</v>
      </c>
      <c r="AW2019">
        <v>0</v>
      </c>
      <c r="AX2019">
        <v>0</v>
      </c>
      <c r="AY2019">
        <v>0</v>
      </c>
      <c r="AZ2019">
        <v>0</v>
      </c>
      <c r="BA2019">
        <v>0</v>
      </c>
      <c r="BB2019">
        <v>0</v>
      </c>
      <c r="BC2019">
        <v>0</v>
      </c>
      <c r="BD2019">
        <v>0</v>
      </c>
      <c r="BE2019">
        <v>0</v>
      </c>
      <c r="BF2019">
        <v>0</v>
      </c>
      <c r="BG2019">
        <v>0</v>
      </c>
      <c r="BH2019">
        <v>1</v>
      </c>
      <c r="BI2019">
        <v>2</v>
      </c>
      <c r="BJ2019">
        <v>1.1000000000000001</v>
      </c>
      <c r="BK2019">
        <v>2</v>
      </c>
      <c r="BL2019">
        <v>138.88999999999999</v>
      </c>
      <c r="BM2019">
        <v>20.83</v>
      </c>
      <c r="BN2019">
        <v>159.72</v>
      </c>
      <c r="BO2019">
        <v>159.72</v>
      </c>
      <c r="BQ2019" t="s">
        <v>467</v>
      </c>
      <c r="BR2019" t="s">
        <v>84</v>
      </c>
      <c r="BS2019" s="3">
        <v>45884</v>
      </c>
      <c r="BT2019" s="4">
        <v>0.5395833333333333</v>
      </c>
      <c r="BU2019" t="s">
        <v>468</v>
      </c>
      <c r="BV2019" t="s">
        <v>86</v>
      </c>
      <c r="BY2019">
        <v>5320</v>
      </c>
      <c r="CA2019" t="s">
        <v>122</v>
      </c>
      <c r="CC2019" t="s">
        <v>118</v>
      </c>
      <c r="CD2019">
        <v>7646</v>
      </c>
      <c r="CE2019" t="s">
        <v>147</v>
      </c>
      <c r="CF2019" s="3">
        <v>45887</v>
      </c>
      <c r="CI2019">
        <v>1</v>
      </c>
      <c r="CJ2019">
        <v>1</v>
      </c>
      <c r="CK2019">
        <v>23</v>
      </c>
      <c r="CL2019" t="s">
        <v>90</v>
      </c>
    </row>
    <row r="2020" spans="1:90" x14ac:dyDescent="0.3">
      <c r="A2020" t="s">
        <v>72</v>
      </c>
      <c r="B2020" t="s">
        <v>73</v>
      </c>
      <c r="C2020" t="s">
        <v>74</v>
      </c>
      <c r="E2020" t="str">
        <f>"080067239672"</f>
        <v>080067239672</v>
      </c>
      <c r="F2020" s="3">
        <v>45883</v>
      </c>
      <c r="G2020">
        <v>202605</v>
      </c>
      <c r="H2020" t="s">
        <v>75</v>
      </c>
      <c r="I2020" t="s">
        <v>76</v>
      </c>
      <c r="J2020" t="s">
        <v>77</v>
      </c>
      <c r="K2020" t="s">
        <v>78</v>
      </c>
      <c r="L2020" t="s">
        <v>75</v>
      </c>
      <c r="M2020" t="s">
        <v>76</v>
      </c>
      <c r="N2020" t="s">
        <v>1100</v>
      </c>
      <c r="O2020" t="s">
        <v>82</v>
      </c>
      <c r="P2020" t="str">
        <f>"4170054589                    "</f>
        <v xml:space="preserve">4170054589                    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0</v>
      </c>
      <c r="AI2020">
        <v>0</v>
      </c>
      <c r="AJ2020">
        <v>0</v>
      </c>
      <c r="AK2020">
        <v>0</v>
      </c>
      <c r="AL2020">
        <v>0</v>
      </c>
      <c r="AM2020">
        <v>0</v>
      </c>
      <c r="AN2020">
        <v>0</v>
      </c>
      <c r="AO2020">
        <v>0</v>
      </c>
      <c r="AP2020">
        <v>0</v>
      </c>
      <c r="AQ2020">
        <v>18.03</v>
      </c>
      <c r="AR2020">
        <v>0</v>
      </c>
      <c r="AS2020">
        <v>0</v>
      </c>
      <c r="AT2020">
        <v>0</v>
      </c>
      <c r="AU2020">
        <v>0</v>
      </c>
      <c r="AV2020">
        <v>0</v>
      </c>
      <c r="AW2020">
        <v>0</v>
      </c>
      <c r="AX2020">
        <v>0</v>
      </c>
      <c r="AY2020">
        <v>0</v>
      </c>
      <c r="AZ2020">
        <v>0</v>
      </c>
      <c r="BA2020">
        <v>0</v>
      </c>
      <c r="BB2020">
        <v>0</v>
      </c>
      <c r="BC2020">
        <v>0</v>
      </c>
      <c r="BD2020">
        <v>0</v>
      </c>
      <c r="BE2020">
        <v>0</v>
      </c>
      <c r="BF2020">
        <v>0</v>
      </c>
      <c r="BG2020">
        <v>0</v>
      </c>
      <c r="BH2020">
        <v>1</v>
      </c>
      <c r="BI2020">
        <v>2</v>
      </c>
      <c r="BJ2020">
        <v>4.0999999999999996</v>
      </c>
      <c r="BK2020">
        <v>5</v>
      </c>
      <c r="BL2020">
        <v>55.99</v>
      </c>
      <c r="BM2020">
        <v>8.4</v>
      </c>
      <c r="BN2020">
        <v>64.39</v>
      </c>
      <c r="BO2020">
        <v>64.39</v>
      </c>
      <c r="BQ2020" t="s">
        <v>1101</v>
      </c>
      <c r="BR2020" t="s">
        <v>84</v>
      </c>
      <c r="BS2020" s="3">
        <v>45884</v>
      </c>
      <c r="BT2020" s="4">
        <v>0.44027777777777777</v>
      </c>
      <c r="BU2020" t="s">
        <v>154</v>
      </c>
      <c r="BV2020" t="s">
        <v>90</v>
      </c>
      <c r="BW2020" t="s">
        <v>380</v>
      </c>
      <c r="BX2020" t="s">
        <v>1132</v>
      </c>
      <c r="BY2020">
        <v>20358</v>
      </c>
      <c r="CA2020" t="s">
        <v>2446</v>
      </c>
      <c r="CC2020" t="s">
        <v>76</v>
      </c>
      <c r="CD2020">
        <v>1600</v>
      </c>
      <c r="CE2020" t="s">
        <v>147</v>
      </c>
      <c r="CF2020" s="3">
        <v>45885</v>
      </c>
      <c r="CI2020">
        <v>1</v>
      </c>
      <c r="CJ2020">
        <v>1</v>
      </c>
      <c r="CK2020">
        <v>22</v>
      </c>
      <c r="CL2020" t="s">
        <v>90</v>
      </c>
    </row>
    <row r="2021" spans="1:90" x14ac:dyDescent="0.3">
      <c r="A2021" t="s">
        <v>72</v>
      </c>
      <c r="B2021" t="s">
        <v>73</v>
      </c>
      <c r="C2021" t="s">
        <v>74</v>
      </c>
      <c r="E2021" t="str">
        <f>"080067239678"</f>
        <v>080067239678</v>
      </c>
      <c r="F2021" s="3">
        <v>45883</v>
      </c>
      <c r="G2021">
        <v>202605</v>
      </c>
      <c r="H2021" t="s">
        <v>75</v>
      </c>
      <c r="I2021" t="s">
        <v>76</v>
      </c>
      <c r="J2021" t="s">
        <v>77</v>
      </c>
      <c r="K2021" t="s">
        <v>78</v>
      </c>
      <c r="L2021" t="s">
        <v>373</v>
      </c>
      <c r="M2021" t="s">
        <v>374</v>
      </c>
      <c r="N2021" t="s">
        <v>131</v>
      </c>
      <c r="O2021" t="s">
        <v>82</v>
      </c>
      <c r="P2021" t="str">
        <f>"4170054771                    "</f>
        <v xml:space="preserve">4170054771                    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Q2021">
        <v>34.619999999999997</v>
      </c>
      <c r="AR2021">
        <v>0</v>
      </c>
      <c r="AS2021">
        <v>0</v>
      </c>
      <c r="AT2021">
        <v>0</v>
      </c>
      <c r="AU2021">
        <v>0</v>
      </c>
      <c r="AV2021">
        <v>0</v>
      </c>
      <c r="AW2021">
        <v>0</v>
      </c>
      <c r="AX2021">
        <v>0</v>
      </c>
      <c r="AY2021">
        <v>0</v>
      </c>
      <c r="AZ2021">
        <v>0</v>
      </c>
      <c r="BA2021">
        <v>0</v>
      </c>
      <c r="BB2021">
        <v>0</v>
      </c>
      <c r="BC2021">
        <v>0</v>
      </c>
      <c r="BD2021">
        <v>0</v>
      </c>
      <c r="BE2021">
        <v>0</v>
      </c>
      <c r="BF2021">
        <v>0</v>
      </c>
      <c r="BG2021">
        <v>0</v>
      </c>
      <c r="BH2021">
        <v>1</v>
      </c>
      <c r="BI2021">
        <v>3</v>
      </c>
      <c r="BJ2021">
        <v>2</v>
      </c>
      <c r="BK2021">
        <v>3</v>
      </c>
      <c r="BL2021">
        <v>107.5</v>
      </c>
      <c r="BM2021">
        <v>16.13</v>
      </c>
      <c r="BN2021">
        <v>123.63</v>
      </c>
      <c r="BO2021">
        <v>123.63</v>
      </c>
      <c r="BQ2021" t="s">
        <v>375</v>
      </c>
      <c r="BR2021" t="s">
        <v>84</v>
      </c>
      <c r="BS2021" s="3">
        <v>45884</v>
      </c>
      <c r="BT2021" s="4">
        <v>0.47847222222222224</v>
      </c>
      <c r="BU2021" t="s">
        <v>2618</v>
      </c>
      <c r="BV2021" t="s">
        <v>90</v>
      </c>
      <c r="BW2021" t="s">
        <v>134</v>
      </c>
      <c r="BX2021" t="s">
        <v>1360</v>
      </c>
      <c r="BY2021">
        <v>9900</v>
      </c>
      <c r="CA2021" t="s">
        <v>203</v>
      </c>
      <c r="CC2021" t="s">
        <v>374</v>
      </c>
      <c r="CD2021">
        <v>6220</v>
      </c>
      <c r="CE2021" t="s">
        <v>147</v>
      </c>
      <c r="CF2021" s="3">
        <v>45884</v>
      </c>
      <c r="CI2021">
        <v>1</v>
      </c>
      <c r="CJ2021">
        <v>1</v>
      </c>
      <c r="CK2021">
        <v>21</v>
      </c>
      <c r="CL2021" t="s">
        <v>90</v>
      </c>
    </row>
    <row r="2022" spans="1:90" x14ac:dyDescent="0.3">
      <c r="A2022" t="s">
        <v>72</v>
      </c>
      <c r="B2022" t="s">
        <v>73</v>
      </c>
      <c r="C2022" t="s">
        <v>74</v>
      </c>
      <c r="E2022" t="str">
        <f>"080067239697"</f>
        <v>080067239697</v>
      </c>
      <c r="F2022" s="3">
        <v>45883</v>
      </c>
      <c r="G2022">
        <v>202605</v>
      </c>
      <c r="H2022" t="s">
        <v>75</v>
      </c>
      <c r="I2022" t="s">
        <v>76</v>
      </c>
      <c r="J2022" t="s">
        <v>77</v>
      </c>
      <c r="K2022" t="s">
        <v>78</v>
      </c>
      <c r="L2022" t="s">
        <v>137</v>
      </c>
      <c r="M2022" t="s">
        <v>138</v>
      </c>
      <c r="N2022" t="s">
        <v>261</v>
      </c>
      <c r="O2022" t="s">
        <v>82</v>
      </c>
      <c r="P2022" t="str">
        <f>"4170054732                    "</f>
        <v xml:space="preserve">4170054732                    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0</v>
      </c>
      <c r="AI2022">
        <v>0</v>
      </c>
      <c r="AJ2022">
        <v>0</v>
      </c>
      <c r="AK2022">
        <v>0</v>
      </c>
      <c r="AL2022">
        <v>0</v>
      </c>
      <c r="AM2022">
        <v>0</v>
      </c>
      <c r="AN2022">
        <v>0</v>
      </c>
      <c r="AO2022">
        <v>0</v>
      </c>
      <c r="AP2022">
        <v>0</v>
      </c>
      <c r="AQ2022">
        <v>34.619999999999997</v>
      </c>
      <c r="AR2022">
        <v>0</v>
      </c>
      <c r="AS2022">
        <v>0</v>
      </c>
      <c r="AT2022">
        <v>0</v>
      </c>
      <c r="AU2022">
        <v>0</v>
      </c>
      <c r="AV2022">
        <v>0</v>
      </c>
      <c r="AW2022">
        <v>0</v>
      </c>
      <c r="AX2022">
        <v>0</v>
      </c>
      <c r="AY2022">
        <v>0</v>
      </c>
      <c r="AZ2022">
        <v>0</v>
      </c>
      <c r="BA2022">
        <v>0</v>
      </c>
      <c r="BB2022">
        <v>0</v>
      </c>
      <c r="BC2022">
        <v>0</v>
      </c>
      <c r="BD2022">
        <v>0</v>
      </c>
      <c r="BE2022">
        <v>0</v>
      </c>
      <c r="BF2022">
        <v>0</v>
      </c>
      <c r="BG2022">
        <v>0</v>
      </c>
      <c r="BH2022">
        <v>1</v>
      </c>
      <c r="BI2022">
        <v>3</v>
      </c>
      <c r="BJ2022">
        <v>1.5</v>
      </c>
      <c r="BK2022">
        <v>3</v>
      </c>
      <c r="BL2022">
        <v>107.5</v>
      </c>
      <c r="BM2022">
        <v>16.13</v>
      </c>
      <c r="BN2022">
        <v>123.63</v>
      </c>
      <c r="BO2022">
        <v>123.63</v>
      </c>
      <c r="BQ2022" t="s">
        <v>262</v>
      </c>
      <c r="BR2022" t="s">
        <v>84</v>
      </c>
      <c r="BS2022" s="3">
        <v>45884</v>
      </c>
      <c r="BT2022" s="4">
        <v>0.41875000000000001</v>
      </c>
      <c r="BU2022" t="s">
        <v>263</v>
      </c>
      <c r="BV2022" t="s">
        <v>86</v>
      </c>
      <c r="BY2022">
        <v>7540</v>
      </c>
      <c r="CA2022" t="s">
        <v>264</v>
      </c>
      <c r="CC2022" t="s">
        <v>138</v>
      </c>
      <c r="CD2022">
        <v>3608</v>
      </c>
      <c r="CE2022" t="s">
        <v>147</v>
      </c>
      <c r="CF2022" s="3">
        <v>45884</v>
      </c>
      <c r="CI2022">
        <v>1</v>
      </c>
      <c r="CJ2022">
        <v>1</v>
      </c>
      <c r="CK2022">
        <v>21</v>
      </c>
      <c r="CL2022" t="s">
        <v>90</v>
      </c>
    </row>
    <row r="2023" spans="1:90" x14ac:dyDescent="0.3">
      <c r="A2023" t="s">
        <v>72</v>
      </c>
      <c r="B2023" t="s">
        <v>73</v>
      </c>
      <c r="C2023" t="s">
        <v>74</v>
      </c>
      <c r="E2023" t="str">
        <f>"080067239731"</f>
        <v>080067239731</v>
      </c>
      <c r="F2023" s="3">
        <v>45883</v>
      </c>
      <c r="G2023">
        <v>202605</v>
      </c>
      <c r="H2023" t="s">
        <v>75</v>
      </c>
      <c r="I2023" t="s">
        <v>76</v>
      </c>
      <c r="J2023" t="s">
        <v>77</v>
      </c>
      <c r="K2023" t="s">
        <v>78</v>
      </c>
      <c r="L2023" t="s">
        <v>79</v>
      </c>
      <c r="M2023" t="s">
        <v>80</v>
      </c>
      <c r="N2023" t="s">
        <v>635</v>
      </c>
      <c r="O2023" t="s">
        <v>82</v>
      </c>
      <c r="P2023" t="str">
        <f>"4170054502                    "</f>
        <v xml:space="preserve">4170054502                    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0</v>
      </c>
      <c r="AI2023">
        <v>0</v>
      </c>
      <c r="AJ2023">
        <v>0</v>
      </c>
      <c r="AK2023">
        <v>0</v>
      </c>
      <c r="AL2023">
        <v>0</v>
      </c>
      <c r="AM2023">
        <v>0</v>
      </c>
      <c r="AN2023">
        <v>0</v>
      </c>
      <c r="AO2023">
        <v>0</v>
      </c>
      <c r="AP2023">
        <v>0</v>
      </c>
      <c r="AQ2023">
        <v>18.03</v>
      </c>
      <c r="AR2023">
        <v>0</v>
      </c>
      <c r="AS2023">
        <v>0</v>
      </c>
      <c r="AT2023">
        <v>0</v>
      </c>
      <c r="AU2023">
        <v>0</v>
      </c>
      <c r="AV2023">
        <v>0</v>
      </c>
      <c r="AW2023">
        <v>0</v>
      </c>
      <c r="AX2023">
        <v>0</v>
      </c>
      <c r="AY2023">
        <v>0</v>
      </c>
      <c r="AZ2023">
        <v>0</v>
      </c>
      <c r="BA2023">
        <v>0</v>
      </c>
      <c r="BB2023">
        <v>0</v>
      </c>
      <c r="BC2023">
        <v>0</v>
      </c>
      <c r="BD2023">
        <v>0</v>
      </c>
      <c r="BE2023">
        <v>0</v>
      </c>
      <c r="BF2023">
        <v>0</v>
      </c>
      <c r="BG2023">
        <v>0</v>
      </c>
      <c r="BH2023">
        <v>1</v>
      </c>
      <c r="BI2023">
        <v>2</v>
      </c>
      <c r="BJ2023">
        <v>1.5</v>
      </c>
      <c r="BK2023">
        <v>2</v>
      </c>
      <c r="BL2023">
        <v>55.99</v>
      </c>
      <c r="BM2023">
        <v>8.4</v>
      </c>
      <c r="BN2023">
        <v>64.39</v>
      </c>
      <c r="BO2023">
        <v>64.39</v>
      </c>
      <c r="BQ2023" t="s">
        <v>636</v>
      </c>
      <c r="BR2023" t="s">
        <v>84</v>
      </c>
      <c r="BS2023" s="3">
        <v>45884</v>
      </c>
      <c r="BT2023" s="4">
        <v>0.36458333333333331</v>
      </c>
      <c r="BU2023" t="s">
        <v>1600</v>
      </c>
      <c r="BV2023" t="s">
        <v>86</v>
      </c>
      <c r="BY2023">
        <v>7540</v>
      </c>
      <c r="CA2023" t="s">
        <v>1069</v>
      </c>
      <c r="CC2023" t="s">
        <v>80</v>
      </c>
      <c r="CD2023">
        <v>1428</v>
      </c>
      <c r="CE2023" t="s">
        <v>178</v>
      </c>
      <c r="CF2023" s="3">
        <v>45885</v>
      </c>
      <c r="CI2023">
        <v>1</v>
      </c>
      <c r="CJ2023">
        <v>1</v>
      </c>
      <c r="CK2023">
        <v>22</v>
      </c>
      <c r="CL2023" t="s">
        <v>90</v>
      </c>
    </row>
    <row r="2024" spans="1:90" x14ac:dyDescent="0.3">
      <c r="A2024" t="s">
        <v>72</v>
      </c>
      <c r="B2024" t="s">
        <v>73</v>
      </c>
      <c r="C2024" t="s">
        <v>74</v>
      </c>
      <c r="E2024" t="str">
        <f>"080067239748"</f>
        <v>080067239748</v>
      </c>
      <c r="F2024" s="3">
        <v>45883</v>
      </c>
      <c r="G2024">
        <v>202605</v>
      </c>
      <c r="H2024" t="s">
        <v>75</v>
      </c>
      <c r="I2024" t="s">
        <v>76</v>
      </c>
      <c r="J2024" t="s">
        <v>77</v>
      </c>
      <c r="K2024" t="s">
        <v>78</v>
      </c>
      <c r="L2024" t="s">
        <v>198</v>
      </c>
      <c r="M2024" t="s">
        <v>199</v>
      </c>
      <c r="N2024" t="s">
        <v>342</v>
      </c>
      <c r="O2024" t="s">
        <v>82</v>
      </c>
      <c r="P2024" t="str">
        <f>"4170054701                    "</f>
        <v xml:space="preserve">4170054701                    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0</v>
      </c>
      <c r="AI2024">
        <v>0</v>
      </c>
      <c r="AJ2024">
        <v>0</v>
      </c>
      <c r="AK2024">
        <v>0</v>
      </c>
      <c r="AL2024">
        <v>0</v>
      </c>
      <c r="AM2024">
        <v>0</v>
      </c>
      <c r="AN2024">
        <v>0</v>
      </c>
      <c r="AO2024">
        <v>0</v>
      </c>
      <c r="AP2024">
        <v>0</v>
      </c>
      <c r="AQ2024">
        <v>34.619999999999997</v>
      </c>
      <c r="AR2024">
        <v>0</v>
      </c>
      <c r="AS2024">
        <v>0</v>
      </c>
      <c r="AT2024">
        <v>0</v>
      </c>
      <c r="AU2024">
        <v>0</v>
      </c>
      <c r="AV2024">
        <v>0</v>
      </c>
      <c r="AW2024">
        <v>0</v>
      </c>
      <c r="AX2024">
        <v>0</v>
      </c>
      <c r="AY2024">
        <v>0</v>
      </c>
      <c r="AZ2024">
        <v>0</v>
      </c>
      <c r="BA2024">
        <v>0</v>
      </c>
      <c r="BB2024">
        <v>0</v>
      </c>
      <c r="BC2024">
        <v>0</v>
      </c>
      <c r="BD2024">
        <v>0</v>
      </c>
      <c r="BE2024">
        <v>0</v>
      </c>
      <c r="BF2024">
        <v>0</v>
      </c>
      <c r="BG2024">
        <v>0</v>
      </c>
      <c r="BH2024">
        <v>1</v>
      </c>
      <c r="BI2024">
        <v>3</v>
      </c>
      <c r="BJ2024">
        <v>2.4</v>
      </c>
      <c r="BK2024">
        <v>3</v>
      </c>
      <c r="BL2024">
        <v>107.5</v>
      </c>
      <c r="BM2024">
        <v>16.13</v>
      </c>
      <c r="BN2024">
        <v>123.63</v>
      </c>
      <c r="BO2024">
        <v>123.63</v>
      </c>
      <c r="BQ2024" t="s">
        <v>343</v>
      </c>
      <c r="BR2024" t="s">
        <v>84</v>
      </c>
      <c r="BS2024" s="3">
        <v>45884</v>
      </c>
      <c r="BT2024" s="4">
        <v>0.45694444444444443</v>
      </c>
      <c r="BU2024" t="s">
        <v>2619</v>
      </c>
      <c r="BV2024" t="s">
        <v>90</v>
      </c>
      <c r="BW2024" t="s">
        <v>134</v>
      </c>
      <c r="BX2024" t="s">
        <v>1360</v>
      </c>
      <c r="BY2024">
        <v>11774</v>
      </c>
      <c r="CA2024" t="s">
        <v>689</v>
      </c>
      <c r="CC2024" t="s">
        <v>199</v>
      </c>
      <c r="CD2024">
        <v>6001</v>
      </c>
      <c r="CE2024" t="s">
        <v>178</v>
      </c>
      <c r="CF2024" s="3">
        <v>45884</v>
      </c>
      <c r="CI2024">
        <v>1</v>
      </c>
      <c r="CJ2024">
        <v>1</v>
      </c>
      <c r="CK2024">
        <v>21</v>
      </c>
      <c r="CL2024" t="s">
        <v>90</v>
      </c>
    </row>
    <row r="2025" spans="1:90" x14ac:dyDescent="0.3">
      <c r="A2025" t="s">
        <v>72</v>
      </c>
      <c r="B2025" t="s">
        <v>73</v>
      </c>
      <c r="C2025" t="s">
        <v>74</v>
      </c>
      <c r="E2025" t="str">
        <f>"080067239789"</f>
        <v>080067239789</v>
      </c>
      <c r="F2025" s="3">
        <v>45883</v>
      </c>
      <c r="G2025">
        <v>202605</v>
      </c>
      <c r="H2025" t="s">
        <v>75</v>
      </c>
      <c r="I2025" t="s">
        <v>76</v>
      </c>
      <c r="J2025" t="s">
        <v>77</v>
      </c>
      <c r="K2025" t="s">
        <v>78</v>
      </c>
      <c r="L2025" t="s">
        <v>75</v>
      </c>
      <c r="M2025" t="s">
        <v>76</v>
      </c>
      <c r="N2025" t="s">
        <v>537</v>
      </c>
      <c r="O2025" t="s">
        <v>95</v>
      </c>
      <c r="P2025" t="str">
        <f>"4170054775                    "</f>
        <v xml:space="preserve">4170054775                    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0</v>
      </c>
      <c r="AI2025">
        <v>0</v>
      </c>
      <c r="AJ2025">
        <v>0</v>
      </c>
      <c r="AK2025">
        <v>0</v>
      </c>
      <c r="AL2025">
        <v>0</v>
      </c>
      <c r="AM2025">
        <v>0</v>
      </c>
      <c r="AN2025">
        <v>0</v>
      </c>
      <c r="AO2025">
        <v>0</v>
      </c>
      <c r="AP2025">
        <v>0</v>
      </c>
      <c r="AQ2025">
        <v>38.479999999999997</v>
      </c>
      <c r="AR2025">
        <v>0</v>
      </c>
      <c r="AS2025">
        <v>0</v>
      </c>
      <c r="AT2025">
        <v>0</v>
      </c>
      <c r="AU2025">
        <v>0</v>
      </c>
      <c r="AV2025">
        <v>0</v>
      </c>
      <c r="AW2025">
        <v>0</v>
      </c>
      <c r="AX2025">
        <v>0</v>
      </c>
      <c r="AY2025">
        <v>0</v>
      </c>
      <c r="AZ2025">
        <v>0</v>
      </c>
      <c r="BA2025">
        <v>0</v>
      </c>
      <c r="BB2025">
        <v>0</v>
      </c>
      <c r="BC2025">
        <v>0</v>
      </c>
      <c r="BD2025">
        <v>0</v>
      </c>
      <c r="BE2025">
        <v>0</v>
      </c>
      <c r="BF2025">
        <v>0</v>
      </c>
      <c r="BG2025">
        <v>0</v>
      </c>
      <c r="BH2025">
        <v>1</v>
      </c>
      <c r="BI2025">
        <v>6</v>
      </c>
      <c r="BJ2025">
        <v>18.3</v>
      </c>
      <c r="BK2025">
        <v>19</v>
      </c>
      <c r="BL2025">
        <v>125.35</v>
      </c>
      <c r="BM2025">
        <v>18.8</v>
      </c>
      <c r="BN2025">
        <v>144.15</v>
      </c>
      <c r="BO2025">
        <v>144.15</v>
      </c>
      <c r="BQ2025" t="s">
        <v>538</v>
      </c>
      <c r="BR2025" t="s">
        <v>84</v>
      </c>
      <c r="BS2025" s="3">
        <v>45884</v>
      </c>
      <c r="BT2025" s="4">
        <v>0.39583333333333331</v>
      </c>
      <c r="BU2025" t="s">
        <v>1747</v>
      </c>
      <c r="BV2025" t="s">
        <v>86</v>
      </c>
      <c r="BY2025">
        <v>91264</v>
      </c>
      <c r="CA2025" t="s">
        <v>739</v>
      </c>
      <c r="CC2025" t="s">
        <v>76</v>
      </c>
      <c r="CD2025">
        <v>1619</v>
      </c>
      <c r="CE2025" t="s">
        <v>178</v>
      </c>
      <c r="CF2025" s="3">
        <v>45884</v>
      </c>
      <c r="CI2025">
        <v>1</v>
      </c>
      <c r="CJ2025">
        <v>1</v>
      </c>
      <c r="CK2025">
        <v>42</v>
      </c>
      <c r="CL2025" t="s">
        <v>90</v>
      </c>
    </row>
    <row r="2026" spans="1:90" x14ac:dyDescent="0.3">
      <c r="A2026" t="s">
        <v>72</v>
      </c>
      <c r="B2026" t="s">
        <v>73</v>
      </c>
      <c r="C2026" t="s">
        <v>74</v>
      </c>
      <c r="E2026" t="str">
        <f>"080067239798"</f>
        <v>080067239798</v>
      </c>
      <c r="F2026" s="3">
        <v>45883</v>
      </c>
      <c r="G2026">
        <v>202605</v>
      </c>
      <c r="H2026" t="s">
        <v>75</v>
      </c>
      <c r="I2026" t="s">
        <v>76</v>
      </c>
      <c r="J2026" t="s">
        <v>77</v>
      </c>
      <c r="K2026" t="s">
        <v>78</v>
      </c>
      <c r="L2026" t="s">
        <v>137</v>
      </c>
      <c r="M2026" t="s">
        <v>138</v>
      </c>
      <c r="N2026" t="s">
        <v>1717</v>
      </c>
      <c r="O2026" t="s">
        <v>82</v>
      </c>
      <c r="P2026" t="str">
        <f>"4170054856                    "</f>
        <v xml:space="preserve">4170054856                    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>
        <v>121.12</v>
      </c>
      <c r="AR2026">
        <v>0</v>
      </c>
      <c r="AS2026">
        <v>0</v>
      </c>
      <c r="AT2026">
        <v>0</v>
      </c>
      <c r="AU2026">
        <v>0</v>
      </c>
      <c r="AV2026">
        <v>0</v>
      </c>
      <c r="AW2026">
        <v>0</v>
      </c>
      <c r="AX2026">
        <v>0</v>
      </c>
      <c r="AY2026">
        <v>0</v>
      </c>
      <c r="AZ2026">
        <v>0</v>
      </c>
      <c r="BA2026">
        <v>0</v>
      </c>
      <c r="BB2026">
        <v>0</v>
      </c>
      <c r="BC2026">
        <v>0</v>
      </c>
      <c r="BD2026">
        <v>0</v>
      </c>
      <c r="BE2026">
        <v>0</v>
      </c>
      <c r="BF2026">
        <v>0</v>
      </c>
      <c r="BG2026">
        <v>0</v>
      </c>
      <c r="BH2026">
        <v>1</v>
      </c>
      <c r="BI2026">
        <v>6</v>
      </c>
      <c r="BJ2026">
        <v>10.1</v>
      </c>
      <c r="BK2026">
        <v>10.5</v>
      </c>
      <c r="BL2026">
        <v>376.1</v>
      </c>
      <c r="BM2026">
        <v>56.42</v>
      </c>
      <c r="BN2026">
        <v>432.52</v>
      </c>
      <c r="BO2026">
        <v>432.52</v>
      </c>
      <c r="BQ2026" t="s">
        <v>1718</v>
      </c>
      <c r="BR2026" t="s">
        <v>84</v>
      </c>
      <c r="BS2026" s="3">
        <v>45884</v>
      </c>
      <c r="BT2026" s="4">
        <v>0.40972222222222221</v>
      </c>
      <c r="BU2026" t="s">
        <v>2281</v>
      </c>
      <c r="BV2026" t="s">
        <v>86</v>
      </c>
      <c r="BY2026">
        <v>50490</v>
      </c>
      <c r="CA2026" t="s">
        <v>264</v>
      </c>
      <c r="CC2026" t="s">
        <v>138</v>
      </c>
      <c r="CD2026">
        <v>3610</v>
      </c>
      <c r="CE2026" t="s">
        <v>178</v>
      </c>
      <c r="CF2026" s="3">
        <v>45884</v>
      </c>
      <c r="CI2026">
        <v>1</v>
      </c>
      <c r="CJ2026">
        <v>1</v>
      </c>
      <c r="CK2026">
        <v>21</v>
      </c>
      <c r="CL2026" t="s">
        <v>90</v>
      </c>
    </row>
    <row r="2027" spans="1:90" x14ac:dyDescent="0.3">
      <c r="A2027" t="s">
        <v>72</v>
      </c>
      <c r="B2027" t="s">
        <v>73</v>
      </c>
      <c r="C2027" t="s">
        <v>74</v>
      </c>
      <c r="E2027" t="str">
        <f>"080067239874"</f>
        <v>080067239874</v>
      </c>
      <c r="F2027" s="3">
        <v>45883</v>
      </c>
      <c r="G2027">
        <v>202605</v>
      </c>
      <c r="H2027" t="s">
        <v>75</v>
      </c>
      <c r="I2027" t="s">
        <v>76</v>
      </c>
      <c r="J2027" t="s">
        <v>77</v>
      </c>
      <c r="K2027" t="s">
        <v>78</v>
      </c>
      <c r="L2027" t="s">
        <v>1254</v>
      </c>
      <c r="M2027" t="s">
        <v>1255</v>
      </c>
      <c r="N2027" t="s">
        <v>1256</v>
      </c>
      <c r="O2027" t="s">
        <v>82</v>
      </c>
      <c r="P2027" t="str">
        <f>"4170054734                    "</f>
        <v xml:space="preserve">4170054734                    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0</v>
      </c>
      <c r="AI2027">
        <v>0</v>
      </c>
      <c r="AJ2027"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Q2027">
        <v>44.73</v>
      </c>
      <c r="AR2027">
        <v>0</v>
      </c>
      <c r="AS2027">
        <v>0</v>
      </c>
      <c r="AT2027">
        <v>0</v>
      </c>
      <c r="AU2027">
        <v>0</v>
      </c>
      <c r="AV2027">
        <v>0</v>
      </c>
      <c r="AW2027">
        <v>0</v>
      </c>
      <c r="AX2027">
        <v>0</v>
      </c>
      <c r="AY2027">
        <v>0</v>
      </c>
      <c r="AZ2027">
        <v>0</v>
      </c>
      <c r="BA2027">
        <v>0</v>
      </c>
      <c r="BB2027">
        <v>0</v>
      </c>
      <c r="BC2027">
        <v>0</v>
      </c>
      <c r="BD2027">
        <v>0</v>
      </c>
      <c r="BE2027">
        <v>0</v>
      </c>
      <c r="BF2027">
        <v>0</v>
      </c>
      <c r="BG2027">
        <v>0</v>
      </c>
      <c r="BH2027">
        <v>1</v>
      </c>
      <c r="BI2027">
        <v>1</v>
      </c>
      <c r="BJ2027">
        <v>0.2</v>
      </c>
      <c r="BK2027">
        <v>1</v>
      </c>
      <c r="BL2027">
        <v>138.88999999999999</v>
      </c>
      <c r="BM2027">
        <v>20.83</v>
      </c>
      <c r="BN2027">
        <v>159.72</v>
      </c>
      <c r="BO2027">
        <v>159.72</v>
      </c>
      <c r="BQ2027" t="s">
        <v>1257</v>
      </c>
      <c r="BR2027" t="s">
        <v>84</v>
      </c>
      <c r="BS2027" s="3">
        <v>45884</v>
      </c>
      <c r="BT2027" s="4">
        <v>0.41666666666666669</v>
      </c>
      <c r="BU2027" t="s">
        <v>2620</v>
      </c>
      <c r="BV2027" t="s">
        <v>86</v>
      </c>
      <c r="BY2027">
        <v>1200</v>
      </c>
      <c r="CA2027" t="s">
        <v>1259</v>
      </c>
      <c r="CC2027" t="s">
        <v>1255</v>
      </c>
      <c r="CD2027">
        <v>3290</v>
      </c>
      <c r="CE2027" t="s">
        <v>109</v>
      </c>
      <c r="CF2027" s="3">
        <v>45885</v>
      </c>
      <c r="CI2027">
        <v>1</v>
      </c>
      <c r="CJ2027">
        <v>1</v>
      </c>
      <c r="CK2027">
        <v>23</v>
      </c>
      <c r="CL2027" t="s">
        <v>90</v>
      </c>
    </row>
    <row r="2028" spans="1:90" x14ac:dyDescent="0.3">
      <c r="A2028" t="s">
        <v>72</v>
      </c>
      <c r="B2028" t="s">
        <v>73</v>
      </c>
      <c r="C2028" t="s">
        <v>74</v>
      </c>
      <c r="E2028" t="str">
        <f>"080067239889"</f>
        <v>080067239889</v>
      </c>
      <c r="F2028" s="3">
        <v>45883</v>
      </c>
      <c r="G2028">
        <v>202605</v>
      </c>
      <c r="H2028" t="s">
        <v>75</v>
      </c>
      <c r="I2028" t="s">
        <v>76</v>
      </c>
      <c r="J2028" t="s">
        <v>77</v>
      </c>
      <c r="K2028" t="s">
        <v>78</v>
      </c>
      <c r="L2028" t="s">
        <v>179</v>
      </c>
      <c r="M2028" t="s">
        <v>180</v>
      </c>
      <c r="N2028" t="s">
        <v>275</v>
      </c>
      <c r="O2028" t="s">
        <v>82</v>
      </c>
      <c r="P2028" t="str">
        <f>"4170054756                    "</f>
        <v xml:space="preserve">4170054756                    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0</v>
      </c>
      <c r="AI2028">
        <v>0</v>
      </c>
      <c r="AJ2028">
        <v>0</v>
      </c>
      <c r="AK2028">
        <v>0</v>
      </c>
      <c r="AL2028">
        <v>0</v>
      </c>
      <c r="AM2028">
        <v>0</v>
      </c>
      <c r="AN2028">
        <v>0</v>
      </c>
      <c r="AO2028">
        <v>0</v>
      </c>
      <c r="AP2028">
        <v>0</v>
      </c>
      <c r="AQ2028">
        <v>32.47</v>
      </c>
      <c r="AR2028">
        <v>0</v>
      </c>
      <c r="AS2028">
        <v>0</v>
      </c>
      <c r="AT2028">
        <v>0</v>
      </c>
      <c r="AU2028">
        <v>0</v>
      </c>
      <c r="AV2028">
        <v>0</v>
      </c>
      <c r="AW2028">
        <v>0</v>
      </c>
      <c r="AX2028">
        <v>0</v>
      </c>
      <c r="AY2028">
        <v>0</v>
      </c>
      <c r="AZ2028">
        <v>0</v>
      </c>
      <c r="BA2028">
        <v>0</v>
      </c>
      <c r="BB2028">
        <v>0</v>
      </c>
      <c r="BC2028">
        <v>0</v>
      </c>
      <c r="BD2028">
        <v>0</v>
      </c>
      <c r="BE2028">
        <v>0</v>
      </c>
      <c r="BF2028">
        <v>0</v>
      </c>
      <c r="BG2028">
        <v>0</v>
      </c>
      <c r="BH2028">
        <v>1</v>
      </c>
      <c r="BI2028">
        <v>1</v>
      </c>
      <c r="BJ2028">
        <v>0.2</v>
      </c>
      <c r="BK2028">
        <v>1</v>
      </c>
      <c r="BL2028">
        <v>100.82</v>
      </c>
      <c r="BM2028">
        <v>15.12</v>
      </c>
      <c r="BN2028">
        <v>115.94</v>
      </c>
      <c r="BO2028">
        <v>115.94</v>
      </c>
      <c r="BQ2028" t="s">
        <v>276</v>
      </c>
      <c r="BR2028" t="s">
        <v>84</v>
      </c>
      <c r="BS2028" s="3">
        <v>45884</v>
      </c>
      <c r="BT2028" s="4">
        <v>0.37777777777777777</v>
      </c>
      <c r="BU2028" t="s">
        <v>1658</v>
      </c>
      <c r="BV2028" t="s">
        <v>86</v>
      </c>
      <c r="BY2028">
        <v>1200</v>
      </c>
      <c r="CA2028" t="s">
        <v>184</v>
      </c>
      <c r="CC2028" t="s">
        <v>180</v>
      </c>
      <c r="CD2028">
        <v>1748</v>
      </c>
      <c r="CE2028" t="s">
        <v>109</v>
      </c>
      <c r="CF2028" s="3">
        <v>45885</v>
      </c>
      <c r="CI2028">
        <v>1</v>
      </c>
      <c r="CJ2028">
        <v>1</v>
      </c>
      <c r="CK2028">
        <v>24</v>
      </c>
      <c r="CL2028" t="s">
        <v>90</v>
      </c>
    </row>
    <row r="2029" spans="1:90" x14ac:dyDescent="0.3">
      <c r="A2029" t="s">
        <v>72</v>
      </c>
      <c r="B2029" t="s">
        <v>73</v>
      </c>
      <c r="C2029" t="s">
        <v>74</v>
      </c>
      <c r="E2029" t="str">
        <f>"080067239907"</f>
        <v>080067239907</v>
      </c>
      <c r="F2029" s="3">
        <v>45883</v>
      </c>
      <c r="G2029">
        <v>202605</v>
      </c>
      <c r="H2029" t="s">
        <v>75</v>
      </c>
      <c r="I2029" t="s">
        <v>76</v>
      </c>
      <c r="J2029" t="s">
        <v>77</v>
      </c>
      <c r="K2029" t="s">
        <v>78</v>
      </c>
      <c r="L2029" t="s">
        <v>223</v>
      </c>
      <c r="M2029" t="s">
        <v>224</v>
      </c>
      <c r="N2029" t="s">
        <v>225</v>
      </c>
      <c r="O2029" t="s">
        <v>82</v>
      </c>
      <c r="P2029" t="str">
        <f>"4170054749                    "</f>
        <v xml:space="preserve">4170054749                    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0</v>
      </c>
      <c r="AI2029">
        <v>0</v>
      </c>
      <c r="AJ2029">
        <v>0</v>
      </c>
      <c r="AK2029">
        <v>0</v>
      </c>
      <c r="AL2029">
        <v>0</v>
      </c>
      <c r="AM2029">
        <v>0</v>
      </c>
      <c r="AN2029">
        <v>0</v>
      </c>
      <c r="AO2029">
        <v>0</v>
      </c>
      <c r="AP2029">
        <v>0</v>
      </c>
      <c r="AQ2029">
        <v>23.09</v>
      </c>
      <c r="AR2029">
        <v>0</v>
      </c>
      <c r="AS2029">
        <v>0</v>
      </c>
      <c r="AT2029">
        <v>0</v>
      </c>
      <c r="AU2029">
        <v>0</v>
      </c>
      <c r="AV2029">
        <v>0</v>
      </c>
      <c r="AW2029">
        <v>0</v>
      </c>
      <c r="AX2029">
        <v>0</v>
      </c>
      <c r="AY2029">
        <v>0</v>
      </c>
      <c r="AZ2029">
        <v>0</v>
      </c>
      <c r="BA2029">
        <v>0</v>
      </c>
      <c r="BB2029">
        <v>0</v>
      </c>
      <c r="BC2029">
        <v>0</v>
      </c>
      <c r="BD2029">
        <v>0</v>
      </c>
      <c r="BE2029">
        <v>0</v>
      </c>
      <c r="BF2029">
        <v>0</v>
      </c>
      <c r="BG2029">
        <v>0</v>
      </c>
      <c r="BH2029">
        <v>1</v>
      </c>
      <c r="BI2029">
        <v>1</v>
      </c>
      <c r="BJ2029">
        <v>0.2</v>
      </c>
      <c r="BK2029">
        <v>1</v>
      </c>
      <c r="BL2029">
        <v>71.69</v>
      </c>
      <c r="BM2029">
        <v>10.75</v>
      </c>
      <c r="BN2029">
        <v>82.44</v>
      </c>
      <c r="BO2029">
        <v>82.44</v>
      </c>
      <c r="BQ2029" t="s">
        <v>226</v>
      </c>
      <c r="BR2029" t="s">
        <v>84</v>
      </c>
      <c r="BS2029" s="3">
        <v>45884</v>
      </c>
      <c r="BT2029" s="4">
        <v>0.48888888888888887</v>
      </c>
      <c r="BU2029" t="s">
        <v>1339</v>
      </c>
      <c r="BV2029" t="s">
        <v>90</v>
      </c>
      <c r="BY2029">
        <v>1200</v>
      </c>
      <c r="CA2029" t="s">
        <v>228</v>
      </c>
      <c r="CC2029" t="s">
        <v>224</v>
      </c>
      <c r="CD2029">
        <v>5201</v>
      </c>
      <c r="CE2029" t="s">
        <v>109</v>
      </c>
      <c r="CF2029" s="3">
        <v>45884</v>
      </c>
      <c r="CI2029">
        <v>1</v>
      </c>
      <c r="CJ2029">
        <v>1</v>
      </c>
      <c r="CK2029">
        <v>21</v>
      </c>
      <c r="CL2029" t="s">
        <v>90</v>
      </c>
    </row>
    <row r="2030" spans="1:90" x14ac:dyDescent="0.3">
      <c r="A2030" t="s">
        <v>72</v>
      </c>
      <c r="B2030" t="s">
        <v>73</v>
      </c>
      <c r="C2030" t="s">
        <v>74</v>
      </c>
      <c r="E2030" t="str">
        <f>"080067240685"</f>
        <v>080067240685</v>
      </c>
      <c r="F2030" s="3">
        <v>45883</v>
      </c>
      <c r="G2030">
        <v>202605</v>
      </c>
      <c r="H2030" t="s">
        <v>75</v>
      </c>
      <c r="I2030" t="s">
        <v>76</v>
      </c>
      <c r="J2030" t="s">
        <v>77</v>
      </c>
      <c r="K2030" t="s">
        <v>78</v>
      </c>
      <c r="L2030" t="s">
        <v>278</v>
      </c>
      <c r="M2030" t="s">
        <v>279</v>
      </c>
      <c r="N2030" t="s">
        <v>749</v>
      </c>
      <c r="O2030" t="s">
        <v>82</v>
      </c>
      <c r="P2030" t="str">
        <f>"4170054405                    "</f>
        <v xml:space="preserve">4170054405                    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0</v>
      </c>
      <c r="AI2030">
        <v>0</v>
      </c>
      <c r="AJ2030">
        <v>0</v>
      </c>
      <c r="AK2030">
        <v>0</v>
      </c>
      <c r="AL2030">
        <v>0</v>
      </c>
      <c r="AM2030">
        <v>0</v>
      </c>
      <c r="AN2030">
        <v>0</v>
      </c>
      <c r="AO2030">
        <v>0</v>
      </c>
      <c r="AP2030">
        <v>0</v>
      </c>
      <c r="AQ2030">
        <v>23.09</v>
      </c>
      <c r="AR2030">
        <v>0</v>
      </c>
      <c r="AS2030">
        <v>0</v>
      </c>
      <c r="AT2030">
        <v>0</v>
      </c>
      <c r="AU2030">
        <v>0</v>
      </c>
      <c r="AV2030">
        <v>0</v>
      </c>
      <c r="AW2030">
        <v>0</v>
      </c>
      <c r="AX2030">
        <v>0</v>
      </c>
      <c r="AY2030">
        <v>0</v>
      </c>
      <c r="AZ2030">
        <v>0</v>
      </c>
      <c r="BA2030">
        <v>0</v>
      </c>
      <c r="BB2030">
        <v>0</v>
      </c>
      <c r="BC2030">
        <v>0</v>
      </c>
      <c r="BD2030">
        <v>0</v>
      </c>
      <c r="BE2030">
        <v>0</v>
      </c>
      <c r="BF2030">
        <v>0</v>
      </c>
      <c r="BG2030">
        <v>0</v>
      </c>
      <c r="BH2030">
        <v>1</v>
      </c>
      <c r="BI2030">
        <v>1</v>
      </c>
      <c r="BJ2030">
        <v>0.2</v>
      </c>
      <c r="BK2030">
        <v>1</v>
      </c>
      <c r="BL2030">
        <v>71.69</v>
      </c>
      <c r="BM2030">
        <v>10.75</v>
      </c>
      <c r="BN2030">
        <v>82.44</v>
      </c>
      <c r="BO2030">
        <v>82.44</v>
      </c>
      <c r="BQ2030" t="s">
        <v>750</v>
      </c>
      <c r="BR2030" t="s">
        <v>84</v>
      </c>
      <c r="BS2030" s="3">
        <v>45884</v>
      </c>
      <c r="BT2030" s="4">
        <v>0.42777777777777776</v>
      </c>
      <c r="BU2030" t="s">
        <v>2392</v>
      </c>
      <c r="BV2030" t="s">
        <v>86</v>
      </c>
      <c r="BY2030">
        <v>1200</v>
      </c>
      <c r="CA2030" t="s">
        <v>283</v>
      </c>
      <c r="CC2030" t="s">
        <v>279</v>
      </c>
      <c r="CD2030" s="5" t="s">
        <v>753</v>
      </c>
      <c r="CE2030" t="s">
        <v>109</v>
      </c>
      <c r="CF2030" s="3">
        <v>45884</v>
      </c>
      <c r="CI2030">
        <v>1</v>
      </c>
      <c r="CJ2030">
        <v>1</v>
      </c>
      <c r="CK2030">
        <v>21</v>
      </c>
      <c r="CL2030" t="s">
        <v>90</v>
      </c>
    </row>
    <row r="2031" spans="1:90" x14ac:dyDescent="0.3">
      <c r="A2031" t="s">
        <v>72</v>
      </c>
      <c r="B2031" t="s">
        <v>73</v>
      </c>
      <c r="C2031" t="s">
        <v>74</v>
      </c>
      <c r="E2031" t="str">
        <f>"080067240750"</f>
        <v>080067240750</v>
      </c>
      <c r="F2031" s="3">
        <v>45883</v>
      </c>
      <c r="G2031">
        <v>202605</v>
      </c>
      <c r="H2031" t="s">
        <v>75</v>
      </c>
      <c r="I2031" t="s">
        <v>76</v>
      </c>
      <c r="J2031" t="s">
        <v>77</v>
      </c>
      <c r="K2031" t="s">
        <v>78</v>
      </c>
      <c r="L2031" t="s">
        <v>319</v>
      </c>
      <c r="M2031" t="s">
        <v>320</v>
      </c>
      <c r="N2031" t="s">
        <v>321</v>
      </c>
      <c r="O2031" t="s">
        <v>82</v>
      </c>
      <c r="P2031" t="str">
        <f>"4170054453                    "</f>
        <v xml:space="preserve">4170054453                    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0</v>
      </c>
      <c r="AL2031">
        <v>0</v>
      </c>
      <c r="AM2031">
        <v>0</v>
      </c>
      <c r="AN2031">
        <v>0</v>
      </c>
      <c r="AO2031">
        <v>0</v>
      </c>
      <c r="AP2031">
        <v>0</v>
      </c>
      <c r="AQ2031">
        <v>44.73</v>
      </c>
      <c r="AR2031">
        <v>0</v>
      </c>
      <c r="AS2031">
        <v>0</v>
      </c>
      <c r="AT2031">
        <v>0</v>
      </c>
      <c r="AU2031">
        <v>0</v>
      </c>
      <c r="AV2031">
        <v>0</v>
      </c>
      <c r="AW2031">
        <v>0</v>
      </c>
      <c r="AX2031">
        <v>0</v>
      </c>
      <c r="AY2031">
        <v>0</v>
      </c>
      <c r="AZ2031">
        <v>0</v>
      </c>
      <c r="BA2031">
        <v>0</v>
      </c>
      <c r="BB2031">
        <v>0</v>
      </c>
      <c r="BC2031">
        <v>0</v>
      </c>
      <c r="BD2031">
        <v>0</v>
      </c>
      <c r="BE2031">
        <v>0</v>
      </c>
      <c r="BF2031">
        <v>0</v>
      </c>
      <c r="BG2031">
        <v>0</v>
      </c>
      <c r="BH2031">
        <v>1</v>
      </c>
      <c r="BI2031">
        <v>1</v>
      </c>
      <c r="BJ2031">
        <v>0.2</v>
      </c>
      <c r="BK2031">
        <v>1</v>
      </c>
      <c r="BL2031">
        <v>138.88999999999999</v>
      </c>
      <c r="BM2031">
        <v>20.83</v>
      </c>
      <c r="BN2031">
        <v>159.72</v>
      </c>
      <c r="BO2031">
        <v>159.72</v>
      </c>
      <c r="BQ2031" t="s">
        <v>322</v>
      </c>
      <c r="BR2031" t="s">
        <v>84</v>
      </c>
      <c r="BS2031" s="3">
        <v>45884</v>
      </c>
      <c r="BT2031" s="4">
        <v>0.48125000000000001</v>
      </c>
      <c r="BU2031" t="s">
        <v>2213</v>
      </c>
      <c r="BV2031" t="s">
        <v>86</v>
      </c>
      <c r="BY2031">
        <v>1200</v>
      </c>
      <c r="CA2031" t="s">
        <v>324</v>
      </c>
      <c r="CC2031" t="s">
        <v>320</v>
      </c>
      <c r="CD2031">
        <v>2531</v>
      </c>
      <c r="CE2031" t="s">
        <v>109</v>
      </c>
      <c r="CF2031" s="3">
        <v>45887</v>
      </c>
      <c r="CI2031">
        <v>1</v>
      </c>
      <c r="CJ2031">
        <v>1</v>
      </c>
      <c r="CK2031">
        <v>23</v>
      </c>
      <c r="CL2031" t="s">
        <v>90</v>
      </c>
    </row>
    <row r="2032" spans="1:90" x14ac:dyDescent="0.3">
      <c r="A2032" t="s">
        <v>72</v>
      </c>
      <c r="B2032" t="s">
        <v>73</v>
      </c>
      <c r="C2032" t="s">
        <v>74</v>
      </c>
      <c r="E2032" t="str">
        <f>"080067247452"</f>
        <v>080067247452</v>
      </c>
      <c r="F2032" s="3">
        <v>45883</v>
      </c>
      <c r="G2032">
        <v>202605</v>
      </c>
      <c r="H2032" t="s">
        <v>75</v>
      </c>
      <c r="I2032" t="s">
        <v>76</v>
      </c>
      <c r="J2032" t="s">
        <v>77</v>
      </c>
      <c r="K2032" t="s">
        <v>78</v>
      </c>
      <c r="L2032" t="s">
        <v>129</v>
      </c>
      <c r="M2032" t="s">
        <v>130</v>
      </c>
      <c r="N2032" t="s">
        <v>131</v>
      </c>
      <c r="O2032" t="s">
        <v>82</v>
      </c>
      <c r="P2032" t="str">
        <f>"4170054884                    "</f>
        <v xml:space="preserve">4170054884                    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0</v>
      </c>
      <c r="AI2032">
        <v>0</v>
      </c>
      <c r="AJ2032">
        <v>0</v>
      </c>
      <c r="AK2032">
        <v>0</v>
      </c>
      <c r="AL2032">
        <v>0</v>
      </c>
      <c r="AM2032">
        <v>0</v>
      </c>
      <c r="AN2032">
        <v>0</v>
      </c>
      <c r="AO2032">
        <v>0</v>
      </c>
      <c r="AP2032">
        <v>0</v>
      </c>
      <c r="AQ2032">
        <v>138.41999999999999</v>
      </c>
      <c r="AR2032">
        <v>0</v>
      </c>
      <c r="AS2032">
        <v>0</v>
      </c>
      <c r="AT2032">
        <v>0</v>
      </c>
      <c r="AU2032">
        <v>0</v>
      </c>
      <c r="AV2032">
        <v>0</v>
      </c>
      <c r="AW2032">
        <v>0</v>
      </c>
      <c r="AX2032">
        <v>0</v>
      </c>
      <c r="AY2032">
        <v>0</v>
      </c>
      <c r="AZ2032">
        <v>0</v>
      </c>
      <c r="BA2032">
        <v>0</v>
      </c>
      <c r="BB2032">
        <v>0</v>
      </c>
      <c r="BC2032">
        <v>0</v>
      </c>
      <c r="BD2032">
        <v>0</v>
      </c>
      <c r="BE2032">
        <v>0</v>
      </c>
      <c r="BF2032">
        <v>0</v>
      </c>
      <c r="BG2032">
        <v>0</v>
      </c>
      <c r="BH2032">
        <v>1</v>
      </c>
      <c r="BI2032">
        <v>12</v>
      </c>
      <c r="BJ2032">
        <v>3.4</v>
      </c>
      <c r="BK2032">
        <v>12</v>
      </c>
      <c r="BL2032">
        <v>429.82</v>
      </c>
      <c r="BM2032">
        <v>64.47</v>
      </c>
      <c r="BN2032">
        <v>494.29</v>
      </c>
      <c r="BO2032">
        <v>494.29</v>
      </c>
      <c r="BQ2032" t="s">
        <v>132</v>
      </c>
      <c r="BR2032" t="s">
        <v>84</v>
      </c>
      <c r="BS2032" s="3">
        <v>45884</v>
      </c>
      <c r="BT2032" s="4">
        <v>0.4236111111111111</v>
      </c>
      <c r="BU2032" t="s">
        <v>133</v>
      </c>
      <c r="BV2032" t="s">
        <v>86</v>
      </c>
      <c r="BY2032">
        <v>16965</v>
      </c>
      <c r="CA2032" s="5" t="s">
        <v>2621</v>
      </c>
      <c r="CC2032" t="s">
        <v>130</v>
      </c>
      <c r="CD2032">
        <v>4133</v>
      </c>
      <c r="CE2032" t="s">
        <v>178</v>
      </c>
      <c r="CF2032" s="3">
        <v>45885</v>
      </c>
      <c r="CI2032">
        <v>1</v>
      </c>
      <c r="CJ2032">
        <v>1</v>
      </c>
      <c r="CK2032">
        <v>21</v>
      </c>
      <c r="CL2032" t="s">
        <v>90</v>
      </c>
    </row>
    <row r="2033" spans="1:90" x14ac:dyDescent="0.3">
      <c r="A2033" t="s">
        <v>72</v>
      </c>
      <c r="B2033" t="s">
        <v>73</v>
      </c>
      <c r="C2033" t="s">
        <v>74</v>
      </c>
      <c r="E2033" t="str">
        <f>"080067247458"</f>
        <v>080067247458</v>
      </c>
      <c r="F2033" s="3">
        <v>45883</v>
      </c>
      <c r="G2033">
        <v>202605</v>
      </c>
      <c r="H2033" t="s">
        <v>75</v>
      </c>
      <c r="I2033" t="s">
        <v>76</v>
      </c>
      <c r="J2033" t="s">
        <v>77</v>
      </c>
      <c r="K2033" t="s">
        <v>78</v>
      </c>
      <c r="L2033" t="s">
        <v>75</v>
      </c>
      <c r="M2033" t="s">
        <v>76</v>
      </c>
      <c r="N2033" t="s">
        <v>537</v>
      </c>
      <c r="O2033" t="s">
        <v>82</v>
      </c>
      <c r="P2033" t="str">
        <f>"4170054990                    "</f>
        <v xml:space="preserve">4170054990                    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0</v>
      </c>
      <c r="AI2033">
        <v>0</v>
      </c>
      <c r="AJ2033">
        <v>0</v>
      </c>
      <c r="AK2033">
        <v>0</v>
      </c>
      <c r="AL2033">
        <v>0</v>
      </c>
      <c r="AM2033">
        <v>0</v>
      </c>
      <c r="AN2033">
        <v>0</v>
      </c>
      <c r="AO2033">
        <v>0</v>
      </c>
      <c r="AP2033">
        <v>0</v>
      </c>
      <c r="AQ2033">
        <v>18.03</v>
      </c>
      <c r="AR2033">
        <v>0</v>
      </c>
      <c r="AS2033">
        <v>0</v>
      </c>
      <c r="AT2033">
        <v>0</v>
      </c>
      <c r="AU2033">
        <v>0</v>
      </c>
      <c r="AV2033">
        <v>0</v>
      </c>
      <c r="AW2033">
        <v>0</v>
      </c>
      <c r="AX2033">
        <v>0</v>
      </c>
      <c r="AY2033">
        <v>0</v>
      </c>
      <c r="AZ2033">
        <v>0</v>
      </c>
      <c r="BA2033">
        <v>0</v>
      </c>
      <c r="BB2033">
        <v>0</v>
      </c>
      <c r="BC2033">
        <v>0</v>
      </c>
      <c r="BD2033">
        <v>0</v>
      </c>
      <c r="BE2033">
        <v>0</v>
      </c>
      <c r="BF2033">
        <v>0</v>
      </c>
      <c r="BG2033">
        <v>0</v>
      </c>
      <c r="BH2033">
        <v>1</v>
      </c>
      <c r="BI2033">
        <v>1</v>
      </c>
      <c r="BJ2033">
        <v>0.2</v>
      </c>
      <c r="BK2033">
        <v>1</v>
      </c>
      <c r="BL2033">
        <v>55.99</v>
      </c>
      <c r="BM2033">
        <v>8.4</v>
      </c>
      <c r="BN2033">
        <v>64.39</v>
      </c>
      <c r="BO2033">
        <v>64.39</v>
      </c>
      <c r="BQ2033" t="s">
        <v>538</v>
      </c>
      <c r="BR2033" t="s">
        <v>84</v>
      </c>
      <c r="BS2033" s="3">
        <v>45884</v>
      </c>
      <c r="BT2033" s="4">
        <v>0.39583333333333331</v>
      </c>
      <c r="BU2033" t="s">
        <v>1747</v>
      </c>
      <c r="BV2033" t="s">
        <v>86</v>
      </c>
      <c r="BY2033">
        <v>1200</v>
      </c>
      <c r="CA2033" t="s">
        <v>739</v>
      </c>
      <c r="CC2033" t="s">
        <v>76</v>
      </c>
      <c r="CD2033">
        <v>1619</v>
      </c>
      <c r="CE2033" t="s">
        <v>178</v>
      </c>
      <c r="CF2033" s="3">
        <v>45884</v>
      </c>
      <c r="CI2033">
        <v>1</v>
      </c>
      <c r="CJ2033">
        <v>1</v>
      </c>
      <c r="CK2033">
        <v>22</v>
      </c>
      <c r="CL2033" t="s">
        <v>90</v>
      </c>
    </row>
    <row r="2034" spans="1:90" x14ac:dyDescent="0.3">
      <c r="A2034" t="s">
        <v>72</v>
      </c>
      <c r="B2034" t="s">
        <v>73</v>
      </c>
      <c r="C2034" t="s">
        <v>74</v>
      </c>
      <c r="E2034" t="str">
        <f>"080011590412"</f>
        <v>080011590412</v>
      </c>
      <c r="F2034" s="3">
        <v>45883</v>
      </c>
      <c r="G2034">
        <v>202605</v>
      </c>
      <c r="H2034" t="s">
        <v>297</v>
      </c>
      <c r="I2034" t="s">
        <v>298</v>
      </c>
      <c r="J2034" t="s">
        <v>2622</v>
      </c>
      <c r="K2034" t="s">
        <v>78</v>
      </c>
      <c r="L2034" t="s">
        <v>75</v>
      </c>
      <c r="M2034" t="s">
        <v>76</v>
      </c>
      <c r="N2034" t="s">
        <v>94</v>
      </c>
      <c r="O2034" t="s">
        <v>95</v>
      </c>
      <c r="P2034" t="str">
        <f>"ZA1001403082                  "</f>
        <v xml:space="preserve">ZA1001403082                  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0</v>
      </c>
      <c r="AI2034">
        <v>0</v>
      </c>
      <c r="AJ2034">
        <v>0</v>
      </c>
      <c r="AK2034">
        <v>0</v>
      </c>
      <c r="AL2034">
        <v>0</v>
      </c>
      <c r="AM2034">
        <v>0</v>
      </c>
      <c r="AN2034">
        <v>0</v>
      </c>
      <c r="AO2034">
        <v>0</v>
      </c>
      <c r="AP2034">
        <v>0</v>
      </c>
      <c r="AQ2034">
        <v>44.64</v>
      </c>
      <c r="AR2034">
        <v>0</v>
      </c>
      <c r="AS2034">
        <v>0</v>
      </c>
      <c r="AT2034">
        <v>0</v>
      </c>
      <c r="AU2034">
        <v>0</v>
      </c>
      <c r="AV2034">
        <v>0</v>
      </c>
      <c r="AW2034">
        <v>0</v>
      </c>
      <c r="AX2034">
        <v>0</v>
      </c>
      <c r="AY2034">
        <v>0</v>
      </c>
      <c r="AZ2034">
        <v>0</v>
      </c>
      <c r="BA2034">
        <v>0</v>
      </c>
      <c r="BB2034">
        <v>0</v>
      </c>
      <c r="BC2034">
        <v>0</v>
      </c>
      <c r="BD2034">
        <v>0</v>
      </c>
      <c r="BE2034">
        <v>0</v>
      </c>
      <c r="BF2034">
        <v>0</v>
      </c>
      <c r="BG2034">
        <v>0</v>
      </c>
      <c r="BH2034">
        <v>1</v>
      </c>
      <c r="BI2034">
        <v>1.5</v>
      </c>
      <c r="BJ2034">
        <v>0.2</v>
      </c>
      <c r="BK2034">
        <v>2</v>
      </c>
      <c r="BL2034">
        <v>144.49</v>
      </c>
      <c r="BM2034">
        <v>21.67</v>
      </c>
      <c r="BN2034">
        <v>166.16</v>
      </c>
      <c r="BO2034">
        <v>166.16</v>
      </c>
      <c r="BP2034" t="s">
        <v>96</v>
      </c>
      <c r="BQ2034" t="s">
        <v>97</v>
      </c>
      <c r="BR2034" t="s">
        <v>2623</v>
      </c>
      <c r="BS2034" s="3">
        <v>45887</v>
      </c>
      <c r="BT2034" s="4">
        <v>0.38750000000000001</v>
      </c>
      <c r="BU2034" t="s">
        <v>2624</v>
      </c>
      <c r="BV2034" t="s">
        <v>90</v>
      </c>
      <c r="BW2034" t="s">
        <v>380</v>
      </c>
      <c r="BX2034" t="s">
        <v>1742</v>
      </c>
      <c r="BY2034">
        <v>1200</v>
      </c>
      <c r="BZ2034" t="s">
        <v>100</v>
      </c>
      <c r="CA2034" t="s">
        <v>1743</v>
      </c>
      <c r="CC2034" t="s">
        <v>76</v>
      </c>
      <c r="CD2034">
        <v>1619</v>
      </c>
      <c r="CE2034" t="s">
        <v>102</v>
      </c>
      <c r="CF2034" s="3">
        <v>45887</v>
      </c>
      <c r="CI2034">
        <v>1</v>
      </c>
      <c r="CJ2034">
        <v>2</v>
      </c>
      <c r="CK2034">
        <v>41</v>
      </c>
      <c r="CL2034" t="s">
        <v>90</v>
      </c>
    </row>
    <row r="2035" spans="1:90" x14ac:dyDescent="0.3">
      <c r="A2035" t="s">
        <v>72</v>
      </c>
      <c r="B2035" t="s">
        <v>73</v>
      </c>
      <c r="C2035" t="s">
        <v>74</v>
      </c>
      <c r="E2035" t="str">
        <f>"080067245510"</f>
        <v>080067245510</v>
      </c>
      <c r="F2035" s="3">
        <v>45883</v>
      </c>
      <c r="G2035">
        <v>202605</v>
      </c>
      <c r="H2035" t="s">
        <v>75</v>
      </c>
      <c r="I2035" t="s">
        <v>76</v>
      </c>
      <c r="J2035" t="s">
        <v>77</v>
      </c>
      <c r="K2035" t="s">
        <v>78</v>
      </c>
      <c r="L2035" t="s">
        <v>198</v>
      </c>
      <c r="M2035" t="s">
        <v>199</v>
      </c>
      <c r="N2035" t="s">
        <v>430</v>
      </c>
      <c r="O2035" t="s">
        <v>82</v>
      </c>
      <c r="P2035" t="str">
        <f>"4170054944                    "</f>
        <v xml:space="preserve">4170054944                    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0</v>
      </c>
      <c r="AI2035">
        <v>0</v>
      </c>
      <c r="AJ2035">
        <v>0</v>
      </c>
      <c r="AK2035">
        <v>0</v>
      </c>
      <c r="AL2035">
        <v>0</v>
      </c>
      <c r="AM2035">
        <v>0</v>
      </c>
      <c r="AN2035">
        <v>0</v>
      </c>
      <c r="AO2035">
        <v>0</v>
      </c>
      <c r="AP2035">
        <v>0</v>
      </c>
      <c r="AQ2035">
        <v>34.619999999999997</v>
      </c>
      <c r="AR2035">
        <v>0</v>
      </c>
      <c r="AS2035">
        <v>0</v>
      </c>
      <c r="AT2035">
        <v>0</v>
      </c>
      <c r="AU2035">
        <v>0</v>
      </c>
      <c r="AV2035">
        <v>0</v>
      </c>
      <c r="AW2035">
        <v>0</v>
      </c>
      <c r="AX2035">
        <v>0</v>
      </c>
      <c r="AY2035">
        <v>0</v>
      </c>
      <c r="AZ2035">
        <v>0</v>
      </c>
      <c r="BA2035">
        <v>0</v>
      </c>
      <c r="BB2035">
        <v>0</v>
      </c>
      <c r="BC2035">
        <v>0</v>
      </c>
      <c r="BD2035">
        <v>0</v>
      </c>
      <c r="BE2035">
        <v>0</v>
      </c>
      <c r="BF2035">
        <v>0</v>
      </c>
      <c r="BG2035">
        <v>0</v>
      </c>
      <c r="BH2035">
        <v>1</v>
      </c>
      <c r="BI2035">
        <v>3</v>
      </c>
      <c r="BJ2035">
        <v>1.7</v>
      </c>
      <c r="BK2035">
        <v>3</v>
      </c>
      <c r="BL2035">
        <v>107.5</v>
      </c>
      <c r="BM2035">
        <v>16.13</v>
      </c>
      <c r="BN2035">
        <v>123.63</v>
      </c>
      <c r="BO2035">
        <v>123.63</v>
      </c>
      <c r="BQ2035" t="s">
        <v>431</v>
      </c>
      <c r="BR2035" t="s">
        <v>84</v>
      </c>
      <c r="BS2035" s="3">
        <v>45884</v>
      </c>
      <c r="BT2035" s="4">
        <v>0.37847222222222221</v>
      </c>
      <c r="BU2035" t="s">
        <v>432</v>
      </c>
      <c r="BV2035" t="s">
        <v>86</v>
      </c>
      <c r="BY2035">
        <v>8512</v>
      </c>
      <c r="CA2035" t="s">
        <v>433</v>
      </c>
      <c r="CC2035" t="s">
        <v>199</v>
      </c>
      <c r="CD2035">
        <v>6001</v>
      </c>
      <c r="CE2035" t="s">
        <v>147</v>
      </c>
      <c r="CF2035" s="3">
        <v>45884</v>
      </c>
      <c r="CI2035">
        <v>1</v>
      </c>
      <c r="CJ2035">
        <v>1</v>
      </c>
      <c r="CK2035">
        <v>21</v>
      </c>
      <c r="CL2035" t="s">
        <v>90</v>
      </c>
    </row>
    <row r="2036" spans="1:90" x14ac:dyDescent="0.3">
      <c r="A2036" t="s">
        <v>72</v>
      </c>
      <c r="B2036" t="s">
        <v>73</v>
      </c>
      <c r="C2036" t="s">
        <v>74</v>
      </c>
      <c r="E2036" t="str">
        <f>"080011594620"</f>
        <v>080011594620</v>
      </c>
      <c r="F2036" s="3">
        <v>45883</v>
      </c>
      <c r="G2036">
        <v>202605</v>
      </c>
      <c r="H2036" t="s">
        <v>75</v>
      </c>
      <c r="I2036" t="s">
        <v>76</v>
      </c>
      <c r="J2036" t="s">
        <v>2625</v>
      </c>
      <c r="K2036" t="s">
        <v>78</v>
      </c>
      <c r="L2036" t="s">
        <v>75</v>
      </c>
      <c r="M2036" t="s">
        <v>76</v>
      </c>
      <c r="N2036" t="s">
        <v>94</v>
      </c>
      <c r="O2036" t="s">
        <v>82</v>
      </c>
      <c r="P2036" t="str">
        <f>"ZA1001401827                  "</f>
        <v xml:space="preserve">ZA1001401827                  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0</v>
      </c>
      <c r="AI2036">
        <v>0</v>
      </c>
      <c r="AJ2036">
        <v>0</v>
      </c>
      <c r="AK2036">
        <v>0</v>
      </c>
      <c r="AL2036">
        <v>0</v>
      </c>
      <c r="AM2036">
        <v>0</v>
      </c>
      <c r="AN2036">
        <v>0</v>
      </c>
      <c r="AO2036">
        <v>0</v>
      </c>
      <c r="AP2036">
        <v>0</v>
      </c>
      <c r="AQ2036">
        <v>18.03</v>
      </c>
      <c r="AR2036">
        <v>0</v>
      </c>
      <c r="AS2036">
        <v>0</v>
      </c>
      <c r="AT2036">
        <v>0</v>
      </c>
      <c r="AU2036">
        <v>0</v>
      </c>
      <c r="AV2036">
        <v>0</v>
      </c>
      <c r="AW2036">
        <v>0</v>
      </c>
      <c r="AX2036">
        <v>0</v>
      </c>
      <c r="AY2036">
        <v>0</v>
      </c>
      <c r="AZ2036">
        <v>0</v>
      </c>
      <c r="BA2036">
        <v>0</v>
      </c>
      <c r="BB2036">
        <v>0</v>
      </c>
      <c r="BC2036">
        <v>0</v>
      </c>
      <c r="BD2036">
        <v>0</v>
      </c>
      <c r="BE2036">
        <v>0</v>
      </c>
      <c r="BF2036">
        <v>0</v>
      </c>
      <c r="BG2036">
        <v>0</v>
      </c>
      <c r="BH2036">
        <v>1</v>
      </c>
      <c r="BI2036">
        <v>3</v>
      </c>
      <c r="BJ2036">
        <v>2.2000000000000002</v>
      </c>
      <c r="BK2036">
        <v>3</v>
      </c>
      <c r="BL2036">
        <v>55.99</v>
      </c>
      <c r="BM2036">
        <v>8.4</v>
      </c>
      <c r="BN2036">
        <v>64.39</v>
      </c>
      <c r="BO2036">
        <v>64.39</v>
      </c>
      <c r="BP2036" t="s">
        <v>2626</v>
      </c>
      <c r="BQ2036" t="s">
        <v>97</v>
      </c>
      <c r="BR2036" t="s">
        <v>2627</v>
      </c>
      <c r="BS2036" s="3">
        <v>45884</v>
      </c>
      <c r="BT2036" s="4">
        <v>0.375</v>
      </c>
      <c r="BU2036" t="s">
        <v>588</v>
      </c>
      <c r="BV2036" t="s">
        <v>86</v>
      </c>
      <c r="BY2036">
        <v>10800</v>
      </c>
      <c r="BZ2036" t="s">
        <v>330</v>
      </c>
      <c r="CA2036" t="s">
        <v>2446</v>
      </c>
      <c r="CC2036" t="s">
        <v>76</v>
      </c>
      <c r="CD2036">
        <v>1619</v>
      </c>
      <c r="CE2036" t="s">
        <v>102</v>
      </c>
      <c r="CF2036" s="3">
        <v>45885</v>
      </c>
      <c r="CI2036">
        <v>1</v>
      </c>
      <c r="CJ2036">
        <v>1</v>
      </c>
      <c r="CK2036">
        <v>22</v>
      </c>
      <c r="CL2036" t="s">
        <v>90</v>
      </c>
    </row>
    <row r="2037" spans="1:90" x14ac:dyDescent="0.3">
      <c r="A2037" t="s">
        <v>72</v>
      </c>
      <c r="B2037" t="s">
        <v>73</v>
      </c>
      <c r="C2037" t="s">
        <v>74</v>
      </c>
      <c r="E2037" t="str">
        <f>"080067240779"</f>
        <v>080067240779</v>
      </c>
      <c r="F2037" s="3">
        <v>45883</v>
      </c>
      <c r="G2037">
        <v>202605</v>
      </c>
      <c r="H2037" t="s">
        <v>75</v>
      </c>
      <c r="I2037" t="s">
        <v>76</v>
      </c>
      <c r="J2037" t="s">
        <v>77</v>
      </c>
      <c r="K2037" t="s">
        <v>78</v>
      </c>
      <c r="L2037" t="s">
        <v>123</v>
      </c>
      <c r="M2037" t="s">
        <v>124</v>
      </c>
      <c r="N2037" t="s">
        <v>1416</v>
      </c>
      <c r="O2037" t="s">
        <v>82</v>
      </c>
      <c r="P2037" t="str">
        <f>"4170054822                    "</f>
        <v xml:space="preserve">4170054822                    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0</v>
      </c>
      <c r="AK2037">
        <v>0</v>
      </c>
      <c r="AL2037">
        <v>0</v>
      </c>
      <c r="AM2037">
        <v>0</v>
      </c>
      <c r="AN2037">
        <v>0</v>
      </c>
      <c r="AO2037">
        <v>0</v>
      </c>
      <c r="AP2037">
        <v>0</v>
      </c>
      <c r="AQ2037">
        <v>23.09</v>
      </c>
      <c r="AR2037">
        <v>0</v>
      </c>
      <c r="AS2037">
        <v>0</v>
      </c>
      <c r="AT2037">
        <v>0</v>
      </c>
      <c r="AU2037">
        <v>0</v>
      </c>
      <c r="AV2037">
        <v>0</v>
      </c>
      <c r="AW2037">
        <v>0</v>
      </c>
      <c r="AX2037">
        <v>0</v>
      </c>
      <c r="AY2037">
        <v>0</v>
      </c>
      <c r="AZ2037">
        <v>0</v>
      </c>
      <c r="BA2037">
        <v>0</v>
      </c>
      <c r="BB2037">
        <v>0</v>
      </c>
      <c r="BC2037">
        <v>0</v>
      </c>
      <c r="BD2037">
        <v>0</v>
      </c>
      <c r="BE2037">
        <v>0</v>
      </c>
      <c r="BF2037">
        <v>0</v>
      </c>
      <c r="BG2037">
        <v>0</v>
      </c>
      <c r="BH2037">
        <v>1</v>
      </c>
      <c r="BI2037">
        <v>1</v>
      </c>
      <c r="BJ2037">
        <v>0.2</v>
      </c>
      <c r="BK2037">
        <v>1</v>
      </c>
      <c r="BL2037">
        <v>71.69</v>
      </c>
      <c r="BM2037">
        <v>10.75</v>
      </c>
      <c r="BN2037">
        <v>82.44</v>
      </c>
      <c r="BO2037">
        <v>82.44</v>
      </c>
      <c r="BQ2037" t="s">
        <v>1417</v>
      </c>
      <c r="BR2037" t="s">
        <v>84</v>
      </c>
      <c r="BS2037" s="3">
        <v>45884</v>
      </c>
      <c r="BT2037" s="4">
        <v>0.45347222222222222</v>
      </c>
      <c r="BU2037" t="s">
        <v>886</v>
      </c>
      <c r="BV2037" t="s">
        <v>90</v>
      </c>
      <c r="BW2037" t="s">
        <v>773</v>
      </c>
      <c r="BX2037" t="s">
        <v>381</v>
      </c>
      <c r="BY2037">
        <v>1200</v>
      </c>
      <c r="CA2037" t="s">
        <v>1238</v>
      </c>
      <c r="CC2037" t="s">
        <v>124</v>
      </c>
      <c r="CD2037">
        <v>7480</v>
      </c>
      <c r="CE2037" t="s">
        <v>178</v>
      </c>
      <c r="CF2037" s="3">
        <v>45887</v>
      </c>
      <c r="CI2037">
        <v>1</v>
      </c>
      <c r="CJ2037">
        <v>1</v>
      </c>
      <c r="CK2037">
        <v>21</v>
      </c>
      <c r="CL2037" t="s">
        <v>90</v>
      </c>
    </row>
    <row r="2038" spans="1:90" x14ac:dyDescent="0.3">
      <c r="A2038" t="s">
        <v>72</v>
      </c>
      <c r="B2038" t="s">
        <v>73</v>
      </c>
      <c r="C2038" t="s">
        <v>74</v>
      </c>
      <c r="E2038" t="str">
        <f>"080067240803"</f>
        <v>080067240803</v>
      </c>
      <c r="F2038" s="3">
        <v>45883</v>
      </c>
      <c r="G2038">
        <v>202605</v>
      </c>
      <c r="H2038" t="s">
        <v>75</v>
      </c>
      <c r="I2038" t="s">
        <v>76</v>
      </c>
      <c r="J2038" t="s">
        <v>77</v>
      </c>
      <c r="K2038" t="s">
        <v>78</v>
      </c>
      <c r="L2038" t="s">
        <v>278</v>
      </c>
      <c r="M2038" t="s">
        <v>279</v>
      </c>
      <c r="N2038" t="s">
        <v>1689</v>
      </c>
      <c r="O2038" t="s">
        <v>82</v>
      </c>
      <c r="P2038" t="str">
        <f>"4170054816                    "</f>
        <v xml:space="preserve">4170054816                    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0</v>
      </c>
      <c r="AI2038">
        <v>0</v>
      </c>
      <c r="AJ2038">
        <v>0</v>
      </c>
      <c r="AK2038">
        <v>0</v>
      </c>
      <c r="AL2038">
        <v>0</v>
      </c>
      <c r="AM2038">
        <v>0</v>
      </c>
      <c r="AN2038">
        <v>0</v>
      </c>
      <c r="AO2038">
        <v>0</v>
      </c>
      <c r="AP2038">
        <v>0</v>
      </c>
      <c r="AQ2038">
        <v>23.09</v>
      </c>
      <c r="AR2038">
        <v>0</v>
      </c>
      <c r="AS2038">
        <v>0</v>
      </c>
      <c r="AT2038">
        <v>0</v>
      </c>
      <c r="AU2038">
        <v>0</v>
      </c>
      <c r="AV2038">
        <v>0</v>
      </c>
      <c r="AW2038">
        <v>0</v>
      </c>
      <c r="AX2038">
        <v>0</v>
      </c>
      <c r="AY2038">
        <v>0</v>
      </c>
      <c r="AZ2038">
        <v>0</v>
      </c>
      <c r="BA2038">
        <v>0</v>
      </c>
      <c r="BB2038">
        <v>0</v>
      </c>
      <c r="BC2038">
        <v>0</v>
      </c>
      <c r="BD2038">
        <v>0</v>
      </c>
      <c r="BE2038">
        <v>0</v>
      </c>
      <c r="BF2038">
        <v>0</v>
      </c>
      <c r="BG2038">
        <v>0</v>
      </c>
      <c r="BH2038">
        <v>1</v>
      </c>
      <c r="BI2038">
        <v>1</v>
      </c>
      <c r="BJ2038">
        <v>0.2</v>
      </c>
      <c r="BK2038">
        <v>1</v>
      </c>
      <c r="BL2038">
        <v>71.69</v>
      </c>
      <c r="BM2038">
        <v>10.75</v>
      </c>
      <c r="BN2038">
        <v>82.44</v>
      </c>
      <c r="BO2038">
        <v>82.44</v>
      </c>
      <c r="BQ2038" t="s">
        <v>1690</v>
      </c>
      <c r="BR2038" t="s">
        <v>84</v>
      </c>
      <c r="BS2038" s="3">
        <v>45884</v>
      </c>
      <c r="BT2038" s="4">
        <v>0.4236111111111111</v>
      </c>
      <c r="BU2038" t="s">
        <v>2628</v>
      </c>
      <c r="BV2038" t="s">
        <v>86</v>
      </c>
      <c r="BY2038">
        <v>1200</v>
      </c>
      <c r="CA2038" t="s">
        <v>511</v>
      </c>
      <c r="CC2038" t="s">
        <v>279</v>
      </c>
      <c r="CD2038" s="5" t="s">
        <v>962</v>
      </c>
      <c r="CE2038" t="s">
        <v>178</v>
      </c>
      <c r="CF2038" s="3">
        <v>45884</v>
      </c>
      <c r="CI2038">
        <v>1</v>
      </c>
      <c r="CJ2038">
        <v>1</v>
      </c>
      <c r="CK2038">
        <v>21</v>
      </c>
      <c r="CL2038" t="s">
        <v>90</v>
      </c>
    </row>
    <row r="2039" spans="1:90" x14ac:dyDescent="0.3">
      <c r="A2039" t="s">
        <v>72</v>
      </c>
      <c r="B2039" t="s">
        <v>73</v>
      </c>
      <c r="C2039" t="s">
        <v>74</v>
      </c>
      <c r="E2039" t="str">
        <f>"080067240819"</f>
        <v>080067240819</v>
      </c>
      <c r="F2039" s="3">
        <v>45883</v>
      </c>
      <c r="G2039">
        <v>202605</v>
      </c>
      <c r="H2039" t="s">
        <v>75</v>
      </c>
      <c r="I2039" t="s">
        <v>76</v>
      </c>
      <c r="J2039" t="s">
        <v>77</v>
      </c>
      <c r="K2039" t="s">
        <v>78</v>
      </c>
      <c r="L2039" t="s">
        <v>123</v>
      </c>
      <c r="M2039" t="s">
        <v>124</v>
      </c>
      <c r="N2039" t="s">
        <v>189</v>
      </c>
      <c r="O2039" t="s">
        <v>82</v>
      </c>
      <c r="P2039" t="str">
        <f>"4170054820                    "</f>
        <v xml:space="preserve">4170054820                    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0</v>
      </c>
      <c r="AI2039">
        <v>0</v>
      </c>
      <c r="AJ2039">
        <v>0</v>
      </c>
      <c r="AK2039">
        <v>0</v>
      </c>
      <c r="AL2039">
        <v>0</v>
      </c>
      <c r="AM2039">
        <v>0</v>
      </c>
      <c r="AN2039">
        <v>0</v>
      </c>
      <c r="AO2039">
        <v>0</v>
      </c>
      <c r="AP2039">
        <v>0</v>
      </c>
      <c r="AQ2039">
        <v>23.09</v>
      </c>
      <c r="AR2039">
        <v>0</v>
      </c>
      <c r="AS2039">
        <v>0</v>
      </c>
      <c r="AT2039">
        <v>0</v>
      </c>
      <c r="AU2039">
        <v>0</v>
      </c>
      <c r="AV2039">
        <v>0</v>
      </c>
      <c r="AW2039">
        <v>0</v>
      </c>
      <c r="AX2039">
        <v>0</v>
      </c>
      <c r="AY2039">
        <v>0</v>
      </c>
      <c r="AZ2039">
        <v>0</v>
      </c>
      <c r="BA2039">
        <v>0</v>
      </c>
      <c r="BB2039">
        <v>0</v>
      </c>
      <c r="BC2039">
        <v>0</v>
      </c>
      <c r="BD2039">
        <v>0</v>
      </c>
      <c r="BE2039">
        <v>0</v>
      </c>
      <c r="BF2039">
        <v>0</v>
      </c>
      <c r="BG2039">
        <v>0</v>
      </c>
      <c r="BH2039">
        <v>1</v>
      </c>
      <c r="BI2039">
        <v>1</v>
      </c>
      <c r="BJ2039">
        <v>0.2</v>
      </c>
      <c r="BK2039">
        <v>1</v>
      </c>
      <c r="BL2039">
        <v>71.69</v>
      </c>
      <c r="BM2039">
        <v>10.75</v>
      </c>
      <c r="BN2039">
        <v>82.44</v>
      </c>
      <c r="BO2039">
        <v>82.44</v>
      </c>
      <c r="BQ2039" t="s">
        <v>190</v>
      </c>
      <c r="BR2039" t="s">
        <v>84</v>
      </c>
      <c r="BS2039" s="3">
        <v>45884</v>
      </c>
      <c r="BT2039" s="4">
        <v>0.40972222222222221</v>
      </c>
      <c r="BU2039" t="s">
        <v>913</v>
      </c>
      <c r="BV2039" t="s">
        <v>86</v>
      </c>
      <c r="BY2039">
        <v>1200</v>
      </c>
      <c r="CA2039" t="s">
        <v>192</v>
      </c>
      <c r="CC2039" t="s">
        <v>124</v>
      </c>
      <c r="CD2039">
        <v>8001</v>
      </c>
      <c r="CE2039" t="s">
        <v>178</v>
      </c>
      <c r="CF2039" s="3">
        <v>45887</v>
      </c>
      <c r="CI2039">
        <v>1</v>
      </c>
      <c r="CJ2039">
        <v>1</v>
      </c>
      <c r="CK2039">
        <v>21</v>
      </c>
      <c r="CL2039" t="s">
        <v>90</v>
      </c>
    </row>
    <row r="2040" spans="1:90" x14ac:dyDescent="0.3">
      <c r="A2040" t="s">
        <v>72</v>
      </c>
      <c r="B2040" t="s">
        <v>73</v>
      </c>
      <c r="C2040" t="s">
        <v>74</v>
      </c>
      <c r="E2040" t="str">
        <f>"080067240846"</f>
        <v>080067240846</v>
      </c>
      <c r="F2040" s="3">
        <v>45883</v>
      </c>
      <c r="G2040">
        <v>202605</v>
      </c>
      <c r="H2040" t="s">
        <v>75</v>
      </c>
      <c r="I2040" t="s">
        <v>76</v>
      </c>
      <c r="J2040" t="s">
        <v>77</v>
      </c>
      <c r="K2040" t="s">
        <v>78</v>
      </c>
      <c r="L2040" t="s">
        <v>241</v>
      </c>
      <c r="M2040" t="s">
        <v>242</v>
      </c>
      <c r="N2040" t="s">
        <v>2629</v>
      </c>
      <c r="O2040" t="s">
        <v>82</v>
      </c>
      <c r="P2040" t="str">
        <f>"4170055011                    "</f>
        <v xml:space="preserve">4170055011                    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0</v>
      </c>
      <c r="AI2040">
        <v>0</v>
      </c>
      <c r="AJ2040">
        <v>0</v>
      </c>
      <c r="AK2040">
        <v>0</v>
      </c>
      <c r="AL2040">
        <v>0</v>
      </c>
      <c r="AM2040">
        <v>0</v>
      </c>
      <c r="AN2040">
        <v>0</v>
      </c>
      <c r="AO2040">
        <v>0</v>
      </c>
      <c r="AP2040">
        <v>0</v>
      </c>
      <c r="AQ2040">
        <v>18.03</v>
      </c>
      <c r="AR2040">
        <v>0</v>
      </c>
      <c r="AS2040">
        <v>0</v>
      </c>
      <c r="AT2040">
        <v>0</v>
      </c>
      <c r="AU2040">
        <v>0</v>
      </c>
      <c r="AV2040">
        <v>0</v>
      </c>
      <c r="AW2040">
        <v>0</v>
      </c>
      <c r="AX2040">
        <v>0</v>
      </c>
      <c r="AY2040">
        <v>0</v>
      </c>
      <c r="AZ2040">
        <v>0</v>
      </c>
      <c r="BA2040">
        <v>0</v>
      </c>
      <c r="BB2040">
        <v>0</v>
      </c>
      <c r="BC2040">
        <v>0</v>
      </c>
      <c r="BD2040">
        <v>0</v>
      </c>
      <c r="BE2040">
        <v>0</v>
      </c>
      <c r="BF2040">
        <v>0</v>
      </c>
      <c r="BG2040">
        <v>0</v>
      </c>
      <c r="BH2040">
        <v>1</v>
      </c>
      <c r="BI2040">
        <v>1</v>
      </c>
      <c r="BJ2040">
        <v>0.2</v>
      </c>
      <c r="BK2040">
        <v>1</v>
      </c>
      <c r="BL2040">
        <v>55.99</v>
      </c>
      <c r="BM2040">
        <v>8.4</v>
      </c>
      <c r="BN2040">
        <v>64.39</v>
      </c>
      <c r="BO2040">
        <v>64.39</v>
      </c>
      <c r="BQ2040" t="s">
        <v>2630</v>
      </c>
      <c r="BR2040" t="s">
        <v>84</v>
      </c>
      <c r="BS2040" s="3">
        <v>45884</v>
      </c>
      <c r="BT2040" s="4">
        <v>0.33541666666666664</v>
      </c>
      <c r="BU2040" t="s">
        <v>900</v>
      </c>
      <c r="BV2040" t="s">
        <v>86</v>
      </c>
      <c r="BY2040">
        <v>1200</v>
      </c>
      <c r="CA2040" t="s">
        <v>720</v>
      </c>
      <c r="CC2040" t="s">
        <v>242</v>
      </c>
      <c r="CD2040">
        <v>1459</v>
      </c>
      <c r="CE2040" t="s">
        <v>178</v>
      </c>
      <c r="CF2040" s="3">
        <v>45884</v>
      </c>
      <c r="CI2040">
        <v>1</v>
      </c>
      <c r="CJ2040">
        <v>1</v>
      </c>
      <c r="CK2040">
        <v>22</v>
      </c>
      <c r="CL2040" t="s">
        <v>90</v>
      </c>
    </row>
    <row r="2041" spans="1:90" x14ac:dyDescent="0.3">
      <c r="A2041" t="s">
        <v>72</v>
      </c>
      <c r="B2041" t="s">
        <v>73</v>
      </c>
      <c r="C2041" t="s">
        <v>74</v>
      </c>
      <c r="E2041" t="str">
        <f>"080067240858"</f>
        <v>080067240858</v>
      </c>
      <c r="F2041" s="3">
        <v>45883</v>
      </c>
      <c r="G2041">
        <v>202605</v>
      </c>
      <c r="H2041" t="s">
        <v>75</v>
      </c>
      <c r="I2041" t="s">
        <v>76</v>
      </c>
      <c r="J2041" t="s">
        <v>77</v>
      </c>
      <c r="K2041" t="s">
        <v>78</v>
      </c>
      <c r="L2041" t="s">
        <v>1254</v>
      </c>
      <c r="M2041" t="s">
        <v>1255</v>
      </c>
      <c r="N2041" t="s">
        <v>1780</v>
      </c>
      <c r="O2041" t="s">
        <v>82</v>
      </c>
      <c r="P2041" t="str">
        <f>"4170054831                    "</f>
        <v xml:space="preserve">4170054831                    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0</v>
      </c>
      <c r="AI2041">
        <v>0</v>
      </c>
      <c r="AJ2041">
        <v>0</v>
      </c>
      <c r="AK2041">
        <v>0</v>
      </c>
      <c r="AL2041">
        <v>0</v>
      </c>
      <c r="AM2041">
        <v>0</v>
      </c>
      <c r="AN2041">
        <v>0</v>
      </c>
      <c r="AO2041">
        <v>0</v>
      </c>
      <c r="AP2041">
        <v>0</v>
      </c>
      <c r="AQ2041">
        <v>44.73</v>
      </c>
      <c r="AR2041">
        <v>0</v>
      </c>
      <c r="AS2041">
        <v>0</v>
      </c>
      <c r="AT2041">
        <v>0</v>
      </c>
      <c r="AU2041">
        <v>0</v>
      </c>
      <c r="AV2041">
        <v>0</v>
      </c>
      <c r="AW2041">
        <v>0</v>
      </c>
      <c r="AX2041">
        <v>0</v>
      </c>
      <c r="AY2041">
        <v>0</v>
      </c>
      <c r="AZ2041">
        <v>0</v>
      </c>
      <c r="BA2041">
        <v>0</v>
      </c>
      <c r="BB2041">
        <v>0</v>
      </c>
      <c r="BC2041">
        <v>0</v>
      </c>
      <c r="BD2041">
        <v>0</v>
      </c>
      <c r="BE2041">
        <v>0</v>
      </c>
      <c r="BF2041">
        <v>0</v>
      </c>
      <c r="BG2041">
        <v>0</v>
      </c>
      <c r="BH2041">
        <v>1</v>
      </c>
      <c r="BI2041">
        <v>1</v>
      </c>
      <c r="BJ2041">
        <v>0.2</v>
      </c>
      <c r="BK2041">
        <v>1</v>
      </c>
      <c r="BL2041">
        <v>138.88999999999999</v>
      </c>
      <c r="BM2041">
        <v>20.83</v>
      </c>
      <c r="BN2041">
        <v>159.72</v>
      </c>
      <c r="BO2041">
        <v>159.72</v>
      </c>
      <c r="BQ2041" t="s">
        <v>1781</v>
      </c>
      <c r="BR2041" t="s">
        <v>84</v>
      </c>
      <c r="BS2041" s="3">
        <v>45887</v>
      </c>
      <c r="BT2041" s="4">
        <v>0.46666666666666667</v>
      </c>
      <c r="BU2041" t="s">
        <v>2631</v>
      </c>
      <c r="BV2041" t="s">
        <v>90</v>
      </c>
      <c r="BY2041">
        <v>1200</v>
      </c>
      <c r="CC2041" t="s">
        <v>1255</v>
      </c>
      <c r="CD2041">
        <v>3280</v>
      </c>
      <c r="CE2041" t="s">
        <v>178</v>
      </c>
      <c r="CF2041" s="3">
        <v>45888</v>
      </c>
      <c r="CI2041">
        <v>1</v>
      </c>
      <c r="CJ2041">
        <v>2</v>
      </c>
      <c r="CK2041">
        <v>23</v>
      </c>
      <c r="CL2041" t="s">
        <v>90</v>
      </c>
    </row>
    <row r="2042" spans="1:90" x14ac:dyDescent="0.3">
      <c r="A2042" t="s">
        <v>72</v>
      </c>
      <c r="B2042" t="s">
        <v>73</v>
      </c>
      <c r="C2042" t="s">
        <v>74</v>
      </c>
      <c r="E2042" t="str">
        <f>"080067240869"</f>
        <v>080067240869</v>
      </c>
      <c r="F2042" s="3">
        <v>45883</v>
      </c>
      <c r="G2042">
        <v>202605</v>
      </c>
      <c r="H2042" t="s">
        <v>75</v>
      </c>
      <c r="I2042" t="s">
        <v>76</v>
      </c>
      <c r="J2042" t="s">
        <v>77</v>
      </c>
      <c r="K2042" t="s">
        <v>78</v>
      </c>
      <c r="L2042" t="s">
        <v>319</v>
      </c>
      <c r="M2042" t="s">
        <v>320</v>
      </c>
      <c r="N2042" t="s">
        <v>321</v>
      </c>
      <c r="O2042" t="s">
        <v>82</v>
      </c>
      <c r="P2042" t="str">
        <f>"4170054829                    "</f>
        <v xml:space="preserve">4170054829                    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0</v>
      </c>
      <c r="AI2042">
        <v>0</v>
      </c>
      <c r="AJ2042">
        <v>0</v>
      </c>
      <c r="AK2042">
        <v>0</v>
      </c>
      <c r="AL2042">
        <v>0</v>
      </c>
      <c r="AM2042">
        <v>0</v>
      </c>
      <c r="AN2042">
        <v>0</v>
      </c>
      <c r="AO2042">
        <v>0</v>
      </c>
      <c r="AP2042">
        <v>0</v>
      </c>
      <c r="AQ2042">
        <v>44.73</v>
      </c>
      <c r="AR2042">
        <v>0</v>
      </c>
      <c r="AS2042">
        <v>0</v>
      </c>
      <c r="AT2042">
        <v>0</v>
      </c>
      <c r="AU2042">
        <v>0</v>
      </c>
      <c r="AV2042">
        <v>0</v>
      </c>
      <c r="AW2042">
        <v>0</v>
      </c>
      <c r="AX2042">
        <v>0</v>
      </c>
      <c r="AY2042">
        <v>0</v>
      </c>
      <c r="AZ2042">
        <v>0</v>
      </c>
      <c r="BA2042">
        <v>0</v>
      </c>
      <c r="BB2042">
        <v>0</v>
      </c>
      <c r="BC2042">
        <v>0</v>
      </c>
      <c r="BD2042">
        <v>0</v>
      </c>
      <c r="BE2042">
        <v>0</v>
      </c>
      <c r="BF2042">
        <v>0</v>
      </c>
      <c r="BG2042">
        <v>0</v>
      </c>
      <c r="BH2042">
        <v>1</v>
      </c>
      <c r="BI2042">
        <v>1</v>
      </c>
      <c r="BJ2042">
        <v>0.2</v>
      </c>
      <c r="BK2042">
        <v>1</v>
      </c>
      <c r="BL2042">
        <v>138.88999999999999</v>
      </c>
      <c r="BM2042">
        <v>20.83</v>
      </c>
      <c r="BN2042">
        <v>159.72</v>
      </c>
      <c r="BO2042">
        <v>159.72</v>
      </c>
      <c r="BQ2042" t="s">
        <v>322</v>
      </c>
      <c r="BR2042" t="s">
        <v>84</v>
      </c>
      <c r="BS2042" s="3">
        <v>45884</v>
      </c>
      <c r="BT2042" s="4">
        <v>0.44583333333333336</v>
      </c>
      <c r="BU2042" t="s">
        <v>2213</v>
      </c>
      <c r="BV2042" t="s">
        <v>86</v>
      </c>
      <c r="BY2042">
        <v>1200</v>
      </c>
      <c r="CA2042" t="s">
        <v>324</v>
      </c>
      <c r="CC2042" t="s">
        <v>320</v>
      </c>
      <c r="CD2042">
        <v>2531</v>
      </c>
      <c r="CE2042" t="s">
        <v>109</v>
      </c>
      <c r="CF2042" s="3">
        <v>45887</v>
      </c>
      <c r="CI2042">
        <v>1</v>
      </c>
      <c r="CJ2042">
        <v>1</v>
      </c>
      <c r="CK2042">
        <v>23</v>
      </c>
      <c r="CL2042" t="s">
        <v>90</v>
      </c>
    </row>
    <row r="2043" spans="1:90" x14ac:dyDescent="0.3">
      <c r="A2043" t="s">
        <v>72</v>
      </c>
      <c r="B2043" t="s">
        <v>73</v>
      </c>
      <c r="C2043" t="s">
        <v>74</v>
      </c>
      <c r="E2043" t="str">
        <f>"080067240893"</f>
        <v>080067240893</v>
      </c>
      <c r="F2043" s="3">
        <v>45883</v>
      </c>
      <c r="G2043">
        <v>202605</v>
      </c>
      <c r="H2043" t="s">
        <v>75</v>
      </c>
      <c r="I2043" t="s">
        <v>76</v>
      </c>
      <c r="J2043" t="s">
        <v>77</v>
      </c>
      <c r="K2043" t="s">
        <v>78</v>
      </c>
      <c r="L2043" t="s">
        <v>75</v>
      </c>
      <c r="M2043" t="s">
        <v>76</v>
      </c>
      <c r="N2043" t="s">
        <v>1550</v>
      </c>
      <c r="O2043" t="s">
        <v>82</v>
      </c>
      <c r="P2043" t="str">
        <f>"4170054782                    "</f>
        <v xml:space="preserve">4170054782                    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0</v>
      </c>
      <c r="AI2043">
        <v>0</v>
      </c>
      <c r="AJ2043">
        <v>0</v>
      </c>
      <c r="AK2043">
        <v>0</v>
      </c>
      <c r="AL2043">
        <v>0</v>
      </c>
      <c r="AM2043">
        <v>0</v>
      </c>
      <c r="AN2043">
        <v>0</v>
      </c>
      <c r="AO2043">
        <v>0</v>
      </c>
      <c r="AP2043">
        <v>0</v>
      </c>
      <c r="AQ2043">
        <v>18.03</v>
      </c>
      <c r="AR2043">
        <v>0</v>
      </c>
      <c r="AS2043">
        <v>0</v>
      </c>
      <c r="AT2043">
        <v>0</v>
      </c>
      <c r="AU2043">
        <v>0</v>
      </c>
      <c r="AV2043">
        <v>0</v>
      </c>
      <c r="AW2043">
        <v>0</v>
      </c>
      <c r="AX2043">
        <v>0</v>
      </c>
      <c r="AY2043">
        <v>0</v>
      </c>
      <c r="AZ2043">
        <v>0</v>
      </c>
      <c r="BA2043">
        <v>0</v>
      </c>
      <c r="BB2043">
        <v>0</v>
      </c>
      <c r="BC2043">
        <v>0</v>
      </c>
      <c r="BD2043">
        <v>0</v>
      </c>
      <c r="BE2043">
        <v>0</v>
      </c>
      <c r="BF2043">
        <v>0</v>
      </c>
      <c r="BG2043">
        <v>0</v>
      </c>
      <c r="BH2043">
        <v>1</v>
      </c>
      <c r="BI2043">
        <v>1</v>
      </c>
      <c r="BJ2043">
        <v>0.2</v>
      </c>
      <c r="BK2043">
        <v>1</v>
      </c>
      <c r="BL2043">
        <v>55.99</v>
      </c>
      <c r="BM2043">
        <v>8.4</v>
      </c>
      <c r="BN2043">
        <v>64.39</v>
      </c>
      <c r="BO2043">
        <v>64.39</v>
      </c>
      <c r="BQ2043" t="s">
        <v>1551</v>
      </c>
      <c r="BR2043" t="s">
        <v>84</v>
      </c>
      <c r="BS2043" s="3">
        <v>45884</v>
      </c>
      <c r="BT2043" s="4">
        <v>0.43055555555555558</v>
      </c>
      <c r="BU2043" t="s">
        <v>2632</v>
      </c>
      <c r="BV2043" t="s">
        <v>86</v>
      </c>
      <c r="BY2043">
        <v>1200</v>
      </c>
      <c r="CA2043" t="s">
        <v>2446</v>
      </c>
      <c r="CC2043" t="s">
        <v>76</v>
      </c>
      <c r="CD2043">
        <v>1601</v>
      </c>
      <c r="CE2043" t="s">
        <v>109</v>
      </c>
      <c r="CF2043" s="3">
        <v>45887</v>
      </c>
      <c r="CI2043">
        <v>1</v>
      </c>
      <c r="CJ2043">
        <v>1</v>
      </c>
      <c r="CK2043">
        <v>22</v>
      </c>
      <c r="CL2043" t="s">
        <v>90</v>
      </c>
    </row>
    <row r="2044" spans="1:90" x14ac:dyDescent="0.3">
      <c r="A2044" t="s">
        <v>72</v>
      </c>
      <c r="B2044" t="s">
        <v>73</v>
      </c>
      <c r="C2044" t="s">
        <v>74</v>
      </c>
      <c r="E2044" t="str">
        <f>"080067240910"</f>
        <v>080067240910</v>
      </c>
      <c r="F2044" s="3">
        <v>45883</v>
      </c>
      <c r="G2044">
        <v>202605</v>
      </c>
      <c r="H2044" t="s">
        <v>75</v>
      </c>
      <c r="I2044" t="s">
        <v>76</v>
      </c>
      <c r="J2044" t="s">
        <v>77</v>
      </c>
      <c r="K2044" t="s">
        <v>78</v>
      </c>
      <c r="L2044" t="s">
        <v>278</v>
      </c>
      <c r="M2044" t="s">
        <v>279</v>
      </c>
      <c r="N2044" t="s">
        <v>928</v>
      </c>
      <c r="O2044" t="s">
        <v>95</v>
      </c>
      <c r="P2044" t="str">
        <f>"4170054429                    "</f>
        <v xml:space="preserve">4170054429                    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0</v>
      </c>
      <c r="AI2044">
        <v>0</v>
      </c>
      <c r="AJ2044">
        <v>0</v>
      </c>
      <c r="AK2044">
        <v>0</v>
      </c>
      <c r="AL2044">
        <v>0</v>
      </c>
      <c r="AM2044">
        <v>0</v>
      </c>
      <c r="AN2044">
        <v>0</v>
      </c>
      <c r="AO2044">
        <v>0</v>
      </c>
      <c r="AP2044">
        <v>0</v>
      </c>
      <c r="AQ2044">
        <v>44.64</v>
      </c>
      <c r="AR2044">
        <v>0</v>
      </c>
      <c r="AS2044">
        <v>0</v>
      </c>
      <c r="AT2044">
        <v>0</v>
      </c>
      <c r="AU2044">
        <v>0</v>
      </c>
      <c r="AV2044">
        <v>0</v>
      </c>
      <c r="AW2044">
        <v>0</v>
      </c>
      <c r="AX2044">
        <v>0</v>
      </c>
      <c r="AY2044">
        <v>0</v>
      </c>
      <c r="AZ2044">
        <v>0</v>
      </c>
      <c r="BA2044">
        <v>0</v>
      </c>
      <c r="BB2044">
        <v>0</v>
      </c>
      <c r="BC2044">
        <v>0</v>
      </c>
      <c r="BD2044">
        <v>0</v>
      </c>
      <c r="BE2044">
        <v>0</v>
      </c>
      <c r="BF2044">
        <v>0</v>
      </c>
      <c r="BG2044">
        <v>0</v>
      </c>
      <c r="BH2044">
        <v>1</v>
      </c>
      <c r="BI2044">
        <v>6</v>
      </c>
      <c r="BJ2044">
        <v>4.5</v>
      </c>
      <c r="BK2044">
        <v>6</v>
      </c>
      <c r="BL2044">
        <v>144.49</v>
      </c>
      <c r="BM2044">
        <v>21.67</v>
      </c>
      <c r="BN2044">
        <v>166.16</v>
      </c>
      <c r="BO2044">
        <v>166.16</v>
      </c>
      <c r="BQ2044" t="s">
        <v>929</v>
      </c>
      <c r="BR2044" t="s">
        <v>84</v>
      </c>
      <c r="BS2044" s="3">
        <v>45884</v>
      </c>
      <c r="BT2044" s="4">
        <v>0.35902777777777778</v>
      </c>
      <c r="BU2044" t="s">
        <v>1230</v>
      </c>
      <c r="BV2044" t="s">
        <v>86</v>
      </c>
      <c r="BY2044">
        <v>22620</v>
      </c>
      <c r="CA2044" t="s">
        <v>511</v>
      </c>
      <c r="CC2044" t="s">
        <v>279</v>
      </c>
      <c r="CD2044" s="5" t="s">
        <v>512</v>
      </c>
      <c r="CE2044" t="s">
        <v>147</v>
      </c>
      <c r="CF2044" s="3">
        <v>45884</v>
      </c>
      <c r="CI2044">
        <v>1</v>
      </c>
      <c r="CJ2044">
        <v>1</v>
      </c>
      <c r="CK2044">
        <v>41</v>
      </c>
      <c r="CL2044" t="s">
        <v>90</v>
      </c>
    </row>
    <row r="2045" spans="1:90" x14ac:dyDescent="0.3">
      <c r="A2045" t="s">
        <v>72</v>
      </c>
      <c r="B2045" t="s">
        <v>73</v>
      </c>
      <c r="C2045" t="s">
        <v>74</v>
      </c>
      <c r="E2045" t="str">
        <f>"080067240925"</f>
        <v>080067240925</v>
      </c>
      <c r="F2045" s="3">
        <v>45883</v>
      </c>
      <c r="G2045">
        <v>202605</v>
      </c>
      <c r="H2045" t="s">
        <v>75</v>
      </c>
      <c r="I2045" t="s">
        <v>76</v>
      </c>
      <c r="J2045" t="s">
        <v>77</v>
      </c>
      <c r="K2045" t="s">
        <v>78</v>
      </c>
      <c r="L2045" t="s">
        <v>79</v>
      </c>
      <c r="M2045" t="s">
        <v>80</v>
      </c>
      <c r="N2045" t="s">
        <v>1061</v>
      </c>
      <c r="O2045" t="s">
        <v>82</v>
      </c>
      <c r="P2045" t="str">
        <f>"4170054653                    "</f>
        <v xml:space="preserve">4170054653                    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0</v>
      </c>
      <c r="AI2045">
        <v>0</v>
      </c>
      <c r="AJ2045">
        <v>0</v>
      </c>
      <c r="AK2045">
        <v>0</v>
      </c>
      <c r="AL2045">
        <v>0</v>
      </c>
      <c r="AM2045">
        <v>0</v>
      </c>
      <c r="AN2045">
        <v>0</v>
      </c>
      <c r="AO2045">
        <v>0</v>
      </c>
      <c r="AP2045">
        <v>0</v>
      </c>
      <c r="AQ2045">
        <v>18.03</v>
      </c>
      <c r="AR2045">
        <v>0</v>
      </c>
      <c r="AS2045">
        <v>0</v>
      </c>
      <c r="AT2045">
        <v>0</v>
      </c>
      <c r="AU2045">
        <v>0</v>
      </c>
      <c r="AV2045">
        <v>0</v>
      </c>
      <c r="AW2045">
        <v>0</v>
      </c>
      <c r="AX2045">
        <v>0</v>
      </c>
      <c r="AY2045">
        <v>0</v>
      </c>
      <c r="AZ2045">
        <v>0</v>
      </c>
      <c r="BA2045">
        <v>0</v>
      </c>
      <c r="BB2045">
        <v>0</v>
      </c>
      <c r="BC2045">
        <v>0</v>
      </c>
      <c r="BD2045">
        <v>0</v>
      </c>
      <c r="BE2045">
        <v>0</v>
      </c>
      <c r="BF2045">
        <v>0</v>
      </c>
      <c r="BG2045">
        <v>0</v>
      </c>
      <c r="BH2045">
        <v>1</v>
      </c>
      <c r="BI2045">
        <v>1</v>
      </c>
      <c r="BJ2045">
        <v>1.1000000000000001</v>
      </c>
      <c r="BK2045">
        <v>2</v>
      </c>
      <c r="BL2045">
        <v>55.99</v>
      </c>
      <c r="BM2045">
        <v>8.4</v>
      </c>
      <c r="BN2045">
        <v>64.39</v>
      </c>
      <c r="BO2045">
        <v>64.39</v>
      </c>
      <c r="BQ2045" t="s">
        <v>1062</v>
      </c>
      <c r="BR2045" t="s">
        <v>84</v>
      </c>
      <c r="BS2045" s="3">
        <v>45884</v>
      </c>
      <c r="BT2045" s="4">
        <v>0.38194444444444442</v>
      </c>
      <c r="BU2045" t="s">
        <v>2027</v>
      </c>
      <c r="BV2045" t="s">
        <v>86</v>
      </c>
      <c r="BY2045">
        <v>5320</v>
      </c>
      <c r="CA2045" t="s">
        <v>1026</v>
      </c>
      <c r="CC2045" t="s">
        <v>80</v>
      </c>
      <c r="CD2045">
        <v>1406</v>
      </c>
      <c r="CE2045" t="s">
        <v>147</v>
      </c>
      <c r="CF2045" s="3">
        <v>45884</v>
      </c>
      <c r="CI2045">
        <v>1</v>
      </c>
      <c r="CJ2045">
        <v>1</v>
      </c>
      <c r="CK2045">
        <v>22</v>
      </c>
      <c r="CL2045" t="s">
        <v>90</v>
      </c>
    </row>
    <row r="2046" spans="1:90" x14ac:dyDescent="0.3">
      <c r="A2046" t="s">
        <v>72</v>
      </c>
      <c r="B2046" t="s">
        <v>73</v>
      </c>
      <c r="C2046" t="s">
        <v>74</v>
      </c>
      <c r="E2046" t="str">
        <f>"080067240949"</f>
        <v>080067240949</v>
      </c>
      <c r="F2046" s="3">
        <v>45883</v>
      </c>
      <c r="G2046">
        <v>202605</v>
      </c>
      <c r="H2046" t="s">
        <v>75</v>
      </c>
      <c r="I2046" t="s">
        <v>76</v>
      </c>
      <c r="J2046" t="s">
        <v>77</v>
      </c>
      <c r="K2046" t="s">
        <v>78</v>
      </c>
      <c r="L2046" t="s">
        <v>452</v>
      </c>
      <c r="M2046" t="s">
        <v>453</v>
      </c>
      <c r="N2046" t="s">
        <v>1684</v>
      </c>
      <c r="O2046" t="s">
        <v>82</v>
      </c>
      <c r="P2046" t="str">
        <f>"4170054586                    "</f>
        <v xml:space="preserve">4170054586                    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0</v>
      </c>
      <c r="AI2046">
        <v>0</v>
      </c>
      <c r="AJ2046">
        <v>0</v>
      </c>
      <c r="AK2046">
        <v>0</v>
      </c>
      <c r="AL2046">
        <v>0</v>
      </c>
      <c r="AM2046">
        <v>0</v>
      </c>
      <c r="AN2046">
        <v>0</v>
      </c>
      <c r="AO2046">
        <v>0</v>
      </c>
      <c r="AP2046">
        <v>0</v>
      </c>
      <c r="AQ2046">
        <v>44.73</v>
      </c>
      <c r="AR2046">
        <v>0</v>
      </c>
      <c r="AS2046">
        <v>0</v>
      </c>
      <c r="AT2046">
        <v>0</v>
      </c>
      <c r="AU2046">
        <v>0</v>
      </c>
      <c r="AV2046">
        <v>0</v>
      </c>
      <c r="AW2046">
        <v>0</v>
      </c>
      <c r="AX2046">
        <v>0</v>
      </c>
      <c r="AY2046">
        <v>0</v>
      </c>
      <c r="AZ2046">
        <v>0</v>
      </c>
      <c r="BA2046">
        <v>0</v>
      </c>
      <c r="BB2046">
        <v>0</v>
      </c>
      <c r="BC2046">
        <v>0</v>
      </c>
      <c r="BD2046">
        <v>0</v>
      </c>
      <c r="BE2046">
        <v>0</v>
      </c>
      <c r="BF2046">
        <v>0</v>
      </c>
      <c r="BG2046">
        <v>0</v>
      </c>
      <c r="BH2046">
        <v>1</v>
      </c>
      <c r="BI2046">
        <v>2</v>
      </c>
      <c r="BJ2046">
        <v>1.1000000000000001</v>
      </c>
      <c r="BK2046">
        <v>2</v>
      </c>
      <c r="BL2046">
        <v>138.88999999999999</v>
      </c>
      <c r="BM2046">
        <v>20.83</v>
      </c>
      <c r="BN2046">
        <v>159.72</v>
      </c>
      <c r="BO2046">
        <v>159.72</v>
      </c>
      <c r="BQ2046" t="s">
        <v>1685</v>
      </c>
      <c r="BR2046" t="s">
        <v>84</v>
      </c>
      <c r="BS2046" s="3">
        <v>45884</v>
      </c>
      <c r="BT2046" s="4">
        <v>0.34930555555555554</v>
      </c>
      <c r="BU2046" t="s">
        <v>2633</v>
      </c>
      <c r="BV2046" t="s">
        <v>86</v>
      </c>
      <c r="BY2046">
        <v>5320</v>
      </c>
      <c r="CA2046" t="s">
        <v>484</v>
      </c>
      <c r="CC2046" t="s">
        <v>453</v>
      </c>
      <c r="CD2046">
        <v>1947</v>
      </c>
      <c r="CE2046" t="s">
        <v>147</v>
      </c>
      <c r="CF2046" s="3">
        <v>45887</v>
      </c>
      <c r="CI2046">
        <v>1</v>
      </c>
      <c r="CJ2046">
        <v>1</v>
      </c>
      <c r="CK2046">
        <v>23</v>
      </c>
      <c r="CL2046" t="s">
        <v>90</v>
      </c>
    </row>
    <row r="2047" spans="1:90" x14ac:dyDescent="0.3">
      <c r="A2047" t="s">
        <v>72</v>
      </c>
      <c r="B2047" t="s">
        <v>73</v>
      </c>
      <c r="C2047" t="s">
        <v>74</v>
      </c>
      <c r="E2047" t="str">
        <f>"080067240964"</f>
        <v>080067240964</v>
      </c>
      <c r="F2047" s="3">
        <v>45883</v>
      </c>
      <c r="G2047">
        <v>202605</v>
      </c>
      <c r="H2047" t="s">
        <v>75</v>
      </c>
      <c r="I2047" t="s">
        <v>76</v>
      </c>
      <c r="J2047" t="s">
        <v>77</v>
      </c>
      <c r="K2047" t="s">
        <v>78</v>
      </c>
      <c r="L2047" t="s">
        <v>79</v>
      </c>
      <c r="M2047" t="s">
        <v>80</v>
      </c>
      <c r="N2047" t="s">
        <v>204</v>
      </c>
      <c r="O2047" t="s">
        <v>82</v>
      </c>
      <c r="P2047" t="str">
        <f>"4170054634                    "</f>
        <v xml:space="preserve">4170054634                    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0</v>
      </c>
      <c r="AL2047">
        <v>0</v>
      </c>
      <c r="AM2047">
        <v>0</v>
      </c>
      <c r="AN2047">
        <v>0</v>
      </c>
      <c r="AO2047">
        <v>0</v>
      </c>
      <c r="AP2047">
        <v>0</v>
      </c>
      <c r="AQ2047">
        <v>18.03</v>
      </c>
      <c r="AR2047">
        <v>0</v>
      </c>
      <c r="AS2047">
        <v>0</v>
      </c>
      <c r="AT2047">
        <v>0</v>
      </c>
      <c r="AU2047">
        <v>0</v>
      </c>
      <c r="AV2047">
        <v>0</v>
      </c>
      <c r="AW2047">
        <v>0</v>
      </c>
      <c r="AX2047">
        <v>0</v>
      </c>
      <c r="AY2047">
        <v>0</v>
      </c>
      <c r="AZ2047">
        <v>0</v>
      </c>
      <c r="BA2047">
        <v>0</v>
      </c>
      <c r="BB2047">
        <v>0</v>
      </c>
      <c r="BC2047">
        <v>0</v>
      </c>
      <c r="BD2047">
        <v>0</v>
      </c>
      <c r="BE2047">
        <v>0</v>
      </c>
      <c r="BF2047">
        <v>0</v>
      </c>
      <c r="BG2047">
        <v>0</v>
      </c>
      <c r="BH2047">
        <v>1</v>
      </c>
      <c r="BI2047">
        <v>1</v>
      </c>
      <c r="BJ2047">
        <v>0.6</v>
      </c>
      <c r="BK2047">
        <v>1</v>
      </c>
      <c r="BL2047">
        <v>55.99</v>
      </c>
      <c r="BM2047">
        <v>8.4</v>
      </c>
      <c r="BN2047">
        <v>64.39</v>
      </c>
      <c r="BO2047">
        <v>64.39</v>
      </c>
      <c r="BQ2047" t="s">
        <v>205</v>
      </c>
      <c r="BR2047" t="s">
        <v>84</v>
      </c>
      <c r="BS2047" s="3">
        <v>45884</v>
      </c>
      <c r="BT2047" s="4">
        <v>0.40625</v>
      </c>
      <c r="BU2047" t="s">
        <v>2634</v>
      </c>
      <c r="BV2047" t="s">
        <v>86</v>
      </c>
      <c r="BY2047">
        <v>3192</v>
      </c>
      <c r="CA2047" t="s">
        <v>1069</v>
      </c>
      <c r="CC2047" t="s">
        <v>80</v>
      </c>
      <c r="CD2047">
        <v>1428</v>
      </c>
      <c r="CE2047" t="s">
        <v>147</v>
      </c>
      <c r="CF2047" s="3">
        <v>45885</v>
      </c>
      <c r="CI2047">
        <v>1</v>
      </c>
      <c r="CJ2047">
        <v>1</v>
      </c>
      <c r="CK2047">
        <v>22</v>
      </c>
      <c r="CL2047" t="s">
        <v>90</v>
      </c>
    </row>
    <row r="2048" spans="1:90" x14ac:dyDescent="0.3">
      <c r="A2048" t="s">
        <v>72</v>
      </c>
      <c r="B2048" t="s">
        <v>73</v>
      </c>
      <c r="C2048" t="s">
        <v>74</v>
      </c>
      <c r="E2048" t="str">
        <f>"080067240994"</f>
        <v>080067240994</v>
      </c>
      <c r="F2048" s="3">
        <v>45883</v>
      </c>
      <c r="G2048">
        <v>202605</v>
      </c>
      <c r="H2048" t="s">
        <v>75</v>
      </c>
      <c r="I2048" t="s">
        <v>76</v>
      </c>
      <c r="J2048" t="s">
        <v>77</v>
      </c>
      <c r="K2048" t="s">
        <v>78</v>
      </c>
      <c r="L2048" t="s">
        <v>983</v>
      </c>
      <c r="M2048" t="s">
        <v>984</v>
      </c>
      <c r="N2048" t="s">
        <v>2635</v>
      </c>
      <c r="O2048" t="s">
        <v>82</v>
      </c>
      <c r="P2048" t="str">
        <f>"4170054948                    "</f>
        <v xml:space="preserve">4170054948                    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0</v>
      </c>
      <c r="AI2048">
        <v>0</v>
      </c>
      <c r="AJ2048">
        <v>0</v>
      </c>
      <c r="AK2048">
        <v>0</v>
      </c>
      <c r="AL2048">
        <v>0</v>
      </c>
      <c r="AM2048">
        <v>0</v>
      </c>
      <c r="AN2048">
        <v>0</v>
      </c>
      <c r="AO2048">
        <v>0</v>
      </c>
      <c r="AP2048">
        <v>0</v>
      </c>
      <c r="AQ2048">
        <v>18.03</v>
      </c>
      <c r="AR2048">
        <v>0</v>
      </c>
      <c r="AS2048">
        <v>0</v>
      </c>
      <c r="AT2048">
        <v>0</v>
      </c>
      <c r="AU2048">
        <v>0</v>
      </c>
      <c r="AV2048">
        <v>0</v>
      </c>
      <c r="AW2048">
        <v>0</v>
      </c>
      <c r="AX2048">
        <v>0</v>
      </c>
      <c r="AY2048">
        <v>0</v>
      </c>
      <c r="AZ2048">
        <v>0</v>
      </c>
      <c r="BA2048">
        <v>0</v>
      </c>
      <c r="BB2048">
        <v>0</v>
      </c>
      <c r="BC2048">
        <v>0</v>
      </c>
      <c r="BD2048">
        <v>0</v>
      </c>
      <c r="BE2048">
        <v>0</v>
      </c>
      <c r="BF2048">
        <v>0</v>
      </c>
      <c r="BG2048">
        <v>0</v>
      </c>
      <c r="BH2048">
        <v>1</v>
      </c>
      <c r="BI2048">
        <v>1</v>
      </c>
      <c r="BJ2048">
        <v>1.1000000000000001</v>
      </c>
      <c r="BK2048">
        <v>2</v>
      </c>
      <c r="BL2048">
        <v>55.99</v>
      </c>
      <c r="BM2048">
        <v>8.4</v>
      </c>
      <c r="BN2048">
        <v>64.39</v>
      </c>
      <c r="BO2048">
        <v>64.39</v>
      </c>
      <c r="BQ2048" t="s">
        <v>2636</v>
      </c>
      <c r="BR2048" t="s">
        <v>84</v>
      </c>
      <c r="BS2048" s="3">
        <v>45884</v>
      </c>
      <c r="BT2048" s="4">
        <v>0.35416666666666669</v>
      </c>
      <c r="BU2048" t="s">
        <v>2637</v>
      </c>
      <c r="BV2048" t="s">
        <v>86</v>
      </c>
      <c r="BY2048">
        <v>5320</v>
      </c>
      <c r="CA2048" t="s">
        <v>2638</v>
      </c>
      <c r="CC2048" t="s">
        <v>984</v>
      </c>
      <c r="CD2048">
        <v>1554</v>
      </c>
      <c r="CE2048" t="s">
        <v>147</v>
      </c>
      <c r="CF2048" s="3">
        <v>45885</v>
      </c>
      <c r="CI2048">
        <v>1</v>
      </c>
      <c r="CJ2048">
        <v>1</v>
      </c>
      <c r="CK2048">
        <v>22</v>
      </c>
      <c r="CL2048" t="s">
        <v>90</v>
      </c>
    </row>
    <row r="2049" spans="1:90" x14ac:dyDescent="0.3">
      <c r="A2049" t="s">
        <v>72</v>
      </c>
      <c r="B2049" t="s">
        <v>73</v>
      </c>
      <c r="C2049" t="s">
        <v>74</v>
      </c>
      <c r="E2049" t="str">
        <f>"080067241748"</f>
        <v>080067241748</v>
      </c>
      <c r="F2049" s="3">
        <v>45883</v>
      </c>
      <c r="G2049">
        <v>202605</v>
      </c>
      <c r="H2049" t="s">
        <v>75</v>
      </c>
      <c r="I2049" t="s">
        <v>76</v>
      </c>
      <c r="J2049" t="s">
        <v>77</v>
      </c>
      <c r="K2049" t="s">
        <v>78</v>
      </c>
      <c r="L2049" t="s">
        <v>137</v>
      </c>
      <c r="M2049" t="s">
        <v>138</v>
      </c>
      <c r="N2049" t="s">
        <v>1717</v>
      </c>
      <c r="O2049" t="s">
        <v>82</v>
      </c>
      <c r="P2049" t="str">
        <f>"4170054855                    "</f>
        <v xml:space="preserve">4170054855                    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0</v>
      </c>
      <c r="AL2049">
        <v>0</v>
      </c>
      <c r="AM2049">
        <v>0</v>
      </c>
      <c r="AN2049">
        <v>0</v>
      </c>
      <c r="AO2049">
        <v>0</v>
      </c>
      <c r="AP2049">
        <v>0</v>
      </c>
      <c r="AQ2049">
        <v>23.09</v>
      </c>
      <c r="AR2049">
        <v>0</v>
      </c>
      <c r="AS2049">
        <v>0</v>
      </c>
      <c r="AT2049">
        <v>0</v>
      </c>
      <c r="AU2049">
        <v>0</v>
      </c>
      <c r="AV2049">
        <v>0</v>
      </c>
      <c r="AW2049">
        <v>0</v>
      </c>
      <c r="AX2049">
        <v>0</v>
      </c>
      <c r="AY2049">
        <v>0</v>
      </c>
      <c r="AZ2049">
        <v>0</v>
      </c>
      <c r="BA2049">
        <v>0</v>
      </c>
      <c r="BB2049">
        <v>0</v>
      </c>
      <c r="BC2049">
        <v>0</v>
      </c>
      <c r="BD2049">
        <v>0</v>
      </c>
      <c r="BE2049">
        <v>0</v>
      </c>
      <c r="BF2049">
        <v>0</v>
      </c>
      <c r="BG2049">
        <v>0</v>
      </c>
      <c r="BH2049">
        <v>1</v>
      </c>
      <c r="BI2049">
        <v>1</v>
      </c>
      <c r="BJ2049">
        <v>0.2</v>
      </c>
      <c r="BK2049">
        <v>1</v>
      </c>
      <c r="BL2049">
        <v>71.69</v>
      </c>
      <c r="BM2049">
        <v>10.75</v>
      </c>
      <c r="BN2049">
        <v>82.44</v>
      </c>
      <c r="BO2049">
        <v>82.44</v>
      </c>
      <c r="BQ2049" t="s">
        <v>1718</v>
      </c>
      <c r="BR2049" t="s">
        <v>84</v>
      </c>
      <c r="BS2049" s="3">
        <v>45884</v>
      </c>
      <c r="BT2049" s="4">
        <v>0.41180555555555554</v>
      </c>
      <c r="BU2049" t="s">
        <v>2639</v>
      </c>
      <c r="BV2049" t="s">
        <v>86</v>
      </c>
      <c r="BY2049">
        <v>1200</v>
      </c>
      <c r="CA2049" t="s">
        <v>264</v>
      </c>
      <c r="CC2049" t="s">
        <v>138</v>
      </c>
      <c r="CD2049">
        <v>3610</v>
      </c>
      <c r="CE2049" t="s">
        <v>109</v>
      </c>
      <c r="CF2049" s="3">
        <v>45884</v>
      </c>
      <c r="CI2049">
        <v>1</v>
      </c>
      <c r="CJ2049">
        <v>1</v>
      </c>
      <c r="CK2049">
        <v>21</v>
      </c>
      <c r="CL2049" t="s">
        <v>90</v>
      </c>
    </row>
    <row r="2050" spans="1:90" x14ac:dyDescent="0.3">
      <c r="A2050" t="s">
        <v>72</v>
      </c>
      <c r="B2050" t="s">
        <v>73</v>
      </c>
      <c r="C2050" t="s">
        <v>74</v>
      </c>
      <c r="E2050" t="str">
        <f>"080067241787"</f>
        <v>080067241787</v>
      </c>
      <c r="F2050" s="3">
        <v>45883</v>
      </c>
      <c r="G2050">
        <v>202605</v>
      </c>
      <c r="H2050" t="s">
        <v>75</v>
      </c>
      <c r="I2050" t="s">
        <v>76</v>
      </c>
      <c r="J2050" t="s">
        <v>77</v>
      </c>
      <c r="K2050" t="s">
        <v>78</v>
      </c>
      <c r="L2050" t="s">
        <v>349</v>
      </c>
      <c r="M2050" t="s">
        <v>350</v>
      </c>
      <c r="N2050" t="s">
        <v>2451</v>
      </c>
      <c r="O2050" t="s">
        <v>82</v>
      </c>
      <c r="P2050" t="str">
        <f>"4170054836                    "</f>
        <v xml:space="preserve">4170054836                    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0</v>
      </c>
      <c r="AI2050">
        <v>0</v>
      </c>
      <c r="AJ2050">
        <v>0</v>
      </c>
      <c r="AK2050">
        <v>0</v>
      </c>
      <c r="AL2050">
        <v>0</v>
      </c>
      <c r="AM2050">
        <v>0</v>
      </c>
      <c r="AN2050">
        <v>0</v>
      </c>
      <c r="AO2050">
        <v>0</v>
      </c>
      <c r="AP2050">
        <v>0</v>
      </c>
      <c r="AQ2050">
        <v>44.73</v>
      </c>
      <c r="AR2050">
        <v>0</v>
      </c>
      <c r="AS2050">
        <v>0</v>
      </c>
      <c r="AT2050">
        <v>0</v>
      </c>
      <c r="AU2050">
        <v>0</v>
      </c>
      <c r="AV2050">
        <v>0</v>
      </c>
      <c r="AW2050">
        <v>16.739999999999998</v>
      </c>
      <c r="AX2050">
        <v>0</v>
      </c>
      <c r="AY2050">
        <v>0</v>
      </c>
      <c r="AZ2050">
        <v>0</v>
      </c>
      <c r="BA2050">
        <v>0</v>
      </c>
      <c r="BB2050">
        <v>0</v>
      </c>
      <c r="BC2050">
        <v>0</v>
      </c>
      <c r="BD2050">
        <v>0</v>
      </c>
      <c r="BE2050">
        <v>0</v>
      </c>
      <c r="BF2050">
        <v>0</v>
      </c>
      <c r="BG2050">
        <v>0</v>
      </c>
      <c r="BH2050">
        <v>1</v>
      </c>
      <c r="BI2050">
        <v>1</v>
      </c>
      <c r="BJ2050">
        <v>0.2</v>
      </c>
      <c r="BK2050">
        <v>1</v>
      </c>
      <c r="BL2050">
        <v>155.63</v>
      </c>
      <c r="BM2050">
        <v>23.34</v>
      </c>
      <c r="BN2050">
        <v>178.97</v>
      </c>
      <c r="BO2050">
        <v>178.97</v>
      </c>
      <c r="BQ2050" t="s">
        <v>2452</v>
      </c>
      <c r="BR2050" t="s">
        <v>84</v>
      </c>
      <c r="BS2050" s="3">
        <v>45884</v>
      </c>
      <c r="BT2050" s="4">
        <v>0.52777777777777779</v>
      </c>
      <c r="BU2050" t="s">
        <v>2453</v>
      </c>
      <c r="BV2050" t="s">
        <v>86</v>
      </c>
      <c r="BY2050">
        <v>1200</v>
      </c>
      <c r="BZ2050" t="s">
        <v>30</v>
      </c>
      <c r="CC2050" t="s">
        <v>350</v>
      </c>
      <c r="CD2050" s="5" t="s">
        <v>2454</v>
      </c>
      <c r="CE2050" t="s">
        <v>109</v>
      </c>
      <c r="CF2050" s="3">
        <v>45887</v>
      </c>
      <c r="CI2050">
        <v>1</v>
      </c>
      <c r="CJ2050">
        <v>1</v>
      </c>
      <c r="CK2050">
        <v>23</v>
      </c>
      <c r="CL2050" t="s">
        <v>90</v>
      </c>
    </row>
    <row r="2051" spans="1:90" x14ac:dyDescent="0.3">
      <c r="A2051" t="s">
        <v>72</v>
      </c>
      <c r="B2051" t="s">
        <v>73</v>
      </c>
      <c r="C2051" t="s">
        <v>74</v>
      </c>
      <c r="E2051" t="str">
        <f>"080067241844"</f>
        <v>080067241844</v>
      </c>
      <c r="F2051" s="3">
        <v>45883</v>
      </c>
      <c r="G2051">
        <v>202605</v>
      </c>
      <c r="H2051" t="s">
        <v>75</v>
      </c>
      <c r="I2051" t="s">
        <v>76</v>
      </c>
      <c r="J2051" t="s">
        <v>77</v>
      </c>
      <c r="K2051" t="s">
        <v>78</v>
      </c>
      <c r="L2051" t="s">
        <v>75</v>
      </c>
      <c r="M2051" t="s">
        <v>76</v>
      </c>
      <c r="N2051" t="s">
        <v>1789</v>
      </c>
      <c r="O2051" t="s">
        <v>82</v>
      </c>
      <c r="P2051" t="str">
        <f>"4170054802                    "</f>
        <v xml:space="preserve">4170054802                    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0</v>
      </c>
      <c r="AI2051">
        <v>0</v>
      </c>
      <c r="AJ2051">
        <v>0</v>
      </c>
      <c r="AK2051">
        <v>0</v>
      </c>
      <c r="AL2051">
        <v>0</v>
      </c>
      <c r="AM2051">
        <v>0</v>
      </c>
      <c r="AN2051">
        <v>0</v>
      </c>
      <c r="AO2051">
        <v>0</v>
      </c>
      <c r="AP2051">
        <v>0</v>
      </c>
      <c r="AQ2051">
        <v>18.03</v>
      </c>
      <c r="AR2051">
        <v>0</v>
      </c>
      <c r="AS2051">
        <v>0</v>
      </c>
      <c r="AT2051">
        <v>0</v>
      </c>
      <c r="AU2051">
        <v>0</v>
      </c>
      <c r="AV2051">
        <v>0</v>
      </c>
      <c r="AW2051">
        <v>0</v>
      </c>
      <c r="AX2051">
        <v>0</v>
      </c>
      <c r="AY2051">
        <v>0</v>
      </c>
      <c r="AZ2051">
        <v>0</v>
      </c>
      <c r="BA2051">
        <v>0</v>
      </c>
      <c r="BB2051">
        <v>0</v>
      </c>
      <c r="BC2051">
        <v>0</v>
      </c>
      <c r="BD2051">
        <v>0</v>
      </c>
      <c r="BE2051">
        <v>0</v>
      </c>
      <c r="BF2051">
        <v>0</v>
      </c>
      <c r="BG2051">
        <v>0</v>
      </c>
      <c r="BH2051">
        <v>1</v>
      </c>
      <c r="BI2051">
        <v>1</v>
      </c>
      <c r="BJ2051">
        <v>0.2</v>
      </c>
      <c r="BK2051">
        <v>1</v>
      </c>
      <c r="BL2051">
        <v>55.99</v>
      </c>
      <c r="BM2051">
        <v>8.4</v>
      </c>
      <c r="BN2051">
        <v>64.39</v>
      </c>
      <c r="BO2051">
        <v>64.39</v>
      </c>
      <c r="BQ2051" t="s">
        <v>1790</v>
      </c>
      <c r="BR2051" t="s">
        <v>84</v>
      </c>
      <c r="BS2051" s="3">
        <v>45885</v>
      </c>
      <c r="BT2051" s="4">
        <v>0.37222222222222223</v>
      </c>
      <c r="BU2051" t="s">
        <v>2640</v>
      </c>
      <c r="BV2051" t="s">
        <v>90</v>
      </c>
      <c r="BY2051">
        <v>1200</v>
      </c>
      <c r="CC2051" t="s">
        <v>76</v>
      </c>
      <c r="CD2051">
        <v>1600</v>
      </c>
      <c r="CE2051" t="s">
        <v>109</v>
      </c>
      <c r="CF2051" s="3">
        <v>45887</v>
      </c>
      <c r="CI2051">
        <v>1</v>
      </c>
      <c r="CJ2051">
        <v>1</v>
      </c>
      <c r="CK2051">
        <v>22</v>
      </c>
      <c r="CL2051" t="s">
        <v>90</v>
      </c>
    </row>
    <row r="2052" spans="1:90" x14ac:dyDescent="0.3">
      <c r="A2052" t="s">
        <v>72</v>
      </c>
      <c r="B2052" t="s">
        <v>73</v>
      </c>
      <c r="C2052" t="s">
        <v>74</v>
      </c>
      <c r="E2052" t="str">
        <f>"080067241890"</f>
        <v>080067241890</v>
      </c>
      <c r="F2052" s="3">
        <v>45883</v>
      </c>
      <c r="G2052">
        <v>202605</v>
      </c>
      <c r="H2052" t="s">
        <v>75</v>
      </c>
      <c r="I2052" t="s">
        <v>76</v>
      </c>
      <c r="J2052" t="s">
        <v>77</v>
      </c>
      <c r="K2052" t="s">
        <v>78</v>
      </c>
      <c r="L2052" t="s">
        <v>325</v>
      </c>
      <c r="M2052" t="s">
        <v>326</v>
      </c>
      <c r="N2052" t="s">
        <v>417</v>
      </c>
      <c r="O2052" t="s">
        <v>82</v>
      </c>
      <c r="P2052" t="str">
        <f>"4170054815                    "</f>
        <v xml:space="preserve">4170054815                    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0</v>
      </c>
      <c r="AI2052">
        <v>0</v>
      </c>
      <c r="AJ2052">
        <v>0</v>
      </c>
      <c r="AK2052">
        <v>0</v>
      </c>
      <c r="AL2052">
        <v>0</v>
      </c>
      <c r="AM2052">
        <v>0</v>
      </c>
      <c r="AN2052">
        <v>0</v>
      </c>
      <c r="AO2052">
        <v>0</v>
      </c>
      <c r="AP2052">
        <v>0</v>
      </c>
      <c r="AQ2052">
        <v>18.03</v>
      </c>
      <c r="AR2052">
        <v>0</v>
      </c>
      <c r="AS2052">
        <v>0</v>
      </c>
      <c r="AT2052">
        <v>0</v>
      </c>
      <c r="AU2052">
        <v>0</v>
      </c>
      <c r="AV2052">
        <v>0</v>
      </c>
      <c r="AW2052">
        <v>0</v>
      </c>
      <c r="AX2052">
        <v>0</v>
      </c>
      <c r="AY2052">
        <v>0</v>
      </c>
      <c r="AZ2052">
        <v>0</v>
      </c>
      <c r="BA2052">
        <v>0</v>
      </c>
      <c r="BB2052">
        <v>0</v>
      </c>
      <c r="BC2052">
        <v>0</v>
      </c>
      <c r="BD2052">
        <v>0</v>
      </c>
      <c r="BE2052">
        <v>0</v>
      </c>
      <c r="BF2052">
        <v>0</v>
      </c>
      <c r="BG2052">
        <v>0</v>
      </c>
      <c r="BH2052">
        <v>1</v>
      </c>
      <c r="BI2052">
        <v>1</v>
      </c>
      <c r="BJ2052">
        <v>0.2</v>
      </c>
      <c r="BK2052">
        <v>1</v>
      </c>
      <c r="BL2052">
        <v>55.99</v>
      </c>
      <c r="BM2052">
        <v>8.4</v>
      </c>
      <c r="BN2052">
        <v>64.39</v>
      </c>
      <c r="BO2052">
        <v>64.39</v>
      </c>
      <c r="BQ2052" t="s">
        <v>418</v>
      </c>
      <c r="BR2052" t="s">
        <v>84</v>
      </c>
      <c r="BS2052" s="3">
        <v>45884</v>
      </c>
      <c r="BT2052" s="4">
        <v>0.40625</v>
      </c>
      <c r="BU2052" t="s">
        <v>2641</v>
      </c>
      <c r="BV2052" t="s">
        <v>86</v>
      </c>
      <c r="BY2052">
        <v>1200</v>
      </c>
      <c r="CA2052" t="s">
        <v>331</v>
      </c>
      <c r="CC2052" t="s">
        <v>326</v>
      </c>
      <c r="CD2052">
        <v>2013</v>
      </c>
      <c r="CE2052" t="s">
        <v>109</v>
      </c>
      <c r="CF2052" s="3">
        <v>45884</v>
      </c>
      <c r="CI2052">
        <v>1</v>
      </c>
      <c r="CJ2052">
        <v>1</v>
      </c>
      <c r="CK2052">
        <v>22</v>
      </c>
      <c r="CL2052" t="s">
        <v>90</v>
      </c>
    </row>
    <row r="2053" spans="1:90" x14ac:dyDescent="0.3">
      <c r="A2053" t="s">
        <v>72</v>
      </c>
      <c r="B2053" t="s">
        <v>73</v>
      </c>
      <c r="C2053" t="s">
        <v>74</v>
      </c>
      <c r="E2053" t="str">
        <f>"080067241916"</f>
        <v>080067241916</v>
      </c>
      <c r="F2053" s="3">
        <v>45883</v>
      </c>
      <c r="G2053">
        <v>202605</v>
      </c>
      <c r="H2053" t="s">
        <v>75</v>
      </c>
      <c r="I2053" t="s">
        <v>76</v>
      </c>
      <c r="J2053" t="s">
        <v>77</v>
      </c>
      <c r="K2053" t="s">
        <v>78</v>
      </c>
      <c r="L2053" t="s">
        <v>1275</v>
      </c>
      <c r="M2053" t="s">
        <v>1276</v>
      </c>
      <c r="N2053" t="s">
        <v>1277</v>
      </c>
      <c r="O2053" t="s">
        <v>82</v>
      </c>
      <c r="P2053" t="str">
        <f>"4170054974                    "</f>
        <v xml:space="preserve">4170054974                    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0</v>
      </c>
      <c r="AI2053">
        <v>0</v>
      </c>
      <c r="AJ2053"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0</v>
      </c>
      <c r="AQ2053">
        <v>44.73</v>
      </c>
      <c r="AR2053">
        <v>0</v>
      </c>
      <c r="AS2053">
        <v>0</v>
      </c>
      <c r="AT2053">
        <v>0</v>
      </c>
      <c r="AU2053">
        <v>0</v>
      </c>
      <c r="AV2053">
        <v>0</v>
      </c>
      <c r="AW2053">
        <v>0</v>
      </c>
      <c r="AX2053">
        <v>0</v>
      </c>
      <c r="AY2053">
        <v>0</v>
      </c>
      <c r="AZ2053">
        <v>0</v>
      </c>
      <c r="BA2053">
        <v>0</v>
      </c>
      <c r="BB2053">
        <v>0</v>
      </c>
      <c r="BC2053">
        <v>0</v>
      </c>
      <c r="BD2053">
        <v>0</v>
      </c>
      <c r="BE2053">
        <v>0</v>
      </c>
      <c r="BF2053">
        <v>0</v>
      </c>
      <c r="BG2053">
        <v>0</v>
      </c>
      <c r="BH2053">
        <v>1</v>
      </c>
      <c r="BI2053">
        <v>1</v>
      </c>
      <c r="BJ2053">
        <v>0.2</v>
      </c>
      <c r="BK2053">
        <v>1</v>
      </c>
      <c r="BL2053">
        <v>138.88999999999999</v>
      </c>
      <c r="BM2053">
        <v>20.83</v>
      </c>
      <c r="BN2053">
        <v>159.72</v>
      </c>
      <c r="BO2053">
        <v>159.72</v>
      </c>
      <c r="BQ2053" t="s">
        <v>1278</v>
      </c>
      <c r="BR2053" t="s">
        <v>84</v>
      </c>
      <c r="BS2053" s="3">
        <v>45884</v>
      </c>
      <c r="BT2053" s="4">
        <v>0.4375</v>
      </c>
      <c r="BU2053" t="s">
        <v>2642</v>
      </c>
      <c r="BV2053" t="s">
        <v>86</v>
      </c>
      <c r="BY2053">
        <v>1200</v>
      </c>
      <c r="CA2053" t="s">
        <v>2293</v>
      </c>
      <c r="CC2053" t="s">
        <v>1276</v>
      </c>
      <c r="CD2053">
        <v>1900</v>
      </c>
      <c r="CE2053" t="s">
        <v>109</v>
      </c>
      <c r="CF2053" s="3">
        <v>45887</v>
      </c>
      <c r="CI2053">
        <v>1</v>
      </c>
      <c r="CJ2053">
        <v>1</v>
      </c>
      <c r="CK2053">
        <v>23</v>
      </c>
      <c r="CL2053" t="s">
        <v>90</v>
      </c>
    </row>
    <row r="2054" spans="1:90" x14ac:dyDescent="0.3">
      <c r="A2054" t="s">
        <v>72</v>
      </c>
      <c r="B2054" t="s">
        <v>73</v>
      </c>
      <c r="C2054" t="s">
        <v>74</v>
      </c>
      <c r="E2054" t="str">
        <f>"080067241944"</f>
        <v>080067241944</v>
      </c>
      <c r="F2054" s="3">
        <v>45883</v>
      </c>
      <c r="G2054">
        <v>202605</v>
      </c>
      <c r="H2054" t="s">
        <v>75</v>
      </c>
      <c r="I2054" t="s">
        <v>76</v>
      </c>
      <c r="J2054" t="s">
        <v>77</v>
      </c>
      <c r="K2054" t="s">
        <v>78</v>
      </c>
      <c r="L2054" t="s">
        <v>1616</v>
      </c>
      <c r="M2054" t="s">
        <v>1617</v>
      </c>
      <c r="N2054" t="s">
        <v>1618</v>
      </c>
      <c r="O2054" t="s">
        <v>82</v>
      </c>
      <c r="P2054" t="str">
        <f>"4170054854                    "</f>
        <v xml:space="preserve">4170054854                    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0</v>
      </c>
      <c r="AI2054">
        <v>0</v>
      </c>
      <c r="AJ2054">
        <v>0</v>
      </c>
      <c r="AK2054">
        <v>0</v>
      </c>
      <c r="AL2054">
        <v>0</v>
      </c>
      <c r="AM2054">
        <v>0</v>
      </c>
      <c r="AN2054">
        <v>0</v>
      </c>
      <c r="AO2054">
        <v>0</v>
      </c>
      <c r="AP2054">
        <v>0</v>
      </c>
      <c r="AQ2054">
        <v>44.73</v>
      </c>
      <c r="AR2054">
        <v>0</v>
      </c>
      <c r="AS2054">
        <v>0</v>
      </c>
      <c r="AT2054">
        <v>0</v>
      </c>
      <c r="AU2054">
        <v>0</v>
      </c>
      <c r="AV2054">
        <v>0</v>
      </c>
      <c r="AW2054">
        <v>0</v>
      </c>
      <c r="AX2054">
        <v>0</v>
      </c>
      <c r="AY2054">
        <v>0</v>
      </c>
      <c r="AZ2054">
        <v>0</v>
      </c>
      <c r="BA2054">
        <v>0</v>
      </c>
      <c r="BB2054">
        <v>0</v>
      </c>
      <c r="BC2054">
        <v>0</v>
      </c>
      <c r="BD2054">
        <v>0</v>
      </c>
      <c r="BE2054">
        <v>0</v>
      </c>
      <c r="BF2054">
        <v>0</v>
      </c>
      <c r="BG2054">
        <v>0</v>
      </c>
      <c r="BH2054">
        <v>1</v>
      </c>
      <c r="BI2054">
        <v>1</v>
      </c>
      <c r="BJ2054">
        <v>0.2</v>
      </c>
      <c r="BK2054">
        <v>1</v>
      </c>
      <c r="BL2054">
        <v>138.88999999999999</v>
      </c>
      <c r="BM2054">
        <v>20.83</v>
      </c>
      <c r="BN2054">
        <v>159.72</v>
      </c>
      <c r="BO2054">
        <v>159.72</v>
      </c>
      <c r="BQ2054" t="s">
        <v>1619</v>
      </c>
      <c r="BR2054" t="s">
        <v>84</v>
      </c>
      <c r="BS2054" s="3">
        <v>45884</v>
      </c>
      <c r="BT2054" s="4">
        <v>0.42291666666666666</v>
      </c>
      <c r="BU2054" t="s">
        <v>2643</v>
      </c>
      <c r="BV2054" t="s">
        <v>86</v>
      </c>
      <c r="BY2054">
        <v>1200</v>
      </c>
      <c r="CA2054" t="s">
        <v>1621</v>
      </c>
      <c r="CC2054" t="s">
        <v>1617</v>
      </c>
      <c r="CD2054">
        <v>7349</v>
      </c>
      <c r="CE2054" t="s">
        <v>109</v>
      </c>
      <c r="CF2054" s="3">
        <v>45887</v>
      </c>
      <c r="CI2054">
        <v>1</v>
      </c>
      <c r="CJ2054">
        <v>1</v>
      </c>
      <c r="CK2054">
        <v>23</v>
      </c>
      <c r="CL2054" t="s">
        <v>90</v>
      </c>
    </row>
    <row r="2055" spans="1:90" x14ac:dyDescent="0.3">
      <c r="A2055" t="s">
        <v>72</v>
      </c>
      <c r="B2055" t="s">
        <v>73</v>
      </c>
      <c r="C2055" t="s">
        <v>74</v>
      </c>
      <c r="E2055" t="str">
        <f>"080067241977"</f>
        <v>080067241977</v>
      </c>
      <c r="F2055" s="3">
        <v>45883</v>
      </c>
      <c r="G2055">
        <v>202605</v>
      </c>
      <c r="H2055" t="s">
        <v>75</v>
      </c>
      <c r="I2055" t="s">
        <v>76</v>
      </c>
      <c r="J2055" t="s">
        <v>77</v>
      </c>
      <c r="K2055" t="s">
        <v>78</v>
      </c>
      <c r="L2055" t="s">
        <v>198</v>
      </c>
      <c r="M2055" t="s">
        <v>199</v>
      </c>
      <c r="N2055" t="s">
        <v>680</v>
      </c>
      <c r="O2055" t="s">
        <v>82</v>
      </c>
      <c r="P2055" t="str">
        <f>"4170054752                    "</f>
        <v xml:space="preserve">4170054752                    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0</v>
      </c>
      <c r="AJ2055">
        <v>0</v>
      </c>
      <c r="AK2055">
        <v>0</v>
      </c>
      <c r="AL2055">
        <v>0</v>
      </c>
      <c r="AM2055">
        <v>0</v>
      </c>
      <c r="AN2055">
        <v>0</v>
      </c>
      <c r="AO2055">
        <v>0</v>
      </c>
      <c r="AP2055">
        <v>0</v>
      </c>
      <c r="AQ2055">
        <v>23.09</v>
      </c>
      <c r="AR2055">
        <v>0</v>
      </c>
      <c r="AS2055">
        <v>0</v>
      </c>
      <c r="AT2055">
        <v>0</v>
      </c>
      <c r="AU2055">
        <v>0</v>
      </c>
      <c r="AV2055">
        <v>0</v>
      </c>
      <c r="AW2055">
        <v>0</v>
      </c>
      <c r="AX2055">
        <v>0</v>
      </c>
      <c r="AY2055">
        <v>0</v>
      </c>
      <c r="AZ2055">
        <v>0</v>
      </c>
      <c r="BA2055">
        <v>0</v>
      </c>
      <c r="BB2055">
        <v>0</v>
      </c>
      <c r="BC2055">
        <v>0</v>
      </c>
      <c r="BD2055">
        <v>0</v>
      </c>
      <c r="BE2055">
        <v>0</v>
      </c>
      <c r="BF2055">
        <v>0</v>
      </c>
      <c r="BG2055">
        <v>0</v>
      </c>
      <c r="BH2055">
        <v>1</v>
      </c>
      <c r="BI2055">
        <v>1</v>
      </c>
      <c r="BJ2055">
        <v>0.2</v>
      </c>
      <c r="BK2055">
        <v>1</v>
      </c>
      <c r="BL2055">
        <v>71.69</v>
      </c>
      <c r="BM2055">
        <v>10.75</v>
      </c>
      <c r="BN2055">
        <v>82.44</v>
      </c>
      <c r="BO2055">
        <v>82.44</v>
      </c>
      <c r="BQ2055" t="s">
        <v>681</v>
      </c>
      <c r="BR2055" t="s">
        <v>84</v>
      </c>
      <c r="BS2055" s="3">
        <v>45884</v>
      </c>
      <c r="BT2055" s="4">
        <v>0.41111111111111109</v>
      </c>
      <c r="BU2055" t="s">
        <v>2644</v>
      </c>
      <c r="BV2055" t="s">
        <v>86</v>
      </c>
      <c r="BY2055">
        <v>1200</v>
      </c>
      <c r="CA2055" t="s">
        <v>413</v>
      </c>
      <c r="CC2055" t="s">
        <v>199</v>
      </c>
      <c r="CD2055">
        <v>6001</v>
      </c>
      <c r="CE2055" t="s">
        <v>109</v>
      </c>
      <c r="CF2055" s="3">
        <v>45884</v>
      </c>
      <c r="CI2055">
        <v>1</v>
      </c>
      <c r="CJ2055">
        <v>1</v>
      </c>
      <c r="CK2055">
        <v>21</v>
      </c>
      <c r="CL2055" t="s">
        <v>90</v>
      </c>
    </row>
    <row r="2056" spans="1:90" x14ac:dyDescent="0.3">
      <c r="A2056" t="s">
        <v>72</v>
      </c>
      <c r="B2056" t="s">
        <v>73</v>
      </c>
      <c r="C2056" t="s">
        <v>74</v>
      </c>
      <c r="E2056" t="str">
        <f>"080067241994"</f>
        <v>080067241994</v>
      </c>
      <c r="F2056" s="3">
        <v>45883</v>
      </c>
      <c r="G2056">
        <v>202605</v>
      </c>
      <c r="H2056" t="s">
        <v>75</v>
      </c>
      <c r="I2056" t="s">
        <v>76</v>
      </c>
      <c r="J2056" t="s">
        <v>77</v>
      </c>
      <c r="K2056" t="s">
        <v>78</v>
      </c>
      <c r="L2056" t="s">
        <v>217</v>
      </c>
      <c r="M2056" t="s">
        <v>218</v>
      </c>
      <c r="N2056" t="s">
        <v>219</v>
      </c>
      <c r="O2056" t="s">
        <v>82</v>
      </c>
      <c r="P2056" t="str">
        <f>"4170054758                    "</f>
        <v xml:space="preserve">4170054758                    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0</v>
      </c>
      <c r="AI2056">
        <v>0</v>
      </c>
      <c r="AJ2056"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Q2056">
        <v>23.09</v>
      </c>
      <c r="AR2056">
        <v>0</v>
      </c>
      <c r="AS2056">
        <v>0</v>
      </c>
      <c r="AT2056">
        <v>0</v>
      </c>
      <c r="AU2056">
        <v>0</v>
      </c>
      <c r="AV2056">
        <v>0</v>
      </c>
      <c r="AW2056">
        <v>0</v>
      </c>
      <c r="AX2056">
        <v>0</v>
      </c>
      <c r="AY2056">
        <v>0</v>
      </c>
      <c r="AZ2056">
        <v>0</v>
      </c>
      <c r="BA2056">
        <v>0</v>
      </c>
      <c r="BB2056">
        <v>0</v>
      </c>
      <c r="BC2056">
        <v>0</v>
      </c>
      <c r="BD2056">
        <v>0</v>
      </c>
      <c r="BE2056">
        <v>0</v>
      </c>
      <c r="BF2056">
        <v>0</v>
      </c>
      <c r="BG2056">
        <v>0</v>
      </c>
      <c r="BH2056">
        <v>1</v>
      </c>
      <c r="BI2056">
        <v>1</v>
      </c>
      <c r="BJ2056">
        <v>0.2</v>
      </c>
      <c r="BK2056">
        <v>1</v>
      </c>
      <c r="BL2056">
        <v>71.69</v>
      </c>
      <c r="BM2056">
        <v>10.75</v>
      </c>
      <c r="BN2056">
        <v>82.44</v>
      </c>
      <c r="BO2056">
        <v>82.44</v>
      </c>
      <c r="BQ2056" t="s">
        <v>220</v>
      </c>
      <c r="BR2056" t="s">
        <v>84</v>
      </c>
      <c r="BS2056" s="3">
        <v>45884</v>
      </c>
      <c r="BT2056" s="4">
        <v>0.3215277777777778</v>
      </c>
      <c r="BU2056" t="s">
        <v>2366</v>
      </c>
      <c r="BV2056" t="s">
        <v>86</v>
      </c>
      <c r="BY2056">
        <v>1200</v>
      </c>
      <c r="CA2056" t="s">
        <v>566</v>
      </c>
      <c r="CC2056" t="s">
        <v>218</v>
      </c>
      <c r="CD2056">
        <v>4051</v>
      </c>
      <c r="CE2056" t="s">
        <v>109</v>
      </c>
      <c r="CF2056" s="3">
        <v>45884</v>
      </c>
      <c r="CI2056">
        <v>1</v>
      </c>
      <c r="CJ2056">
        <v>1</v>
      </c>
      <c r="CK2056">
        <v>21</v>
      </c>
      <c r="CL2056" t="s">
        <v>90</v>
      </c>
    </row>
    <row r="2057" spans="1:90" x14ac:dyDescent="0.3">
      <c r="A2057" t="s">
        <v>72</v>
      </c>
      <c r="B2057" t="s">
        <v>73</v>
      </c>
      <c r="C2057" t="s">
        <v>74</v>
      </c>
      <c r="E2057" t="str">
        <f>"080067242026"</f>
        <v>080067242026</v>
      </c>
      <c r="F2057" s="3">
        <v>45883</v>
      </c>
      <c r="G2057">
        <v>202605</v>
      </c>
      <c r="H2057" t="s">
        <v>75</v>
      </c>
      <c r="I2057" t="s">
        <v>76</v>
      </c>
      <c r="J2057" t="s">
        <v>77</v>
      </c>
      <c r="K2057" t="s">
        <v>78</v>
      </c>
      <c r="L2057" t="s">
        <v>75</v>
      </c>
      <c r="M2057" t="s">
        <v>76</v>
      </c>
      <c r="N2057" t="s">
        <v>1784</v>
      </c>
      <c r="O2057" t="s">
        <v>82</v>
      </c>
      <c r="P2057" t="str">
        <f>"4170054693                    "</f>
        <v xml:space="preserve">4170054693                    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0</v>
      </c>
      <c r="AI2057">
        <v>0</v>
      </c>
      <c r="AJ2057">
        <v>0</v>
      </c>
      <c r="AK2057">
        <v>0</v>
      </c>
      <c r="AL2057">
        <v>0</v>
      </c>
      <c r="AM2057">
        <v>0</v>
      </c>
      <c r="AN2057">
        <v>0</v>
      </c>
      <c r="AO2057">
        <v>0</v>
      </c>
      <c r="AP2057">
        <v>0</v>
      </c>
      <c r="AQ2057">
        <v>18.03</v>
      </c>
      <c r="AR2057">
        <v>0</v>
      </c>
      <c r="AS2057">
        <v>0</v>
      </c>
      <c r="AT2057">
        <v>0</v>
      </c>
      <c r="AU2057">
        <v>0</v>
      </c>
      <c r="AV2057">
        <v>0</v>
      </c>
      <c r="AW2057">
        <v>0</v>
      </c>
      <c r="AX2057">
        <v>0</v>
      </c>
      <c r="AY2057">
        <v>0</v>
      </c>
      <c r="AZ2057">
        <v>0</v>
      </c>
      <c r="BA2057">
        <v>0</v>
      </c>
      <c r="BB2057">
        <v>0</v>
      </c>
      <c r="BC2057">
        <v>0</v>
      </c>
      <c r="BD2057">
        <v>0</v>
      </c>
      <c r="BE2057">
        <v>0</v>
      </c>
      <c r="BF2057">
        <v>0</v>
      </c>
      <c r="BG2057">
        <v>0</v>
      </c>
      <c r="BH2057">
        <v>1</v>
      </c>
      <c r="BI2057">
        <v>1</v>
      </c>
      <c r="BJ2057">
        <v>0.2</v>
      </c>
      <c r="BK2057">
        <v>1</v>
      </c>
      <c r="BL2057">
        <v>55.99</v>
      </c>
      <c r="BM2057">
        <v>8.4</v>
      </c>
      <c r="BN2057">
        <v>64.39</v>
      </c>
      <c r="BO2057">
        <v>64.39</v>
      </c>
      <c r="BQ2057" t="s">
        <v>1785</v>
      </c>
      <c r="BR2057" t="s">
        <v>84</v>
      </c>
      <c r="BS2057" s="3">
        <v>45884</v>
      </c>
      <c r="BT2057" s="4">
        <v>0.42708333333333331</v>
      </c>
      <c r="BU2057" t="s">
        <v>1391</v>
      </c>
      <c r="BV2057" t="s">
        <v>86</v>
      </c>
      <c r="BY2057">
        <v>1240</v>
      </c>
      <c r="CA2057" t="s">
        <v>2446</v>
      </c>
      <c r="CC2057" t="s">
        <v>76</v>
      </c>
      <c r="CD2057">
        <v>1600</v>
      </c>
      <c r="CE2057" t="s">
        <v>109</v>
      </c>
      <c r="CF2057" s="3">
        <v>45885</v>
      </c>
      <c r="CI2057">
        <v>1</v>
      </c>
      <c r="CJ2057">
        <v>1</v>
      </c>
      <c r="CK2057">
        <v>22</v>
      </c>
      <c r="CL2057" t="s">
        <v>90</v>
      </c>
    </row>
    <row r="2058" spans="1:90" x14ac:dyDescent="0.3">
      <c r="A2058" t="s">
        <v>72</v>
      </c>
      <c r="B2058" t="s">
        <v>73</v>
      </c>
      <c r="C2058" t="s">
        <v>74</v>
      </c>
      <c r="E2058" t="str">
        <f>"080067242046"</f>
        <v>080067242046</v>
      </c>
      <c r="F2058" s="3">
        <v>45883</v>
      </c>
      <c r="G2058">
        <v>202605</v>
      </c>
      <c r="H2058" t="s">
        <v>75</v>
      </c>
      <c r="I2058" t="s">
        <v>76</v>
      </c>
      <c r="J2058" t="s">
        <v>77</v>
      </c>
      <c r="K2058" t="s">
        <v>78</v>
      </c>
      <c r="L2058" t="s">
        <v>325</v>
      </c>
      <c r="M2058" t="s">
        <v>326</v>
      </c>
      <c r="N2058" t="s">
        <v>458</v>
      </c>
      <c r="O2058" t="s">
        <v>82</v>
      </c>
      <c r="P2058" t="str">
        <f>"4170054853                    "</f>
        <v xml:space="preserve">4170054853                    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0</v>
      </c>
      <c r="AI2058">
        <v>0</v>
      </c>
      <c r="AJ2058">
        <v>0</v>
      </c>
      <c r="AK2058">
        <v>0</v>
      </c>
      <c r="AL2058">
        <v>0</v>
      </c>
      <c r="AM2058">
        <v>0</v>
      </c>
      <c r="AN2058">
        <v>0</v>
      </c>
      <c r="AO2058">
        <v>0</v>
      </c>
      <c r="AP2058">
        <v>0</v>
      </c>
      <c r="AQ2058">
        <v>18.03</v>
      </c>
      <c r="AR2058">
        <v>0</v>
      </c>
      <c r="AS2058">
        <v>0</v>
      </c>
      <c r="AT2058">
        <v>0</v>
      </c>
      <c r="AU2058">
        <v>0</v>
      </c>
      <c r="AV2058">
        <v>0</v>
      </c>
      <c r="AW2058">
        <v>0</v>
      </c>
      <c r="AX2058">
        <v>0</v>
      </c>
      <c r="AY2058">
        <v>0</v>
      </c>
      <c r="AZ2058">
        <v>0</v>
      </c>
      <c r="BA2058">
        <v>0</v>
      </c>
      <c r="BB2058">
        <v>0</v>
      </c>
      <c r="BC2058">
        <v>0</v>
      </c>
      <c r="BD2058">
        <v>0</v>
      </c>
      <c r="BE2058">
        <v>0</v>
      </c>
      <c r="BF2058">
        <v>0</v>
      </c>
      <c r="BG2058">
        <v>0</v>
      </c>
      <c r="BH2058">
        <v>1</v>
      </c>
      <c r="BI2058">
        <v>1</v>
      </c>
      <c r="BJ2058">
        <v>0.2</v>
      </c>
      <c r="BK2058">
        <v>1</v>
      </c>
      <c r="BL2058">
        <v>55.99</v>
      </c>
      <c r="BM2058">
        <v>8.4</v>
      </c>
      <c r="BN2058">
        <v>64.39</v>
      </c>
      <c r="BO2058">
        <v>64.39</v>
      </c>
      <c r="BQ2058" t="s">
        <v>459</v>
      </c>
      <c r="BR2058" t="s">
        <v>84</v>
      </c>
      <c r="BS2058" s="3">
        <v>45884</v>
      </c>
      <c r="BT2058" s="4">
        <v>0.40833333333333333</v>
      </c>
      <c r="BU2058" t="s">
        <v>2645</v>
      </c>
      <c r="BV2058" t="s">
        <v>86</v>
      </c>
      <c r="BY2058">
        <v>1200</v>
      </c>
      <c r="CA2058" t="s">
        <v>461</v>
      </c>
      <c r="CC2058" t="s">
        <v>326</v>
      </c>
      <c r="CD2058">
        <v>2197</v>
      </c>
      <c r="CE2058" t="s">
        <v>109</v>
      </c>
      <c r="CF2058" s="3">
        <v>45885</v>
      </c>
      <c r="CI2058">
        <v>1</v>
      </c>
      <c r="CJ2058">
        <v>1</v>
      </c>
      <c r="CK2058">
        <v>22</v>
      </c>
      <c r="CL2058" t="s">
        <v>90</v>
      </c>
    </row>
    <row r="2059" spans="1:90" x14ac:dyDescent="0.3">
      <c r="A2059" t="s">
        <v>72</v>
      </c>
      <c r="B2059" t="s">
        <v>73</v>
      </c>
      <c r="C2059" t="s">
        <v>74</v>
      </c>
      <c r="E2059" t="str">
        <f>"080067242071"</f>
        <v>080067242071</v>
      </c>
      <c r="F2059" s="3">
        <v>45883</v>
      </c>
      <c r="G2059">
        <v>202605</v>
      </c>
      <c r="H2059" t="s">
        <v>75</v>
      </c>
      <c r="I2059" t="s">
        <v>76</v>
      </c>
      <c r="J2059" t="s">
        <v>77</v>
      </c>
      <c r="K2059" t="s">
        <v>78</v>
      </c>
      <c r="L2059" t="s">
        <v>198</v>
      </c>
      <c r="M2059" t="s">
        <v>199</v>
      </c>
      <c r="N2059" t="s">
        <v>2140</v>
      </c>
      <c r="O2059" t="s">
        <v>82</v>
      </c>
      <c r="P2059" t="str">
        <f>"4170054861                    "</f>
        <v xml:space="preserve">4170054861                    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0</v>
      </c>
      <c r="AI2059">
        <v>0</v>
      </c>
      <c r="AJ2059">
        <v>0</v>
      </c>
      <c r="AK2059">
        <v>0</v>
      </c>
      <c r="AL2059">
        <v>0</v>
      </c>
      <c r="AM2059">
        <v>0</v>
      </c>
      <c r="AN2059">
        <v>0</v>
      </c>
      <c r="AO2059">
        <v>0</v>
      </c>
      <c r="AP2059">
        <v>0</v>
      </c>
      <c r="AQ2059">
        <v>23.09</v>
      </c>
      <c r="AR2059">
        <v>0</v>
      </c>
      <c r="AS2059">
        <v>0</v>
      </c>
      <c r="AT2059">
        <v>0</v>
      </c>
      <c r="AU2059">
        <v>0</v>
      </c>
      <c r="AV2059">
        <v>0</v>
      </c>
      <c r="AW2059">
        <v>0</v>
      </c>
      <c r="AX2059">
        <v>0</v>
      </c>
      <c r="AY2059">
        <v>0</v>
      </c>
      <c r="AZ2059">
        <v>0</v>
      </c>
      <c r="BA2059">
        <v>0</v>
      </c>
      <c r="BB2059">
        <v>0</v>
      </c>
      <c r="BC2059">
        <v>0</v>
      </c>
      <c r="BD2059">
        <v>0</v>
      </c>
      <c r="BE2059">
        <v>0</v>
      </c>
      <c r="BF2059">
        <v>0</v>
      </c>
      <c r="BG2059">
        <v>0</v>
      </c>
      <c r="BH2059">
        <v>1</v>
      </c>
      <c r="BI2059">
        <v>1</v>
      </c>
      <c r="BJ2059">
        <v>0.2</v>
      </c>
      <c r="BK2059">
        <v>1</v>
      </c>
      <c r="BL2059">
        <v>71.69</v>
      </c>
      <c r="BM2059">
        <v>10.75</v>
      </c>
      <c r="BN2059">
        <v>82.44</v>
      </c>
      <c r="BO2059">
        <v>82.44</v>
      </c>
      <c r="BQ2059" t="s">
        <v>2141</v>
      </c>
      <c r="BR2059" t="s">
        <v>84</v>
      </c>
      <c r="BS2059" s="3">
        <v>45884</v>
      </c>
      <c r="BT2059" s="4">
        <v>0.40347222222222223</v>
      </c>
      <c r="BU2059" t="s">
        <v>2142</v>
      </c>
      <c r="BV2059" t="s">
        <v>86</v>
      </c>
      <c r="BY2059">
        <v>1200</v>
      </c>
      <c r="CA2059" t="s">
        <v>203</v>
      </c>
      <c r="CC2059" t="s">
        <v>199</v>
      </c>
      <c r="CD2059">
        <v>6001</v>
      </c>
      <c r="CE2059" t="s">
        <v>109</v>
      </c>
      <c r="CF2059" s="3">
        <v>45884</v>
      </c>
      <c r="CI2059">
        <v>1</v>
      </c>
      <c r="CJ2059">
        <v>1</v>
      </c>
      <c r="CK2059">
        <v>21</v>
      </c>
      <c r="CL2059" t="s">
        <v>90</v>
      </c>
    </row>
    <row r="2060" spans="1:90" x14ac:dyDescent="0.3">
      <c r="A2060" t="s">
        <v>72</v>
      </c>
      <c r="B2060" t="s">
        <v>73</v>
      </c>
      <c r="C2060" t="s">
        <v>74</v>
      </c>
      <c r="E2060" t="str">
        <f>"080067242298"</f>
        <v>080067242298</v>
      </c>
      <c r="F2060" s="3">
        <v>45883</v>
      </c>
      <c r="G2060">
        <v>202605</v>
      </c>
      <c r="H2060" t="s">
        <v>75</v>
      </c>
      <c r="I2060" t="s">
        <v>76</v>
      </c>
      <c r="J2060" t="s">
        <v>77</v>
      </c>
      <c r="K2060" t="s">
        <v>78</v>
      </c>
      <c r="L2060" t="s">
        <v>319</v>
      </c>
      <c r="M2060" t="s">
        <v>320</v>
      </c>
      <c r="N2060" t="s">
        <v>321</v>
      </c>
      <c r="O2060" t="s">
        <v>82</v>
      </c>
      <c r="P2060" t="str">
        <f>"4170054819                    "</f>
        <v xml:space="preserve">4170054819                    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0</v>
      </c>
      <c r="AI2060">
        <v>0</v>
      </c>
      <c r="AJ2060">
        <v>0</v>
      </c>
      <c r="AK2060">
        <v>0</v>
      </c>
      <c r="AL2060">
        <v>0</v>
      </c>
      <c r="AM2060">
        <v>0</v>
      </c>
      <c r="AN2060">
        <v>0</v>
      </c>
      <c r="AO2060">
        <v>0</v>
      </c>
      <c r="AP2060">
        <v>0</v>
      </c>
      <c r="AQ2060">
        <v>44.73</v>
      </c>
      <c r="AR2060">
        <v>0</v>
      </c>
      <c r="AS2060">
        <v>0</v>
      </c>
      <c r="AT2060">
        <v>0</v>
      </c>
      <c r="AU2060">
        <v>0</v>
      </c>
      <c r="AV2060">
        <v>0</v>
      </c>
      <c r="AW2060">
        <v>0</v>
      </c>
      <c r="AX2060">
        <v>0</v>
      </c>
      <c r="AY2060">
        <v>0</v>
      </c>
      <c r="AZ2060">
        <v>0</v>
      </c>
      <c r="BA2060">
        <v>0</v>
      </c>
      <c r="BB2060">
        <v>0</v>
      </c>
      <c r="BC2060">
        <v>0</v>
      </c>
      <c r="BD2060">
        <v>0</v>
      </c>
      <c r="BE2060">
        <v>0</v>
      </c>
      <c r="BF2060">
        <v>0</v>
      </c>
      <c r="BG2060">
        <v>0</v>
      </c>
      <c r="BH2060">
        <v>1</v>
      </c>
      <c r="BI2060">
        <v>2</v>
      </c>
      <c r="BJ2060">
        <v>1.1000000000000001</v>
      </c>
      <c r="BK2060">
        <v>2</v>
      </c>
      <c r="BL2060">
        <v>138.88999999999999</v>
      </c>
      <c r="BM2060">
        <v>20.83</v>
      </c>
      <c r="BN2060">
        <v>159.72</v>
      </c>
      <c r="BO2060">
        <v>159.72</v>
      </c>
      <c r="BQ2060" t="s">
        <v>322</v>
      </c>
      <c r="BR2060" t="s">
        <v>84</v>
      </c>
      <c r="BS2060" s="3">
        <v>45884</v>
      </c>
      <c r="BT2060" s="4">
        <v>0.44305555555555554</v>
      </c>
      <c r="BU2060" t="s">
        <v>1094</v>
      </c>
      <c r="BV2060" t="s">
        <v>86</v>
      </c>
      <c r="BY2060">
        <v>5320</v>
      </c>
      <c r="CA2060" t="s">
        <v>324</v>
      </c>
      <c r="CC2060" t="s">
        <v>320</v>
      </c>
      <c r="CD2060">
        <v>2531</v>
      </c>
      <c r="CE2060" t="s">
        <v>147</v>
      </c>
      <c r="CF2060" s="3">
        <v>45887</v>
      </c>
      <c r="CI2060">
        <v>1</v>
      </c>
      <c r="CJ2060">
        <v>1</v>
      </c>
      <c r="CK2060">
        <v>23</v>
      </c>
      <c r="CL2060" t="s">
        <v>90</v>
      </c>
    </row>
    <row r="2061" spans="1:90" x14ac:dyDescent="0.3">
      <c r="A2061" t="s">
        <v>72</v>
      </c>
      <c r="B2061" t="s">
        <v>73</v>
      </c>
      <c r="C2061" t="s">
        <v>74</v>
      </c>
      <c r="E2061" t="str">
        <f>"080067242339"</f>
        <v>080067242339</v>
      </c>
      <c r="F2061" s="3">
        <v>45883</v>
      </c>
      <c r="G2061">
        <v>202605</v>
      </c>
      <c r="H2061" t="s">
        <v>75</v>
      </c>
      <c r="I2061" t="s">
        <v>76</v>
      </c>
      <c r="J2061" t="s">
        <v>77</v>
      </c>
      <c r="K2061" t="s">
        <v>78</v>
      </c>
      <c r="L2061" t="s">
        <v>217</v>
      </c>
      <c r="M2061" t="s">
        <v>218</v>
      </c>
      <c r="N2061" t="s">
        <v>2646</v>
      </c>
      <c r="O2061" t="s">
        <v>82</v>
      </c>
      <c r="P2061" t="str">
        <f>"4170054933                    "</f>
        <v xml:space="preserve">4170054933                    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Q2061">
        <v>23.09</v>
      </c>
      <c r="AR2061">
        <v>0</v>
      </c>
      <c r="AS2061">
        <v>0</v>
      </c>
      <c r="AT2061">
        <v>0</v>
      </c>
      <c r="AU2061">
        <v>0</v>
      </c>
      <c r="AV2061">
        <v>0</v>
      </c>
      <c r="AW2061">
        <v>0</v>
      </c>
      <c r="AX2061">
        <v>0</v>
      </c>
      <c r="AY2061">
        <v>0</v>
      </c>
      <c r="AZ2061">
        <v>0</v>
      </c>
      <c r="BA2061">
        <v>0</v>
      </c>
      <c r="BB2061">
        <v>0</v>
      </c>
      <c r="BC2061">
        <v>0</v>
      </c>
      <c r="BD2061">
        <v>0</v>
      </c>
      <c r="BE2061">
        <v>0</v>
      </c>
      <c r="BF2061">
        <v>0</v>
      </c>
      <c r="BG2061">
        <v>0</v>
      </c>
      <c r="BH2061">
        <v>1</v>
      </c>
      <c r="BI2061">
        <v>1</v>
      </c>
      <c r="BJ2061">
        <v>1.7</v>
      </c>
      <c r="BK2061">
        <v>2</v>
      </c>
      <c r="BL2061">
        <v>71.69</v>
      </c>
      <c r="BM2061">
        <v>10.75</v>
      </c>
      <c r="BN2061">
        <v>82.44</v>
      </c>
      <c r="BO2061">
        <v>82.44</v>
      </c>
      <c r="BQ2061" t="s">
        <v>2647</v>
      </c>
      <c r="BR2061" t="s">
        <v>84</v>
      </c>
      <c r="BS2061" s="3">
        <v>45887</v>
      </c>
      <c r="BT2061" s="4">
        <v>0.3972222222222222</v>
      </c>
      <c r="BU2061" t="s">
        <v>2648</v>
      </c>
      <c r="BV2061" t="s">
        <v>90</v>
      </c>
      <c r="BW2061" t="s">
        <v>134</v>
      </c>
      <c r="BX2061" t="s">
        <v>641</v>
      </c>
      <c r="BY2061">
        <v>8512</v>
      </c>
      <c r="CA2061" t="s">
        <v>864</v>
      </c>
      <c r="CC2061" t="s">
        <v>218</v>
      </c>
      <c r="CD2061">
        <v>4001</v>
      </c>
      <c r="CE2061" t="s">
        <v>147</v>
      </c>
      <c r="CF2061" s="3">
        <v>45888</v>
      </c>
      <c r="CI2061">
        <v>1</v>
      </c>
      <c r="CJ2061">
        <v>2</v>
      </c>
      <c r="CK2061">
        <v>21</v>
      </c>
      <c r="CL2061" t="s">
        <v>90</v>
      </c>
    </row>
    <row r="2062" spans="1:90" x14ac:dyDescent="0.3">
      <c r="A2062" t="s">
        <v>72</v>
      </c>
      <c r="B2062" t="s">
        <v>73</v>
      </c>
      <c r="C2062" t="s">
        <v>74</v>
      </c>
      <c r="E2062" t="str">
        <f>"080067242381"</f>
        <v>080067242381</v>
      </c>
      <c r="F2062" s="3">
        <v>45883</v>
      </c>
      <c r="G2062">
        <v>202605</v>
      </c>
      <c r="H2062" t="s">
        <v>75</v>
      </c>
      <c r="I2062" t="s">
        <v>76</v>
      </c>
      <c r="J2062" t="s">
        <v>77</v>
      </c>
      <c r="K2062" t="s">
        <v>78</v>
      </c>
      <c r="L2062" t="s">
        <v>137</v>
      </c>
      <c r="M2062" t="s">
        <v>138</v>
      </c>
      <c r="N2062" t="s">
        <v>139</v>
      </c>
      <c r="O2062" t="s">
        <v>82</v>
      </c>
      <c r="P2062" t="str">
        <f>"4170054929                    "</f>
        <v xml:space="preserve">4170054929                    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0</v>
      </c>
      <c r="AI2062">
        <v>0</v>
      </c>
      <c r="AJ2062"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>
        <v>115.35</v>
      </c>
      <c r="AR2062">
        <v>0</v>
      </c>
      <c r="AS2062">
        <v>0</v>
      </c>
      <c r="AT2062">
        <v>0</v>
      </c>
      <c r="AU2062">
        <v>0</v>
      </c>
      <c r="AV2062">
        <v>0</v>
      </c>
      <c r="AW2062">
        <v>0</v>
      </c>
      <c r="AX2062">
        <v>0</v>
      </c>
      <c r="AY2062">
        <v>0</v>
      </c>
      <c r="AZ2062">
        <v>0</v>
      </c>
      <c r="BA2062">
        <v>0</v>
      </c>
      <c r="BB2062">
        <v>0</v>
      </c>
      <c r="BC2062">
        <v>0</v>
      </c>
      <c r="BD2062">
        <v>0</v>
      </c>
      <c r="BE2062">
        <v>0</v>
      </c>
      <c r="BF2062">
        <v>0</v>
      </c>
      <c r="BG2062">
        <v>0</v>
      </c>
      <c r="BH2062">
        <v>1</v>
      </c>
      <c r="BI2062">
        <v>10</v>
      </c>
      <c r="BJ2062">
        <v>3.4</v>
      </c>
      <c r="BK2062">
        <v>10</v>
      </c>
      <c r="BL2062">
        <v>358.19</v>
      </c>
      <c r="BM2062">
        <v>53.73</v>
      </c>
      <c r="BN2062">
        <v>411.92</v>
      </c>
      <c r="BO2062">
        <v>411.92</v>
      </c>
      <c r="BQ2062" t="s">
        <v>140</v>
      </c>
      <c r="BR2062" t="s">
        <v>84</v>
      </c>
      <c r="BS2062" s="3">
        <v>45884</v>
      </c>
      <c r="BT2062" s="4">
        <v>0.5180555555555556</v>
      </c>
      <c r="BU2062" t="s">
        <v>141</v>
      </c>
      <c r="BV2062" t="s">
        <v>90</v>
      </c>
      <c r="BW2062" t="s">
        <v>134</v>
      </c>
      <c r="BX2062" t="s">
        <v>641</v>
      </c>
      <c r="BY2062">
        <v>16965</v>
      </c>
      <c r="CA2062" t="s">
        <v>953</v>
      </c>
      <c r="CC2062" t="s">
        <v>138</v>
      </c>
      <c r="CD2062">
        <v>3620</v>
      </c>
      <c r="CE2062" t="s">
        <v>147</v>
      </c>
      <c r="CF2062" s="3">
        <v>45884</v>
      </c>
      <c r="CI2062">
        <v>1</v>
      </c>
      <c r="CJ2062">
        <v>1</v>
      </c>
      <c r="CK2062">
        <v>21</v>
      </c>
      <c r="CL2062" t="s">
        <v>90</v>
      </c>
    </row>
    <row r="2063" spans="1:90" x14ac:dyDescent="0.3">
      <c r="A2063" t="s">
        <v>72</v>
      </c>
      <c r="B2063" t="s">
        <v>73</v>
      </c>
      <c r="C2063" t="s">
        <v>74</v>
      </c>
      <c r="E2063" t="str">
        <f>"080067242424"</f>
        <v>080067242424</v>
      </c>
      <c r="F2063" s="3">
        <v>45883</v>
      </c>
      <c r="G2063">
        <v>202605</v>
      </c>
      <c r="H2063" t="s">
        <v>75</v>
      </c>
      <c r="I2063" t="s">
        <v>76</v>
      </c>
      <c r="J2063" t="s">
        <v>77</v>
      </c>
      <c r="K2063" t="s">
        <v>78</v>
      </c>
      <c r="L2063" t="s">
        <v>241</v>
      </c>
      <c r="M2063" t="s">
        <v>242</v>
      </c>
      <c r="N2063" t="s">
        <v>717</v>
      </c>
      <c r="O2063" t="s">
        <v>82</v>
      </c>
      <c r="P2063" t="str">
        <f>"4170054497                    "</f>
        <v xml:space="preserve">4170054497                    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0</v>
      </c>
      <c r="AI2063">
        <v>0</v>
      </c>
      <c r="AJ2063">
        <v>0</v>
      </c>
      <c r="AK2063">
        <v>0</v>
      </c>
      <c r="AL2063">
        <v>0</v>
      </c>
      <c r="AM2063">
        <v>0</v>
      </c>
      <c r="AN2063">
        <v>0</v>
      </c>
      <c r="AO2063">
        <v>0</v>
      </c>
      <c r="AP2063">
        <v>0</v>
      </c>
      <c r="AQ2063">
        <v>18.03</v>
      </c>
      <c r="AR2063">
        <v>0</v>
      </c>
      <c r="AS2063">
        <v>0</v>
      </c>
      <c r="AT2063">
        <v>0</v>
      </c>
      <c r="AU2063">
        <v>0</v>
      </c>
      <c r="AV2063">
        <v>0</v>
      </c>
      <c r="AW2063">
        <v>0</v>
      </c>
      <c r="AX2063">
        <v>0</v>
      </c>
      <c r="AY2063">
        <v>0</v>
      </c>
      <c r="AZ2063">
        <v>0</v>
      </c>
      <c r="BA2063">
        <v>0</v>
      </c>
      <c r="BB2063">
        <v>0</v>
      </c>
      <c r="BC2063">
        <v>0</v>
      </c>
      <c r="BD2063">
        <v>0</v>
      </c>
      <c r="BE2063">
        <v>0</v>
      </c>
      <c r="BF2063">
        <v>0</v>
      </c>
      <c r="BG2063">
        <v>0</v>
      </c>
      <c r="BH2063">
        <v>1</v>
      </c>
      <c r="BI2063">
        <v>1</v>
      </c>
      <c r="BJ2063">
        <v>1.1000000000000001</v>
      </c>
      <c r="BK2063">
        <v>2</v>
      </c>
      <c r="BL2063">
        <v>55.99</v>
      </c>
      <c r="BM2063">
        <v>8.4</v>
      </c>
      <c r="BN2063">
        <v>64.39</v>
      </c>
      <c r="BO2063">
        <v>64.39</v>
      </c>
      <c r="BQ2063" t="s">
        <v>718</v>
      </c>
      <c r="BR2063" t="s">
        <v>84</v>
      </c>
      <c r="BS2063" s="3">
        <v>45884</v>
      </c>
      <c r="BT2063" s="4">
        <v>0.35902777777777778</v>
      </c>
      <c r="BU2063" t="s">
        <v>719</v>
      </c>
      <c r="BV2063" t="s">
        <v>86</v>
      </c>
      <c r="BY2063">
        <v>5320</v>
      </c>
      <c r="CA2063" t="s">
        <v>720</v>
      </c>
      <c r="CC2063" t="s">
        <v>242</v>
      </c>
      <c r="CD2063">
        <v>1459</v>
      </c>
      <c r="CE2063" t="s">
        <v>147</v>
      </c>
      <c r="CF2063" s="3">
        <v>45884</v>
      </c>
      <c r="CI2063">
        <v>1</v>
      </c>
      <c r="CJ2063">
        <v>1</v>
      </c>
      <c r="CK2063">
        <v>22</v>
      </c>
      <c r="CL2063" t="s">
        <v>90</v>
      </c>
    </row>
    <row r="2064" spans="1:90" x14ac:dyDescent="0.3">
      <c r="A2064" t="s">
        <v>72</v>
      </c>
      <c r="B2064" t="s">
        <v>73</v>
      </c>
      <c r="C2064" t="s">
        <v>74</v>
      </c>
      <c r="E2064" t="str">
        <f>"080067242453"</f>
        <v>080067242453</v>
      </c>
      <c r="F2064" s="3">
        <v>45883</v>
      </c>
      <c r="G2064">
        <v>202605</v>
      </c>
      <c r="H2064" t="s">
        <v>75</v>
      </c>
      <c r="I2064" t="s">
        <v>76</v>
      </c>
      <c r="J2064" t="s">
        <v>77</v>
      </c>
      <c r="K2064" t="s">
        <v>78</v>
      </c>
      <c r="L2064" t="s">
        <v>123</v>
      </c>
      <c r="M2064" t="s">
        <v>124</v>
      </c>
      <c r="N2064" t="s">
        <v>1115</v>
      </c>
      <c r="O2064" t="s">
        <v>82</v>
      </c>
      <c r="P2064" t="str">
        <f>"4170054912                    "</f>
        <v xml:space="preserve">4170054912                    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0</v>
      </c>
      <c r="AI2064">
        <v>0</v>
      </c>
      <c r="AJ2064">
        <v>0</v>
      </c>
      <c r="AK2064">
        <v>0</v>
      </c>
      <c r="AL2064">
        <v>0</v>
      </c>
      <c r="AM2064">
        <v>0</v>
      </c>
      <c r="AN2064">
        <v>0</v>
      </c>
      <c r="AO2064">
        <v>0</v>
      </c>
      <c r="AP2064">
        <v>0</v>
      </c>
      <c r="AQ2064">
        <v>115.35</v>
      </c>
      <c r="AR2064">
        <v>0</v>
      </c>
      <c r="AS2064">
        <v>0</v>
      </c>
      <c r="AT2064">
        <v>0</v>
      </c>
      <c r="AU2064">
        <v>0</v>
      </c>
      <c r="AV2064">
        <v>0</v>
      </c>
      <c r="AW2064">
        <v>0</v>
      </c>
      <c r="AX2064">
        <v>0</v>
      </c>
      <c r="AY2064">
        <v>0</v>
      </c>
      <c r="AZ2064">
        <v>0</v>
      </c>
      <c r="BA2064">
        <v>0</v>
      </c>
      <c r="BB2064">
        <v>0</v>
      </c>
      <c r="BC2064">
        <v>0</v>
      </c>
      <c r="BD2064">
        <v>0</v>
      </c>
      <c r="BE2064">
        <v>0</v>
      </c>
      <c r="BF2064">
        <v>0</v>
      </c>
      <c r="BG2064">
        <v>0</v>
      </c>
      <c r="BH2064">
        <v>1</v>
      </c>
      <c r="BI2064">
        <v>10</v>
      </c>
      <c r="BJ2064">
        <v>9</v>
      </c>
      <c r="BK2064">
        <v>10</v>
      </c>
      <c r="BL2064">
        <v>358.19</v>
      </c>
      <c r="BM2064">
        <v>53.73</v>
      </c>
      <c r="BN2064">
        <v>411.92</v>
      </c>
      <c r="BO2064">
        <v>411.92</v>
      </c>
      <c r="BQ2064" t="s">
        <v>1116</v>
      </c>
      <c r="BR2064" t="s">
        <v>84</v>
      </c>
      <c r="BS2064" s="3">
        <v>45884</v>
      </c>
      <c r="BT2064" s="4">
        <v>0.40347222222222223</v>
      </c>
      <c r="BU2064" t="s">
        <v>2649</v>
      </c>
      <c r="BV2064" t="s">
        <v>86</v>
      </c>
      <c r="BY2064">
        <v>44928</v>
      </c>
      <c r="CA2064" t="s">
        <v>192</v>
      </c>
      <c r="CC2064" t="s">
        <v>124</v>
      </c>
      <c r="CD2064">
        <v>7441</v>
      </c>
      <c r="CE2064" t="s">
        <v>2650</v>
      </c>
      <c r="CF2064" s="3">
        <v>45887</v>
      </c>
      <c r="CI2064">
        <v>1</v>
      </c>
      <c r="CJ2064">
        <v>1</v>
      </c>
      <c r="CK2064">
        <v>21</v>
      </c>
      <c r="CL2064" t="s">
        <v>90</v>
      </c>
    </row>
    <row r="2065" spans="1:90" x14ac:dyDescent="0.3">
      <c r="A2065" t="s">
        <v>72</v>
      </c>
      <c r="B2065" t="s">
        <v>73</v>
      </c>
      <c r="C2065" t="s">
        <v>74</v>
      </c>
      <c r="E2065" t="str">
        <f>"080067242503"</f>
        <v>080067242503</v>
      </c>
      <c r="F2065" s="3">
        <v>45883</v>
      </c>
      <c r="G2065">
        <v>202605</v>
      </c>
      <c r="H2065" t="s">
        <v>75</v>
      </c>
      <c r="I2065" t="s">
        <v>76</v>
      </c>
      <c r="J2065" t="s">
        <v>77</v>
      </c>
      <c r="K2065" t="s">
        <v>78</v>
      </c>
      <c r="L2065" t="s">
        <v>319</v>
      </c>
      <c r="M2065" t="s">
        <v>320</v>
      </c>
      <c r="N2065" t="s">
        <v>321</v>
      </c>
      <c r="O2065" t="s">
        <v>82</v>
      </c>
      <c r="P2065" t="str">
        <f>"4170054783                    "</f>
        <v xml:space="preserve">4170054783                    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0</v>
      </c>
      <c r="AI2065">
        <v>0</v>
      </c>
      <c r="AJ2065">
        <v>0</v>
      </c>
      <c r="AK2065">
        <v>0</v>
      </c>
      <c r="AL2065">
        <v>0</v>
      </c>
      <c r="AM2065">
        <v>0</v>
      </c>
      <c r="AN2065">
        <v>0</v>
      </c>
      <c r="AO2065">
        <v>0</v>
      </c>
      <c r="AP2065">
        <v>0</v>
      </c>
      <c r="AQ2065">
        <v>44.73</v>
      </c>
      <c r="AR2065">
        <v>0</v>
      </c>
      <c r="AS2065">
        <v>0</v>
      </c>
      <c r="AT2065">
        <v>0</v>
      </c>
      <c r="AU2065">
        <v>0</v>
      </c>
      <c r="AV2065">
        <v>0</v>
      </c>
      <c r="AW2065">
        <v>0</v>
      </c>
      <c r="AX2065">
        <v>0</v>
      </c>
      <c r="AY2065">
        <v>0</v>
      </c>
      <c r="AZ2065">
        <v>0</v>
      </c>
      <c r="BA2065">
        <v>0</v>
      </c>
      <c r="BB2065">
        <v>0</v>
      </c>
      <c r="BC2065">
        <v>0</v>
      </c>
      <c r="BD2065">
        <v>0</v>
      </c>
      <c r="BE2065">
        <v>0</v>
      </c>
      <c r="BF2065">
        <v>0</v>
      </c>
      <c r="BG2065">
        <v>0</v>
      </c>
      <c r="BH2065">
        <v>1</v>
      </c>
      <c r="BI2065">
        <v>1</v>
      </c>
      <c r="BJ2065">
        <v>1.1000000000000001</v>
      </c>
      <c r="BK2065">
        <v>1.5</v>
      </c>
      <c r="BL2065">
        <v>138.88999999999999</v>
      </c>
      <c r="BM2065">
        <v>20.83</v>
      </c>
      <c r="BN2065">
        <v>159.72</v>
      </c>
      <c r="BO2065">
        <v>159.72</v>
      </c>
      <c r="BQ2065" t="s">
        <v>322</v>
      </c>
      <c r="BR2065" t="s">
        <v>84</v>
      </c>
      <c r="BS2065" s="3">
        <v>45884</v>
      </c>
      <c r="BT2065" s="4">
        <v>0.44583333333333336</v>
      </c>
      <c r="BU2065" t="s">
        <v>1295</v>
      </c>
      <c r="BV2065" t="s">
        <v>86</v>
      </c>
      <c r="BY2065">
        <v>5320</v>
      </c>
      <c r="CA2065" t="s">
        <v>324</v>
      </c>
      <c r="CC2065" t="s">
        <v>320</v>
      </c>
      <c r="CD2065">
        <v>2531</v>
      </c>
      <c r="CE2065" t="s">
        <v>147</v>
      </c>
      <c r="CF2065" s="3">
        <v>45887</v>
      </c>
      <c r="CI2065">
        <v>1</v>
      </c>
      <c r="CJ2065">
        <v>1</v>
      </c>
      <c r="CK2065">
        <v>23</v>
      </c>
      <c r="CL2065" t="s">
        <v>90</v>
      </c>
    </row>
    <row r="2066" spans="1:90" x14ac:dyDescent="0.3">
      <c r="A2066" t="s">
        <v>72</v>
      </c>
      <c r="B2066" t="s">
        <v>73</v>
      </c>
      <c r="C2066" t="s">
        <v>74</v>
      </c>
      <c r="E2066" t="str">
        <f>"080067242561"</f>
        <v>080067242561</v>
      </c>
      <c r="F2066" s="3">
        <v>45883</v>
      </c>
      <c r="G2066">
        <v>202605</v>
      </c>
      <c r="H2066" t="s">
        <v>75</v>
      </c>
      <c r="I2066" t="s">
        <v>76</v>
      </c>
      <c r="J2066" t="s">
        <v>77</v>
      </c>
      <c r="K2066" t="s">
        <v>78</v>
      </c>
      <c r="L2066" t="s">
        <v>325</v>
      </c>
      <c r="M2066" t="s">
        <v>326</v>
      </c>
      <c r="N2066" t="s">
        <v>2651</v>
      </c>
      <c r="O2066" t="s">
        <v>82</v>
      </c>
      <c r="P2066" t="str">
        <f>"4170054737                    "</f>
        <v xml:space="preserve">4170054737                    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0</v>
      </c>
      <c r="AI2066">
        <v>0</v>
      </c>
      <c r="AJ2066">
        <v>0</v>
      </c>
      <c r="AK2066">
        <v>0</v>
      </c>
      <c r="AL2066">
        <v>0</v>
      </c>
      <c r="AM2066">
        <v>0</v>
      </c>
      <c r="AN2066">
        <v>0</v>
      </c>
      <c r="AO2066">
        <v>0</v>
      </c>
      <c r="AP2066">
        <v>0</v>
      </c>
      <c r="AQ2066">
        <v>18.03</v>
      </c>
      <c r="AR2066">
        <v>0</v>
      </c>
      <c r="AS2066">
        <v>0</v>
      </c>
      <c r="AT2066">
        <v>0</v>
      </c>
      <c r="AU2066">
        <v>0</v>
      </c>
      <c r="AV2066">
        <v>0</v>
      </c>
      <c r="AW2066">
        <v>0</v>
      </c>
      <c r="AX2066">
        <v>0</v>
      </c>
      <c r="AY2066">
        <v>0</v>
      </c>
      <c r="AZ2066">
        <v>0</v>
      </c>
      <c r="BA2066">
        <v>0</v>
      </c>
      <c r="BB2066">
        <v>0</v>
      </c>
      <c r="BC2066">
        <v>0</v>
      </c>
      <c r="BD2066">
        <v>0</v>
      </c>
      <c r="BE2066">
        <v>0</v>
      </c>
      <c r="BF2066">
        <v>0</v>
      </c>
      <c r="BG2066">
        <v>0</v>
      </c>
      <c r="BH2066">
        <v>1</v>
      </c>
      <c r="BI2066">
        <v>2</v>
      </c>
      <c r="BJ2066">
        <v>1.1000000000000001</v>
      </c>
      <c r="BK2066">
        <v>2</v>
      </c>
      <c r="BL2066">
        <v>55.99</v>
      </c>
      <c r="BM2066">
        <v>8.4</v>
      </c>
      <c r="BN2066">
        <v>64.39</v>
      </c>
      <c r="BO2066">
        <v>64.39</v>
      </c>
      <c r="BQ2066" t="s">
        <v>2652</v>
      </c>
      <c r="BR2066" t="s">
        <v>84</v>
      </c>
      <c r="BS2066" s="3">
        <v>45884</v>
      </c>
      <c r="BT2066" s="4">
        <v>0.39583333333333331</v>
      </c>
      <c r="BU2066" t="s">
        <v>2653</v>
      </c>
      <c r="BV2066" t="s">
        <v>86</v>
      </c>
      <c r="BY2066">
        <v>5320</v>
      </c>
      <c r="CA2066" t="s">
        <v>461</v>
      </c>
      <c r="CC2066" t="s">
        <v>326</v>
      </c>
      <c r="CD2066">
        <v>2049</v>
      </c>
      <c r="CE2066" t="s">
        <v>147</v>
      </c>
      <c r="CF2066" s="3">
        <v>45885</v>
      </c>
      <c r="CI2066">
        <v>1</v>
      </c>
      <c r="CJ2066">
        <v>1</v>
      </c>
      <c r="CK2066">
        <v>22</v>
      </c>
      <c r="CL2066" t="s">
        <v>90</v>
      </c>
    </row>
    <row r="2067" spans="1:90" x14ac:dyDescent="0.3">
      <c r="A2067" t="s">
        <v>72</v>
      </c>
      <c r="B2067" t="s">
        <v>73</v>
      </c>
      <c r="C2067" t="s">
        <v>74</v>
      </c>
      <c r="E2067" t="str">
        <f>"080067242596"</f>
        <v>080067242596</v>
      </c>
      <c r="F2067" s="3">
        <v>45883</v>
      </c>
      <c r="G2067">
        <v>202605</v>
      </c>
      <c r="H2067" t="s">
        <v>75</v>
      </c>
      <c r="I2067" t="s">
        <v>76</v>
      </c>
      <c r="J2067" t="s">
        <v>77</v>
      </c>
      <c r="K2067" t="s">
        <v>78</v>
      </c>
      <c r="L2067" t="s">
        <v>325</v>
      </c>
      <c r="M2067" t="s">
        <v>326</v>
      </c>
      <c r="N2067" t="s">
        <v>2654</v>
      </c>
      <c r="O2067" t="s">
        <v>82</v>
      </c>
      <c r="P2067" t="str">
        <f>"4170054596                    "</f>
        <v xml:space="preserve">4170054596                    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0</v>
      </c>
      <c r="AL2067">
        <v>0</v>
      </c>
      <c r="AM2067">
        <v>0</v>
      </c>
      <c r="AN2067">
        <v>0</v>
      </c>
      <c r="AO2067">
        <v>0</v>
      </c>
      <c r="AP2067">
        <v>0</v>
      </c>
      <c r="AQ2067">
        <v>18.03</v>
      </c>
      <c r="AR2067">
        <v>0</v>
      </c>
      <c r="AS2067">
        <v>0</v>
      </c>
      <c r="AT2067">
        <v>0</v>
      </c>
      <c r="AU2067">
        <v>0</v>
      </c>
      <c r="AV2067">
        <v>0</v>
      </c>
      <c r="AW2067">
        <v>0</v>
      </c>
      <c r="AX2067">
        <v>0</v>
      </c>
      <c r="AY2067">
        <v>0</v>
      </c>
      <c r="AZ2067">
        <v>0</v>
      </c>
      <c r="BA2067">
        <v>0</v>
      </c>
      <c r="BB2067">
        <v>0</v>
      </c>
      <c r="BC2067">
        <v>0</v>
      </c>
      <c r="BD2067">
        <v>0</v>
      </c>
      <c r="BE2067">
        <v>0</v>
      </c>
      <c r="BF2067">
        <v>0</v>
      </c>
      <c r="BG2067">
        <v>0</v>
      </c>
      <c r="BH2067">
        <v>1</v>
      </c>
      <c r="BI2067">
        <v>2</v>
      </c>
      <c r="BJ2067">
        <v>1.7</v>
      </c>
      <c r="BK2067">
        <v>2</v>
      </c>
      <c r="BL2067">
        <v>55.99</v>
      </c>
      <c r="BM2067">
        <v>8.4</v>
      </c>
      <c r="BN2067">
        <v>64.39</v>
      </c>
      <c r="BO2067">
        <v>64.39</v>
      </c>
      <c r="BQ2067" t="s">
        <v>2655</v>
      </c>
      <c r="BR2067" t="s">
        <v>84</v>
      </c>
      <c r="BS2067" s="3">
        <v>45884</v>
      </c>
      <c r="BT2067" s="4">
        <v>0.37291666666666667</v>
      </c>
      <c r="BU2067" t="s">
        <v>2656</v>
      </c>
      <c r="BV2067" t="s">
        <v>86</v>
      </c>
      <c r="BY2067">
        <v>8512</v>
      </c>
      <c r="CA2067" t="s">
        <v>1707</v>
      </c>
      <c r="CC2067" t="s">
        <v>326</v>
      </c>
      <c r="CD2067">
        <v>2007</v>
      </c>
      <c r="CE2067" t="s">
        <v>147</v>
      </c>
      <c r="CF2067" s="3">
        <v>45885</v>
      </c>
      <c r="CI2067">
        <v>1</v>
      </c>
      <c r="CJ2067">
        <v>1</v>
      </c>
      <c r="CK2067">
        <v>22</v>
      </c>
      <c r="CL2067" t="s">
        <v>90</v>
      </c>
    </row>
    <row r="2068" spans="1:90" x14ac:dyDescent="0.3">
      <c r="A2068" t="s">
        <v>72</v>
      </c>
      <c r="B2068" t="s">
        <v>73</v>
      </c>
      <c r="C2068" t="s">
        <v>74</v>
      </c>
      <c r="E2068" t="str">
        <f>"080067242632"</f>
        <v>080067242632</v>
      </c>
      <c r="F2068" s="3">
        <v>45883</v>
      </c>
      <c r="G2068">
        <v>202605</v>
      </c>
      <c r="H2068" t="s">
        <v>75</v>
      </c>
      <c r="I2068" t="s">
        <v>76</v>
      </c>
      <c r="J2068" t="s">
        <v>77</v>
      </c>
      <c r="K2068" t="s">
        <v>78</v>
      </c>
      <c r="L2068" t="s">
        <v>75</v>
      </c>
      <c r="M2068" t="s">
        <v>76</v>
      </c>
      <c r="N2068" t="s">
        <v>602</v>
      </c>
      <c r="O2068" t="s">
        <v>82</v>
      </c>
      <c r="P2068" t="str">
        <f>"4170054931                    "</f>
        <v xml:space="preserve">4170054931                    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0</v>
      </c>
      <c r="AI2068">
        <v>0</v>
      </c>
      <c r="AJ2068">
        <v>0</v>
      </c>
      <c r="AK2068">
        <v>0</v>
      </c>
      <c r="AL2068">
        <v>0</v>
      </c>
      <c r="AM2068">
        <v>0</v>
      </c>
      <c r="AN2068">
        <v>0</v>
      </c>
      <c r="AO2068">
        <v>0</v>
      </c>
      <c r="AP2068">
        <v>0</v>
      </c>
      <c r="AQ2068">
        <v>18.03</v>
      </c>
      <c r="AR2068">
        <v>0</v>
      </c>
      <c r="AS2068">
        <v>0</v>
      </c>
      <c r="AT2068">
        <v>0</v>
      </c>
      <c r="AU2068">
        <v>0</v>
      </c>
      <c r="AV2068">
        <v>0</v>
      </c>
      <c r="AW2068">
        <v>0</v>
      </c>
      <c r="AX2068">
        <v>0</v>
      </c>
      <c r="AY2068">
        <v>0</v>
      </c>
      <c r="AZ2068">
        <v>0</v>
      </c>
      <c r="BA2068">
        <v>0</v>
      </c>
      <c r="BB2068">
        <v>0</v>
      </c>
      <c r="BC2068">
        <v>0</v>
      </c>
      <c r="BD2068">
        <v>0</v>
      </c>
      <c r="BE2068">
        <v>0</v>
      </c>
      <c r="BF2068">
        <v>0</v>
      </c>
      <c r="BG2068">
        <v>0</v>
      </c>
      <c r="BH2068">
        <v>1</v>
      </c>
      <c r="BI2068">
        <v>3</v>
      </c>
      <c r="BJ2068">
        <v>1.7</v>
      </c>
      <c r="BK2068">
        <v>3</v>
      </c>
      <c r="BL2068">
        <v>55.99</v>
      </c>
      <c r="BM2068">
        <v>8.4</v>
      </c>
      <c r="BN2068">
        <v>64.39</v>
      </c>
      <c r="BO2068">
        <v>64.39</v>
      </c>
      <c r="BQ2068" t="s">
        <v>603</v>
      </c>
      <c r="BR2068" t="s">
        <v>84</v>
      </c>
      <c r="BS2068" s="3">
        <v>45884</v>
      </c>
      <c r="BT2068" s="4">
        <v>0.33333333333333331</v>
      </c>
      <c r="BU2068" t="s">
        <v>2657</v>
      </c>
      <c r="BV2068" t="s">
        <v>86</v>
      </c>
      <c r="BY2068">
        <v>8550</v>
      </c>
      <c r="CA2068" t="s">
        <v>1327</v>
      </c>
      <c r="CC2068" t="s">
        <v>76</v>
      </c>
      <c r="CD2068">
        <v>1665</v>
      </c>
      <c r="CE2068" t="s">
        <v>147</v>
      </c>
      <c r="CF2068" s="3">
        <v>45884</v>
      </c>
      <c r="CI2068">
        <v>1</v>
      </c>
      <c r="CJ2068">
        <v>1</v>
      </c>
      <c r="CK2068">
        <v>22</v>
      </c>
      <c r="CL2068" t="s">
        <v>90</v>
      </c>
    </row>
    <row r="2069" spans="1:90" x14ac:dyDescent="0.3">
      <c r="A2069" t="s">
        <v>72</v>
      </c>
      <c r="B2069" t="s">
        <v>73</v>
      </c>
      <c r="C2069" t="s">
        <v>74</v>
      </c>
      <c r="E2069" t="str">
        <f>"080067242693"</f>
        <v>080067242693</v>
      </c>
      <c r="F2069" s="3">
        <v>45883</v>
      </c>
      <c r="G2069">
        <v>202605</v>
      </c>
      <c r="H2069" t="s">
        <v>75</v>
      </c>
      <c r="I2069" t="s">
        <v>76</v>
      </c>
      <c r="J2069" t="s">
        <v>77</v>
      </c>
      <c r="K2069" t="s">
        <v>78</v>
      </c>
      <c r="L2069" t="s">
        <v>325</v>
      </c>
      <c r="M2069" t="s">
        <v>326</v>
      </c>
      <c r="N2069" t="s">
        <v>997</v>
      </c>
      <c r="O2069" t="s">
        <v>82</v>
      </c>
      <c r="P2069" t="str">
        <f>"4170054956                    "</f>
        <v xml:space="preserve">4170054956                    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0</v>
      </c>
      <c r="AI2069">
        <v>0</v>
      </c>
      <c r="AJ2069">
        <v>0</v>
      </c>
      <c r="AK2069">
        <v>0</v>
      </c>
      <c r="AL2069">
        <v>0</v>
      </c>
      <c r="AM2069">
        <v>0</v>
      </c>
      <c r="AN2069">
        <v>0</v>
      </c>
      <c r="AO2069">
        <v>0</v>
      </c>
      <c r="AP2069">
        <v>0</v>
      </c>
      <c r="AQ2069">
        <v>18.03</v>
      </c>
      <c r="AR2069">
        <v>0</v>
      </c>
      <c r="AS2069">
        <v>0</v>
      </c>
      <c r="AT2069">
        <v>0</v>
      </c>
      <c r="AU2069">
        <v>0</v>
      </c>
      <c r="AV2069">
        <v>0</v>
      </c>
      <c r="AW2069">
        <v>0</v>
      </c>
      <c r="AX2069">
        <v>0</v>
      </c>
      <c r="AY2069">
        <v>0</v>
      </c>
      <c r="AZ2069">
        <v>0</v>
      </c>
      <c r="BA2069">
        <v>0</v>
      </c>
      <c r="BB2069">
        <v>0</v>
      </c>
      <c r="BC2069">
        <v>0</v>
      </c>
      <c r="BD2069">
        <v>0</v>
      </c>
      <c r="BE2069">
        <v>0</v>
      </c>
      <c r="BF2069">
        <v>0</v>
      </c>
      <c r="BG2069">
        <v>0</v>
      </c>
      <c r="BH2069">
        <v>1</v>
      </c>
      <c r="BI2069">
        <v>2</v>
      </c>
      <c r="BJ2069">
        <v>0.6</v>
      </c>
      <c r="BK2069">
        <v>2</v>
      </c>
      <c r="BL2069">
        <v>55.99</v>
      </c>
      <c r="BM2069">
        <v>8.4</v>
      </c>
      <c r="BN2069">
        <v>64.39</v>
      </c>
      <c r="BO2069">
        <v>64.39</v>
      </c>
      <c r="BQ2069" t="s">
        <v>998</v>
      </c>
      <c r="BR2069" t="s">
        <v>84</v>
      </c>
      <c r="BS2069" s="3">
        <v>45884</v>
      </c>
      <c r="BT2069" s="4">
        <v>0.41249999999999998</v>
      </c>
      <c r="BU2069" t="s">
        <v>604</v>
      </c>
      <c r="BV2069" t="s">
        <v>86</v>
      </c>
      <c r="BY2069">
        <v>3192</v>
      </c>
      <c r="CA2069" t="s">
        <v>461</v>
      </c>
      <c r="CC2069" t="s">
        <v>326</v>
      </c>
      <c r="CD2069">
        <v>2049</v>
      </c>
      <c r="CE2069" t="s">
        <v>147</v>
      </c>
      <c r="CF2069" s="3">
        <v>45885</v>
      </c>
      <c r="CI2069">
        <v>1</v>
      </c>
      <c r="CJ2069">
        <v>1</v>
      </c>
      <c r="CK2069">
        <v>22</v>
      </c>
      <c r="CL2069" t="s">
        <v>90</v>
      </c>
    </row>
    <row r="2070" spans="1:90" x14ac:dyDescent="0.3">
      <c r="A2070" t="s">
        <v>72</v>
      </c>
      <c r="B2070" t="s">
        <v>73</v>
      </c>
      <c r="C2070" t="s">
        <v>74</v>
      </c>
      <c r="E2070" t="str">
        <f>"080067242722"</f>
        <v>080067242722</v>
      </c>
      <c r="F2070" s="3">
        <v>45883</v>
      </c>
      <c r="G2070">
        <v>202605</v>
      </c>
      <c r="H2070" t="s">
        <v>75</v>
      </c>
      <c r="I2070" t="s">
        <v>76</v>
      </c>
      <c r="J2070" t="s">
        <v>77</v>
      </c>
      <c r="K2070" t="s">
        <v>78</v>
      </c>
      <c r="L2070" t="s">
        <v>79</v>
      </c>
      <c r="M2070" t="s">
        <v>80</v>
      </c>
      <c r="N2070" t="s">
        <v>1787</v>
      </c>
      <c r="O2070" t="s">
        <v>113</v>
      </c>
      <c r="P2070" t="str">
        <f>"4170054728                    "</f>
        <v xml:space="preserve">4170054728                    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0</v>
      </c>
      <c r="AI2070">
        <v>0</v>
      </c>
      <c r="AJ2070"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Q2070">
        <v>18.04</v>
      </c>
      <c r="AR2070">
        <v>0</v>
      </c>
      <c r="AS2070">
        <v>0</v>
      </c>
      <c r="AT2070">
        <v>0</v>
      </c>
      <c r="AU2070">
        <v>0</v>
      </c>
      <c r="AV2070">
        <v>0</v>
      </c>
      <c r="AW2070">
        <v>0</v>
      </c>
      <c r="AX2070">
        <v>0</v>
      </c>
      <c r="AY2070">
        <v>0</v>
      </c>
      <c r="AZ2070">
        <v>0</v>
      </c>
      <c r="BA2070">
        <v>0</v>
      </c>
      <c r="BB2070">
        <v>0</v>
      </c>
      <c r="BC2070">
        <v>0</v>
      </c>
      <c r="BD2070">
        <v>0</v>
      </c>
      <c r="BE2070">
        <v>0</v>
      </c>
      <c r="BF2070">
        <v>0</v>
      </c>
      <c r="BG2070">
        <v>0</v>
      </c>
      <c r="BH2070">
        <v>1</v>
      </c>
      <c r="BI2070">
        <v>5</v>
      </c>
      <c r="BJ2070">
        <v>1.1000000000000001</v>
      </c>
      <c r="BK2070">
        <v>5</v>
      </c>
      <c r="BL2070">
        <v>56.01</v>
      </c>
      <c r="BM2070">
        <v>8.4</v>
      </c>
      <c r="BN2070">
        <v>64.41</v>
      </c>
      <c r="BO2070">
        <v>64.41</v>
      </c>
      <c r="BQ2070" t="s">
        <v>1788</v>
      </c>
      <c r="BR2070" t="s">
        <v>84</v>
      </c>
      <c r="BS2070" s="3">
        <v>45884</v>
      </c>
      <c r="BT2070" s="4">
        <v>0.47847222222222224</v>
      </c>
      <c r="BU2070" t="s">
        <v>121</v>
      </c>
      <c r="BV2070" t="s">
        <v>86</v>
      </c>
      <c r="BY2070">
        <v>5320</v>
      </c>
      <c r="CA2070" t="s">
        <v>1026</v>
      </c>
      <c r="CC2070" t="s">
        <v>80</v>
      </c>
      <c r="CD2070">
        <v>1401</v>
      </c>
      <c r="CE2070" t="s">
        <v>147</v>
      </c>
      <c r="CF2070" s="3">
        <v>45884</v>
      </c>
      <c r="CI2070">
        <v>1</v>
      </c>
      <c r="CJ2070">
        <v>1</v>
      </c>
      <c r="CK2070">
        <v>32</v>
      </c>
      <c r="CL2070" t="s">
        <v>90</v>
      </c>
    </row>
    <row r="2071" spans="1:90" x14ac:dyDescent="0.3">
      <c r="A2071" t="s">
        <v>72</v>
      </c>
      <c r="B2071" t="s">
        <v>73</v>
      </c>
      <c r="C2071" t="s">
        <v>74</v>
      </c>
      <c r="E2071" t="str">
        <f>"080067242767"</f>
        <v>080067242767</v>
      </c>
      <c r="F2071" s="3">
        <v>45883</v>
      </c>
      <c r="G2071">
        <v>202605</v>
      </c>
      <c r="H2071" t="s">
        <v>75</v>
      </c>
      <c r="I2071" t="s">
        <v>76</v>
      </c>
      <c r="J2071" t="s">
        <v>77</v>
      </c>
      <c r="K2071" t="s">
        <v>78</v>
      </c>
      <c r="L2071" t="s">
        <v>278</v>
      </c>
      <c r="M2071" t="s">
        <v>279</v>
      </c>
      <c r="N2071" t="s">
        <v>1036</v>
      </c>
      <c r="O2071" t="s">
        <v>82</v>
      </c>
      <c r="P2071" t="str">
        <f>"4170054963                    "</f>
        <v xml:space="preserve">4170054963                    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0</v>
      </c>
      <c r="AI2071">
        <v>0</v>
      </c>
      <c r="AJ2071"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Q2071">
        <v>23.09</v>
      </c>
      <c r="AR2071">
        <v>0</v>
      </c>
      <c r="AS2071">
        <v>0</v>
      </c>
      <c r="AT2071">
        <v>0</v>
      </c>
      <c r="AU2071">
        <v>0</v>
      </c>
      <c r="AV2071">
        <v>0</v>
      </c>
      <c r="AW2071">
        <v>0</v>
      </c>
      <c r="AX2071">
        <v>0</v>
      </c>
      <c r="AY2071">
        <v>0</v>
      </c>
      <c r="AZ2071">
        <v>0</v>
      </c>
      <c r="BA2071">
        <v>0</v>
      </c>
      <c r="BB2071">
        <v>0</v>
      </c>
      <c r="BC2071">
        <v>0</v>
      </c>
      <c r="BD2071">
        <v>0</v>
      </c>
      <c r="BE2071">
        <v>0</v>
      </c>
      <c r="BF2071">
        <v>0</v>
      </c>
      <c r="BG2071">
        <v>0</v>
      </c>
      <c r="BH2071">
        <v>1</v>
      </c>
      <c r="BI2071">
        <v>1</v>
      </c>
      <c r="BJ2071">
        <v>1.1000000000000001</v>
      </c>
      <c r="BK2071">
        <v>1.5</v>
      </c>
      <c r="BL2071">
        <v>71.69</v>
      </c>
      <c r="BM2071">
        <v>10.75</v>
      </c>
      <c r="BN2071">
        <v>82.44</v>
      </c>
      <c r="BO2071">
        <v>82.44</v>
      </c>
      <c r="BQ2071" t="s">
        <v>1037</v>
      </c>
      <c r="BR2071" t="s">
        <v>84</v>
      </c>
      <c r="BS2071" s="3">
        <v>45884</v>
      </c>
      <c r="BT2071" s="4">
        <v>0.3972222222222222</v>
      </c>
      <c r="BU2071" t="s">
        <v>2363</v>
      </c>
      <c r="BV2071" t="s">
        <v>86</v>
      </c>
      <c r="BY2071">
        <v>5320</v>
      </c>
      <c r="CA2071" t="s">
        <v>1987</v>
      </c>
      <c r="CC2071" t="s">
        <v>279</v>
      </c>
      <c r="CD2071" s="5" t="s">
        <v>533</v>
      </c>
      <c r="CE2071" t="s">
        <v>147</v>
      </c>
      <c r="CF2071" s="3">
        <v>45884</v>
      </c>
      <c r="CI2071">
        <v>1</v>
      </c>
      <c r="CJ2071">
        <v>1</v>
      </c>
      <c r="CK2071">
        <v>21</v>
      </c>
      <c r="CL2071" t="s">
        <v>90</v>
      </c>
    </row>
    <row r="2072" spans="1:90" x14ac:dyDescent="0.3">
      <c r="A2072" t="s">
        <v>72</v>
      </c>
      <c r="B2072" t="s">
        <v>73</v>
      </c>
      <c r="C2072" t="s">
        <v>74</v>
      </c>
      <c r="E2072" t="str">
        <f>"080067242809"</f>
        <v>080067242809</v>
      </c>
      <c r="F2072" s="3">
        <v>45883</v>
      </c>
      <c r="G2072">
        <v>202605</v>
      </c>
      <c r="H2072" t="s">
        <v>75</v>
      </c>
      <c r="I2072" t="s">
        <v>76</v>
      </c>
      <c r="J2072" t="s">
        <v>77</v>
      </c>
      <c r="K2072" t="s">
        <v>78</v>
      </c>
      <c r="L2072" t="s">
        <v>156</v>
      </c>
      <c r="M2072" t="s">
        <v>157</v>
      </c>
      <c r="N2072" t="s">
        <v>158</v>
      </c>
      <c r="O2072" t="s">
        <v>113</v>
      </c>
      <c r="P2072" t="str">
        <f>"4170054556                    "</f>
        <v xml:space="preserve">4170054556                    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0</v>
      </c>
      <c r="AI2072">
        <v>0</v>
      </c>
      <c r="AJ2072">
        <v>0</v>
      </c>
      <c r="AK2072">
        <v>0</v>
      </c>
      <c r="AL2072">
        <v>0</v>
      </c>
      <c r="AM2072">
        <v>0</v>
      </c>
      <c r="AN2072">
        <v>0</v>
      </c>
      <c r="AO2072">
        <v>0</v>
      </c>
      <c r="AP2072">
        <v>0</v>
      </c>
      <c r="AQ2072">
        <v>20.059999999999999</v>
      </c>
      <c r="AR2072">
        <v>0</v>
      </c>
      <c r="AS2072">
        <v>0</v>
      </c>
      <c r="AT2072">
        <v>0</v>
      </c>
      <c r="AU2072">
        <v>0</v>
      </c>
      <c r="AV2072">
        <v>0</v>
      </c>
      <c r="AW2072">
        <v>0</v>
      </c>
      <c r="AX2072">
        <v>0</v>
      </c>
      <c r="AY2072">
        <v>0</v>
      </c>
      <c r="AZ2072">
        <v>0</v>
      </c>
      <c r="BA2072">
        <v>0</v>
      </c>
      <c r="BB2072">
        <v>0</v>
      </c>
      <c r="BC2072">
        <v>0</v>
      </c>
      <c r="BD2072">
        <v>0</v>
      </c>
      <c r="BE2072">
        <v>0</v>
      </c>
      <c r="BF2072">
        <v>0</v>
      </c>
      <c r="BG2072">
        <v>0</v>
      </c>
      <c r="BH2072">
        <v>1</v>
      </c>
      <c r="BI2072">
        <v>4</v>
      </c>
      <c r="BJ2072">
        <v>8.9</v>
      </c>
      <c r="BK2072">
        <v>9</v>
      </c>
      <c r="BL2072">
        <v>62.29</v>
      </c>
      <c r="BM2072">
        <v>9.34</v>
      </c>
      <c r="BN2072">
        <v>71.63</v>
      </c>
      <c r="BO2072">
        <v>71.63</v>
      </c>
      <c r="BQ2072" t="s">
        <v>159</v>
      </c>
      <c r="BR2072" t="s">
        <v>84</v>
      </c>
      <c r="BS2072" s="3">
        <v>45887</v>
      </c>
      <c r="BT2072" s="4">
        <v>0.3527777777777778</v>
      </c>
      <c r="BU2072" t="s">
        <v>160</v>
      </c>
      <c r="BV2072" t="s">
        <v>90</v>
      </c>
      <c r="BW2072" t="s">
        <v>380</v>
      </c>
      <c r="BX2072" t="s">
        <v>1234</v>
      </c>
      <c r="BY2072">
        <v>44640</v>
      </c>
      <c r="CA2072" t="s">
        <v>161</v>
      </c>
      <c r="CC2072" t="s">
        <v>157</v>
      </c>
      <c r="CD2072">
        <v>1724</v>
      </c>
      <c r="CE2072" t="s">
        <v>147</v>
      </c>
      <c r="CF2072" s="3">
        <v>45888</v>
      </c>
      <c r="CI2072">
        <v>1</v>
      </c>
      <c r="CJ2072">
        <v>2</v>
      </c>
      <c r="CK2072">
        <v>32</v>
      </c>
      <c r="CL2072" t="s">
        <v>90</v>
      </c>
    </row>
    <row r="2073" spans="1:90" x14ac:dyDescent="0.3">
      <c r="A2073" t="s">
        <v>72</v>
      </c>
      <c r="B2073" t="s">
        <v>73</v>
      </c>
      <c r="C2073" t="s">
        <v>74</v>
      </c>
      <c r="E2073" t="str">
        <f>"080067242838"</f>
        <v>080067242838</v>
      </c>
      <c r="F2073" s="3">
        <v>45883</v>
      </c>
      <c r="G2073">
        <v>202605</v>
      </c>
      <c r="H2073" t="s">
        <v>75</v>
      </c>
      <c r="I2073" t="s">
        <v>76</v>
      </c>
      <c r="J2073" t="s">
        <v>77</v>
      </c>
      <c r="K2073" t="s">
        <v>78</v>
      </c>
      <c r="L2073" t="s">
        <v>1003</v>
      </c>
      <c r="M2073" t="s">
        <v>1004</v>
      </c>
      <c r="N2073" t="s">
        <v>1005</v>
      </c>
      <c r="O2073" t="s">
        <v>82</v>
      </c>
      <c r="P2073" t="str">
        <f>"4170054801                    "</f>
        <v xml:space="preserve">4170054801                    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0</v>
      </c>
      <c r="AL2073">
        <v>0</v>
      </c>
      <c r="AM2073">
        <v>0</v>
      </c>
      <c r="AN2073">
        <v>0</v>
      </c>
      <c r="AO2073">
        <v>0</v>
      </c>
      <c r="AP2073">
        <v>0</v>
      </c>
      <c r="AQ2073">
        <v>44.73</v>
      </c>
      <c r="AR2073">
        <v>0</v>
      </c>
      <c r="AS2073">
        <v>0</v>
      </c>
      <c r="AT2073">
        <v>0</v>
      </c>
      <c r="AU2073">
        <v>0</v>
      </c>
      <c r="AV2073">
        <v>0</v>
      </c>
      <c r="AW2073">
        <v>0</v>
      </c>
      <c r="AX2073">
        <v>0</v>
      </c>
      <c r="AY2073">
        <v>0</v>
      </c>
      <c r="AZ2073">
        <v>0</v>
      </c>
      <c r="BA2073">
        <v>0</v>
      </c>
      <c r="BB2073">
        <v>0</v>
      </c>
      <c r="BC2073">
        <v>0</v>
      </c>
      <c r="BD2073">
        <v>0</v>
      </c>
      <c r="BE2073">
        <v>0</v>
      </c>
      <c r="BF2073">
        <v>0</v>
      </c>
      <c r="BG2073">
        <v>0</v>
      </c>
      <c r="BH2073">
        <v>1</v>
      </c>
      <c r="BI2073">
        <v>2</v>
      </c>
      <c r="BJ2073">
        <v>1.1000000000000001</v>
      </c>
      <c r="BK2073">
        <v>2</v>
      </c>
      <c r="BL2073">
        <v>138.88999999999999</v>
      </c>
      <c r="BM2073">
        <v>20.83</v>
      </c>
      <c r="BN2073">
        <v>159.72</v>
      </c>
      <c r="BO2073">
        <v>159.72</v>
      </c>
      <c r="BQ2073" t="s">
        <v>1006</v>
      </c>
      <c r="BR2073" t="s">
        <v>84</v>
      </c>
      <c r="BS2073" s="3">
        <v>45884</v>
      </c>
      <c r="BT2073" s="4">
        <v>0.41666666666666669</v>
      </c>
      <c r="BU2073" t="s">
        <v>2658</v>
      </c>
      <c r="BV2073" t="s">
        <v>86</v>
      </c>
      <c r="BY2073">
        <v>5320</v>
      </c>
      <c r="CC2073" t="s">
        <v>1004</v>
      </c>
      <c r="CD2073">
        <v>3310</v>
      </c>
      <c r="CE2073" t="s">
        <v>147</v>
      </c>
      <c r="CF2073" s="3">
        <v>45885</v>
      </c>
      <c r="CI2073">
        <v>1</v>
      </c>
      <c r="CJ2073">
        <v>1</v>
      </c>
      <c r="CK2073">
        <v>23</v>
      </c>
      <c r="CL2073" t="s">
        <v>90</v>
      </c>
    </row>
    <row r="2074" spans="1:90" x14ac:dyDescent="0.3">
      <c r="A2074" t="s">
        <v>72</v>
      </c>
      <c r="B2074" t="s">
        <v>73</v>
      </c>
      <c r="C2074" t="s">
        <v>74</v>
      </c>
      <c r="E2074" t="str">
        <f>"080067242871"</f>
        <v>080067242871</v>
      </c>
      <c r="F2074" s="3">
        <v>45883</v>
      </c>
      <c r="G2074">
        <v>202605</v>
      </c>
      <c r="H2074" t="s">
        <v>75</v>
      </c>
      <c r="I2074" t="s">
        <v>76</v>
      </c>
      <c r="J2074" t="s">
        <v>77</v>
      </c>
      <c r="K2074" t="s">
        <v>78</v>
      </c>
      <c r="L2074" t="s">
        <v>198</v>
      </c>
      <c r="M2074" t="s">
        <v>199</v>
      </c>
      <c r="N2074" t="s">
        <v>598</v>
      </c>
      <c r="O2074" t="s">
        <v>82</v>
      </c>
      <c r="P2074" t="str">
        <f>"4170054953                    "</f>
        <v xml:space="preserve">4170054953                    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0</v>
      </c>
      <c r="AI2074">
        <v>0</v>
      </c>
      <c r="AJ2074">
        <v>0</v>
      </c>
      <c r="AK2074">
        <v>0</v>
      </c>
      <c r="AL2074">
        <v>0</v>
      </c>
      <c r="AM2074">
        <v>0</v>
      </c>
      <c r="AN2074">
        <v>0</v>
      </c>
      <c r="AO2074">
        <v>0</v>
      </c>
      <c r="AP2074">
        <v>0</v>
      </c>
      <c r="AQ2074">
        <v>80.75</v>
      </c>
      <c r="AR2074">
        <v>0</v>
      </c>
      <c r="AS2074">
        <v>0</v>
      </c>
      <c r="AT2074">
        <v>0</v>
      </c>
      <c r="AU2074">
        <v>0</v>
      </c>
      <c r="AV2074">
        <v>0</v>
      </c>
      <c r="AW2074">
        <v>0</v>
      </c>
      <c r="AX2074">
        <v>0</v>
      </c>
      <c r="AY2074">
        <v>0</v>
      </c>
      <c r="AZ2074">
        <v>0</v>
      </c>
      <c r="BA2074">
        <v>0</v>
      </c>
      <c r="BB2074">
        <v>0</v>
      </c>
      <c r="BC2074">
        <v>0</v>
      </c>
      <c r="BD2074">
        <v>0</v>
      </c>
      <c r="BE2074">
        <v>0</v>
      </c>
      <c r="BF2074">
        <v>0</v>
      </c>
      <c r="BG2074">
        <v>0</v>
      </c>
      <c r="BH2074">
        <v>1</v>
      </c>
      <c r="BI2074">
        <v>7</v>
      </c>
      <c r="BJ2074">
        <v>1.9</v>
      </c>
      <c r="BK2074">
        <v>7</v>
      </c>
      <c r="BL2074">
        <v>250.75</v>
      </c>
      <c r="BM2074">
        <v>37.61</v>
      </c>
      <c r="BN2074">
        <v>288.36</v>
      </c>
      <c r="BO2074">
        <v>288.36</v>
      </c>
      <c r="BQ2074" t="s">
        <v>599</v>
      </c>
      <c r="BR2074" t="s">
        <v>84</v>
      </c>
      <c r="BS2074" s="3">
        <v>45884</v>
      </c>
      <c r="BT2074" s="4">
        <v>0.40069444444444446</v>
      </c>
      <c r="BU2074" t="s">
        <v>1539</v>
      </c>
      <c r="BV2074" t="s">
        <v>86</v>
      </c>
      <c r="BY2074">
        <v>9576</v>
      </c>
      <c r="CA2074" t="s">
        <v>601</v>
      </c>
      <c r="CC2074" t="s">
        <v>199</v>
      </c>
      <c r="CD2074">
        <v>6001</v>
      </c>
      <c r="CE2074" t="s">
        <v>147</v>
      </c>
      <c r="CF2074" s="3">
        <v>45884</v>
      </c>
      <c r="CI2074">
        <v>1</v>
      </c>
      <c r="CJ2074">
        <v>1</v>
      </c>
      <c r="CK2074">
        <v>21</v>
      </c>
      <c r="CL2074" t="s">
        <v>90</v>
      </c>
    </row>
    <row r="2075" spans="1:90" x14ac:dyDescent="0.3">
      <c r="A2075" t="s">
        <v>72</v>
      </c>
      <c r="B2075" t="s">
        <v>73</v>
      </c>
      <c r="C2075" t="s">
        <v>74</v>
      </c>
      <c r="E2075" t="str">
        <f>"080067242901"</f>
        <v>080067242901</v>
      </c>
      <c r="F2075" s="3">
        <v>45883</v>
      </c>
      <c r="G2075">
        <v>202605</v>
      </c>
      <c r="H2075" t="s">
        <v>75</v>
      </c>
      <c r="I2075" t="s">
        <v>76</v>
      </c>
      <c r="J2075" t="s">
        <v>77</v>
      </c>
      <c r="K2075" t="s">
        <v>78</v>
      </c>
      <c r="L2075" t="s">
        <v>198</v>
      </c>
      <c r="M2075" t="s">
        <v>199</v>
      </c>
      <c r="N2075" t="s">
        <v>680</v>
      </c>
      <c r="O2075" t="s">
        <v>82</v>
      </c>
      <c r="P2075" t="str">
        <f>"4170054787                    "</f>
        <v xml:space="preserve">4170054787                    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0</v>
      </c>
      <c r="AI2075">
        <v>0</v>
      </c>
      <c r="AJ2075">
        <v>0</v>
      </c>
      <c r="AK2075">
        <v>0</v>
      </c>
      <c r="AL2075">
        <v>0</v>
      </c>
      <c r="AM2075">
        <v>0</v>
      </c>
      <c r="AN2075">
        <v>0</v>
      </c>
      <c r="AO2075">
        <v>0</v>
      </c>
      <c r="AP2075">
        <v>0</v>
      </c>
      <c r="AQ2075">
        <v>23.09</v>
      </c>
      <c r="AR2075">
        <v>0</v>
      </c>
      <c r="AS2075">
        <v>0</v>
      </c>
      <c r="AT2075">
        <v>0</v>
      </c>
      <c r="AU2075">
        <v>0</v>
      </c>
      <c r="AV2075">
        <v>0</v>
      </c>
      <c r="AW2075">
        <v>0</v>
      </c>
      <c r="AX2075">
        <v>0</v>
      </c>
      <c r="AY2075">
        <v>0</v>
      </c>
      <c r="AZ2075">
        <v>0</v>
      </c>
      <c r="BA2075">
        <v>0</v>
      </c>
      <c r="BB2075">
        <v>0</v>
      </c>
      <c r="BC2075">
        <v>0</v>
      </c>
      <c r="BD2075">
        <v>0</v>
      </c>
      <c r="BE2075">
        <v>0</v>
      </c>
      <c r="BF2075">
        <v>0</v>
      </c>
      <c r="BG2075">
        <v>0</v>
      </c>
      <c r="BH2075">
        <v>1</v>
      </c>
      <c r="BI2075">
        <v>1</v>
      </c>
      <c r="BJ2075">
        <v>1.1000000000000001</v>
      </c>
      <c r="BK2075">
        <v>1.5</v>
      </c>
      <c r="BL2075">
        <v>71.69</v>
      </c>
      <c r="BM2075">
        <v>10.75</v>
      </c>
      <c r="BN2075">
        <v>82.44</v>
      </c>
      <c r="BO2075">
        <v>82.44</v>
      </c>
      <c r="BQ2075" t="s">
        <v>681</v>
      </c>
      <c r="BR2075" t="s">
        <v>84</v>
      </c>
      <c r="BS2075" s="3">
        <v>45884</v>
      </c>
      <c r="BT2075" s="4">
        <v>0.41111111111111109</v>
      </c>
      <c r="BU2075" t="s">
        <v>2644</v>
      </c>
      <c r="BV2075" t="s">
        <v>86</v>
      </c>
      <c r="BY2075">
        <v>5320</v>
      </c>
      <c r="CA2075" t="s">
        <v>413</v>
      </c>
      <c r="CC2075" t="s">
        <v>199</v>
      </c>
      <c r="CD2075">
        <v>6001</v>
      </c>
      <c r="CE2075" t="s">
        <v>147</v>
      </c>
      <c r="CF2075" s="3">
        <v>45884</v>
      </c>
      <c r="CI2075">
        <v>1</v>
      </c>
      <c r="CJ2075">
        <v>1</v>
      </c>
      <c r="CK2075">
        <v>21</v>
      </c>
      <c r="CL2075" t="s">
        <v>90</v>
      </c>
    </row>
    <row r="2076" spans="1:90" x14ac:dyDescent="0.3">
      <c r="A2076" t="s">
        <v>72</v>
      </c>
      <c r="B2076" t="s">
        <v>73</v>
      </c>
      <c r="C2076" t="s">
        <v>74</v>
      </c>
      <c r="E2076" t="str">
        <f>"080067242947"</f>
        <v>080067242947</v>
      </c>
      <c r="F2076" s="3">
        <v>45883</v>
      </c>
      <c r="G2076">
        <v>202605</v>
      </c>
      <c r="H2076" t="s">
        <v>75</v>
      </c>
      <c r="I2076" t="s">
        <v>76</v>
      </c>
      <c r="J2076" t="s">
        <v>77</v>
      </c>
      <c r="K2076" t="s">
        <v>78</v>
      </c>
      <c r="L2076" t="s">
        <v>223</v>
      </c>
      <c r="M2076" t="s">
        <v>224</v>
      </c>
      <c r="N2076" t="s">
        <v>225</v>
      </c>
      <c r="O2076" t="s">
        <v>82</v>
      </c>
      <c r="P2076" t="str">
        <f>"4170054864                    "</f>
        <v xml:space="preserve">4170054864                    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0</v>
      </c>
      <c r="AI2076">
        <v>0</v>
      </c>
      <c r="AJ2076">
        <v>0</v>
      </c>
      <c r="AK2076">
        <v>0</v>
      </c>
      <c r="AL2076">
        <v>0</v>
      </c>
      <c r="AM2076">
        <v>0</v>
      </c>
      <c r="AN2076">
        <v>0</v>
      </c>
      <c r="AO2076">
        <v>0</v>
      </c>
      <c r="AP2076">
        <v>0</v>
      </c>
      <c r="AQ2076">
        <v>34.619999999999997</v>
      </c>
      <c r="AR2076">
        <v>0</v>
      </c>
      <c r="AS2076">
        <v>0</v>
      </c>
      <c r="AT2076">
        <v>0</v>
      </c>
      <c r="AU2076">
        <v>0</v>
      </c>
      <c r="AV2076">
        <v>0</v>
      </c>
      <c r="AW2076">
        <v>0</v>
      </c>
      <c r="AX2076">
        <v>0</v>
      </c>
      <c r="AY2076">
        <v>0</v>
      </c>
      <c r="AZ2076">
        <v>0</v>
      </c>
      <c r="BA2076">
        <v>0</v>
      </c>
      <c r="BB2076">
        <v>0</v>
      </c>
      <c r="BC2076">
        <v>0</v>
      </c>
      <c r="BD2076">
        <v>0</v>
      </c>
      <c r="BE2076">
        <v>0</v>
      </c>
      <c r="BF2076">
        <v>0</v>
      </c>
      <c r="BG2076">
        <v>0</v>
      </c>
      <c r="BH2076">
        <v>1</v>
      </c>
      <c r="BI2076">
        <v>3</v>
      </c>
      <c r="BJ2076">
        <v>1.6</v>
      </c>
      <c r="BK2076">
        <v>3</v>
      </c>
      <c r="BL2076">
        <v>107.5</v>
      </c>
      <c r="BM2076">
        <v>16.13</v>
      </c>
      <c r="BN2076">
        <v>123.63</v>
      </c>
      <c r="BO2076">
        <v>123.63</v>
      </c>
      <c r="BQ2076" t="s">
        <v>226</v>
      </c>
      <c r="BR2076" t="s">
        <v>84</v>
      </c>
      <c r="BS2076" s="3">
        <v>45884</v>
      </c>
      <c r="BT2076" s="4">
        <v>0.48888888888888887</v>
      </c>
      <c r="BU2076" t="s">
        <v>1432</v>
      </c>
      <c r="BV2076" t="s">
        <v>90</v>
      </c>
      <c r="BY2076">
        <v>8208</v>
      </c>
      <c r="CA2076" t="s">
        <v>228</v>
      </c>
      <c r="CC2076" t="s">
        <v>224</v>
      </c>
      <c r="CD2076">
        <v>5201</v>
      </c>
      <c r="CE2076" t="s">
        <v>117</v>
      </c>
      <c r="CF2076" s="3">
        <v>45884</v>
      </c>
      <c r="CI2076">
        <v>1</v>
      </c>
      <c r="CJ2076">
        <v>1</v>
      </c>
      <c r="CK2076">
        <v>21</v>
      </c>
      <c r="CL2076" t="s">
        <v>90</v>
      </c>
    </row>
    <row r="2077" spans="1:90" x14ac:dyDescent="0.3">
      <c r="A2077" t="s">
        <v>72</v>
      </c>
      <c r="B2077" t="s">
        <v>73</v>
      </c>
      <c r="C2077" t="s">
        <v>74</v>
      </c>
      <c r="E2077" t="str">
        <f>"080067242972"</f>
        <v>080067242972</v>
      </c>
      <c r="F2077" s="3">
        <v>45883</v>
      </c>
      <c r="G2077">
        <v>202605</v>
      </c>
      <c r="H2077" t="s">
        <v>75</v>
      </c>
      <c r="I2077" t="s">
        <v>76</v>
      </c>
      <c r="J2077" t="s">
        <v>77</v>
      </c>
      <c r="K2077" t="s">
        <v>78</v>
      </c>
      <c r="L2077" t="s">
        <v>1157</v>
      </c>
      <c r="M2077" t="s">
        <v>1158</v>
      </c>
      <c r="N2077" t="s">
        <v>2328</v>
      </c>
      <c r="O2077" t="s">
        <v>82</v>
      </c>
      <c r="P2077" t="str">
        <f>"4170054877                    "</f>
        <v xml:space="preserve">4170054877                    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0</v>
      </c>
      <c r="AI2077">
        <v>0</v>
      </c>
      <c r="AJ2077">
        <v>0</v>
      </c>
      <c r="AK2077">
        <v>0</v>
      </c>
      <c r="AL2077">
        <v>0</v>
      </c>
      <c r="AM2077">
        <v>0</v>
      </c>
      <c r="AN2077">
        <v>0</v>
      </c>
      <c r="AO2077">
        <v>0</v>
      </c>
      <c r="AP2077">
        <v>0</v>
      </c>
      <c r="AQ2077">
        <v>44.73</v>
      </c>
      <c r="AR2077">
        <v>0</v>
      </c>
      <c r="AS2077">
        <v>0</v>
      </c>
      <c r="AT2077">
        <v>0</v>
      </c>
      <c r="AU2077">
        <v>0</v>
      </c>
      <c r="AV2077">
        <v>0</v>
      </c>
      <c r="AW2077">
        <v>0</v>
      </c>
      <c r="AX2077">
        <v>0</v>
      </c>
      <c r="AY2077">
        <v>0</v>
      </c>
      <c r="AZ2077">
        <v>0</v>
      </c>
      <c r="BA2077">
        <v>0</v>
      </c>
      <c r="BB2077">
        <v>0</v>
      </c>
      <c r="BC2077">
        <v>0</v>
      </c>
      <c r="BD2077">
        <v>0</v>
      </c>
      <c r="BE2077">
        <v>0</v>
      </c>
      <c r="BF2077">
        <v>0</v>
      </c>
      <c r="BG2077">
        <v>0</v>
      </c>
      <c r="BH2077">
        <v>1</v>
      </c>
      <c r="BI2077">
        <v>2</v>
      </c>
      <c r="BJ2077">
        <v>1.1000000000000001</v>
      </c>
      <c r="BK2077">
        <v>2</v>
      </c>
      <c r="BL2077">
        <v>138.88999999999999</v>
      </c>
      <c r="BM2077">
        <v>20.83</v>
      </c>
      <c r="BN2077">
        <v>159.72</v>
      </c>
      <c r="BO2077">
        <v>159.72</v>
      </c>
      <c r="BQ2077" t="s">
        <v>2329</v>
      </c>
      <c r="BR2077" t="s">
        <v>84</v>
      </c>
      <c r="BS2077" s="3">
        <v>45887</v>
      </c>
      <c r="BT2077" s="4">
        <v>0.76527777777777772</v>
      </c>
      <c r="BU2077" t="s">
        <v>820</v>
      </c>
      <c r="BV2077" t="s">
        <v>90</v>
      </c>
      <c r="BY2077">
        <v>5320</v>
      </c>
      <c r="CA2077" t="s">
        <v>2659</v>
      </c>
      <c r="CC2077" t="s">
        <v>1158</v>
      </c>
      <c r="CD2077">
        <v>2302</v>
      </c>
      <c r="CE2077" t="s">
        <v>147</v>
      </c>
      <c r="CI2077">
        <v>1</v>
      </c>
      <c r="CJ2077">
        <v>2</v>
      </c>
      <c r="CK2077">
        <v>23</v>
      </c>
      <c r="CL2077" t="s">
        <v>90</v>
      </c>
    </row>
    <row r="2078" spans="1:90" x14ac:dyDescent="0.3">
      <c r="A2078" t="s">
        <v>72</v>
      </c>
      <c r="B2078" t="s">
        <v>73</v>
      </c>
      <c r="C2078" t="s">
        <v>74</v>
      </c>
      <c r="E2078" t="str">
        <f>"080067243024"</f>
        <v>080067243024</v>
      </c>
      <c r="F2078" s="3">
        <v>45883</v>
      </c>
      <c r="G2078">
        <v>202605</v>
      </c>
      <c r="H2078" t="s">
        <v>75</v>
      </c>
      <c r="I2078" t="s">
        <v>76</v>
      </c>
      <c r="J2078" t="s">
        <v>77</v>
      </c>
      <c r="K2078" t="s">
        <v>78</v>
      </c>
      <c r="L2078" t="s">
        <v>452</v>
      </c>
      <c r="M2078" t="s">
        <v>453</v>
      </c>
      <c r="N2078" t="s">
        <v>454</v>
      </c>
      <c r="O2078" t="s">
        <v>82</v>
      </c>
      <c r="P2078" t="str">
        <f>"4170054845                    "</f>
        <v xml:space="preserve">4170054845                    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0</v>
      </c>
      <c r="AI2078">
        <v>0</v>
      </c>
      <c r="AJ2078">
        <v>0</v>
      </c>
      <c r="AK2078">
        <v>0</v>
      </c>
      <c r="AL2078">
        <v>0</v>
      </c>
      <c r="AM2078">
        <v>0</v>
      </c>
      <c r="AN2078">
        <v>0</v>
      </c>
      <c r="AO2078">
        <v>0</v>
      </c>
      <c r="AP2078">
        <v>0</v>
      </c>
      <c r="AQ2078">
        <v>44.73</v>
      </c>
      <c r="AR2078">
        <v>0</v>
      </c>
      <c r="AS2078">
        <v>0</v>
      </c>
      <c r="AT2078">
        <v>0</v>
      </c>
      <c r="AU2078">
        <v>0</v>
      </c>
      <c r="AV2078">
        <v>0</v>
      </c>
      <c r="AW2078">
        <v>0</v>
      </c>
      <c r="AX2078">
        <v>0</v>
      </c>
      <c r="AY2078">
        <v>0</v>
      </c>
      <c r="AZ2078">
        <v>0</v>
      </c>
      <c r="BA2078">
        <v>0</v>
      </c>
      <c r="BB2078">
        <v>0</v>
      </c>
      <c r="BC2078">
        <v>0</v>
      </c>
      <c r="BD2078">
        <v>0</v>
      </c>
      <c r="BE2078">
        <v>0</v>
      </c>
      <c r="BF2078">
        <v>0</v>
      </c>
      <c r="BG2078">
        <v>0</v>
      </c>
      <c r="BH2078">
        <v>1</v>
      </c>
      <c r="BI2078">
        <v>1</v>
      </c>
      <c r="BJ2078">
        <v>0.6</v>
      </c>
      <c r="BK2078">
        <v>1</v>
      </c>
      <c r="BL2078">
        <v>138.88999999999999</v>
      </c>
      <c r="BM2078">
        <v>20.83</v>
      </c>
      <c r="BN2078">
        <v>159.72</v>
      </c>
      <c r="BO2078">
        <v>159.72</v>
      </c>
      <c r="BQ2078" t="s">
        <v>455</v>
      </c>
      <c r="BR2078" t="s">
        <v>84</v>
      </c>
      <c r="BS2078" s="3">
        <v>45884</v>
      </c>
      <c r="BT2078" s="4">
        <v>0.36180555555555555</v>
      </c>
      <c r="BU2078" t="s">
        <v>483</v>
      </c>
      <c r="BV2078" t="s">
        <v>86</v>
      </c>
      <c r="BY2078">
        <v>3192</v>
      </c>
      <c r="CA2078" t="s">
        <v>1093</v>
      </c>
      <c r="CC2078" t="s">
        <v>453</v>
      </c>
      <c r="CD2078">
        <v>1947</v>
      </c>
      <c r="CE2078" t="s">
        <v>147</v>
      </c>
      <c r="CF2078" s="3">
        <v>45887</v>
      </c>
      <c r="CI2078">
        <v>1</v>
      </c>
      <c r="CJ2078">
        <v>1</v>
      </c>
      <c r="CK2078">
        <v>23</v>
      </c>
      <c r="CL2078" t="s">
        <v>90</v>
      </c>
    </row>
    <row r="2079" spans="1:90" x14ac:dyDescent="0.3">
      <c r="A2079" t="s">
        <v>72</v>
      </c>
      <c r="B2079" t="s">
        <v>73</v>
      </c>
      <c r="C2079" t="s">
        <v>74</v>
      </c>
      <c r="E2079" t="str">
        <f>"080067243047"</f>
        <v>080067243047</v>
      </c>
      <c r="F2079" s="3">
        <v>45883</v>
      </c>
      <c r="G2079">
        <v>202605</v>
      </c>
      <c r="H2079" t="s">
        <v>75</v>
      </c>
      <c r="I2079" t="s">
        <v>76</v>
      </c>
      <c r="J2079" t="s">
        <v>77</v>
      </c>
      <c r="K2079" t="s">
        <v>78</v>
      </c>
      <c r="L2079" t="s">
        <v>137</v>
      </c>
      <c r="M2079" t="s">
        <v>138</v>
      </c>
      <c r="N2079" t="s">
        <v>815</v>
      </c>
      <c r="O2079" t="s">
        <v>82</v>
      </c>
      <c r="P2079" t="str">
        <f>"4170055051                    "</f>
        <v xml:space="preserve">4170055051                    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0</v>
      </c>
      <c r="AI2079">
        <v>0</v>
      </c>
      <c r="AJ2079">
        <v>0</v>
      </c>
      <c r="AK2079">
        <v>0</v>
      </c>
      <c r="AL2079">
        <v>0</v>
      </c>
      <c r="AM2079">
        <v>0</v>
      </c>
      <c r="AN2079">
        <v>0</v>
      </c>
      <c r="AO2079">
        <v>0</v>
      </c>
      <c r="AP2079">
        <v>0</v>
      </c>
      <c r="AQ2079">
        <v>46.15</v>
      </c>
      <c r="AR2079">
        <v>0</v>
      </c>
      <c r="AS2079">
        <v>0</v>
      </c>
      <c r="AT2079">
        <v>0</v>
      </c>
      <c r="AU2079">
        <v>0</v>
      </c>
      <c r="AV2079">
        <v>0</v>
      </c>
      <c r="AW2079">
        <v>0</v>
      </c>
      <c r="AX2079">
        <v>0</v>
      </c>
      <c r="AY2079">
        <v>0</v>
      </c>
      <c r="AZ2079">
        <v>0</v>
      </c>
      <c r="BA2079">
        <v>0</v>
      </c>
      <c r="BB2079">
        <v>0</v>
      </c>
      <c r="BC2079">
        <v>0</v>
      </c>
      <c r="BD2079">
        <v>0</v>
      </c>
      <c r="BE2079">
        <v>0</v>
      </c>
      <c r="BF2079">
        <v>0</v>
      </c>
      <c r="BG2079">
        <v>0</v>
      </c>
      <c r="BH2079">
        <v>1</v>
      </c>
      <c r="BI2079">
        <v>3</v>
      </c>
      <c r="BJ2079">
        <v>3.8</v>
      </c>
      <c r="BK2079">
        <v>4</v>
      </c>
      <c r="BL2079">
        <v>143.31</v>
      </c>
      <c r="BM2079">
        <v>21.5</v>
      </c>
      <c r="BN2079">
        <v>164.81</v>
      </c>
      <c r="BO2079">
        <v>164.81</v>
      </c>
      <c r="BQ2079" t="s">
        <v>816</v>
      </c>
      <c r="BR2079" t="s">
        <v>84</v>
      </c>
      <c r="BS2079" s="3">
        <v>45884</v>
      </c>
      <c r="BT2079" s="4">
        <v>0.42083333333333334</v>
      </c>
      <c r="BU2079" t="s">
        <v>817</v>
      </c>
      <c r="BV2079" t="s">
        <v>86</v>
      </c>
      <c r="BY2079">
        <v>19152</v>
      </c>
      <c r="CA2079" t="s">
        <v>264</v>
      </c>
      <c r="CC2079" t="s">
        <v>138</v>
      </c>
      <c r="CD2079">
        <v>3610</v>
      </c>
      <c r="CE2079" t="s">
        <v>117</v>
      </c>
      <c r="CF2079" s="3">
        <v>45884</v>
      </c>
      <c r="CI2079">
        <v>1</v>
      </c>
      <c r="CJ2079">
        <v>1</v>
      </c>
      <c r="CK2079">
        <v>21</v>
      </c>
      <c r="CL2079" t="s">
        <v>90</v>
      </c>
    </row>
    <row r="2080" spans="1:90" x14ac:dyDescent="0.3">
      <c r="A2080" t="s">
        <v>72</v>
      </c>
      <c r="B2080" t="s">
        <v>73</v>
      </c>
      <c r="C2080" t="s">
        <v>74</v>
      </c>
      <c r="E2080" t="str">
        <f>"080067243088"</f>
        <v>080067243088</v>
      </c>
      <c r="F2080" s="3">
        <v>45883</v>
      </c>
      <c r="G2080">
        <v>202605</v>
      </c>
      <c r="H2080" t="s">
        <v>75</v>
      </c>
      <c r="I2080" t="s">
        <v>76</v>
      </c>
      <c r="J2080" t="s">
        <v>77</v>
      </c>
      <c r="K2080" t="s">
        <v>78</v>
      </c>
      <c r="L2080" t="s">
        <v>278</v>
      </c>
      <c r="M2080" t="s">
        <v>279</v>
      </c>
      <c r="N2080" t="s">
        <v>397</v>
      </c>
      <c r="O2080" t="s">
        <v>95</v>
      </c>
      <c r="P2080" t="str">
        <f>"4170054860                    "</f>
        <v xml:space="preserve">4170054860                    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0</v>
      </c>
      <c r="AL2080">
        <v>0</v>
      </c>
      <c r="AM2080">
        <v>0</v>
      </c>
      <c r="AN2080">
        <v>0</v>
      </c>
      <c r="AO2080">
        <v>0</v>
      </c>
      <c r="AP2080">
        <v>0</v>
      </c>
      <c r="AQ2080">
        <v>44.64</v>
      </c>
      <c r="AR2080">
        <v>0</v>
      </c>
      <c r="AS2080">
        <v>0</v>
      </c>
      <c r="AT2080">
        <v>0</v>
      </c>
      <c r="AU2080">
        <v>0</v>
      </c>
      <c r="AV2080">
        <v>0</v>
      </c>
      <c r="AW2080">
        <v>0</v>
      </c>
      <c r="AX2080">
        <v>0</v>
      </c>
      <c r="AY2080">
        <v>0</v>
      </c>
      <c r="AZ2080">
        <v>0</v>
      </c>
      <c r="BA2080">
        <v>0</v>
      </c>
      <c r="BB2080">
        <v>0</v>
      </c>
      <c r="BC2080">
        <v>0</v>
      </c>
      <c r="BD2080">
        <v>0</v>
      </c>
      <c r="BE2080">
        <v>0</v>
      </c>
      <c r="BF2080">
        <v>0</v>
      </c>
      <c r="BG2080">
        <v>0</v>
      </c>
      <c r="BH2080">
        <v>1</v>
      </c>
      <c r="BI2080">
        <v>1</v>
      </c>
      <c r="BJ2080">
        <v>1.3</v>
      </c>
      <c r="BK2080">
        <v>2</v>
      </c>
      <c r="BL2080">
        <v>144.49</v>
      </c>
      <c r="BM2080">
        <v>21.67</v>
      </c>
      <c r="BN2080">
        <v>166.16</v>
      </c>
      <c r="BO2080">
        <v>166.16</v>
      </c>
      <c r="BQ2080" t="s">
        <v>2357</v>
      </c>
      <c r="BR2080" t="s">
        <v>84</v>
      </c>
      <c r="BS2080" s="3">
        <v>45884</v>
      </c>
      <c r="BT2080" s="4">
        <v>0.44444444444444442</v>
      </c>
      <c r="BU2080" t="s">
        <v>2660</v>
      </c>
      <c r="BV2080" t="s">
        <v>86</v>
      </c>
      <c r="BY2080">
        <v>6555</v>
      </c>
      <c r="CA2080" t="s">
        <v>1987</v>
      </c>
      <c r="CC2080" t="s">
        <v>279</v>
      </c>
      <c r="CD2080" s="5" t="s">
        <v>533</v>
      </c>
      <c r="CE2080" t="s">
        <v>1164</v>
      </c>
      <c r="CF2080" s="3">
        <v>45884</v>
      </c>
      <c r="CI2080">
        <v>1</v>
      </c>
      <c r="CJ2080">
        <v>1</v>
      </c>
      <c r="CK2080">
        <v>41</v>
      </c>
      <c r="CL2080" t="s">
        <v>90</v>
      </c>
    </row>
    <row r="2081" spans="1:90" x14ac:dyDescent="0.3">
      <c r="A2081" t="s">
        <v>72</v>
      </c>
      <c r="B2081" t="s">
        <v>73</v>
      </c>
      <c r="C2081" t="s">
        <v>74</v>
      </c>
      <c r="E2081" t="str">
        <f>"080067243113"</f>
        <v>080067243113</v>
      </c>
      <c r="F2081" s="3">
        <v>45883</v>
      </c>
      <c r="G2081">
        <v>202605</v>
      </c>
      <c r="H2081" t="s">
        <v>75</v>
      </c>
      <c r="I2081" t="s">
        <v>76</v>
      </c>
      <c r="J2081" t="s">
        <v>77</v>
      </c>
      <c r="K2081" t="s">
        <v>78</v>
      </c>
      <c r="L2081" t="s">
        <v>162</v>
      </c>
      <c r="M2081" t="s">
        <v>163</v>
      </c>
      <c r="N2081" t="s">
        <v>902</v>
      </c>
      <c r="O2081" t="s">
        <v>82</v>
      </c>
      <c r="P2081" t="str">
        <f>"4170054832                    "</f>
        <v xml:space="preserve">4170054832                    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0</v>
      </c>
      <c r="AI2081">
        <v>0</v>
      </c>
      <c r="AJ2081">
        <v>0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>
        <v>0</v>
      </c>
      <c r="AQ2081">
        <v>40.380000000000003</v>
      </c>
      <c r="AR2081">
        <v>0</v>
      </c>
      <c r="AS2081">
        <v>0</v>
      </c>
      <c r="AT2081">
        <v>0</v>
      </c>
      <c r="AU2081">
        <v>0</v>
      </c>
      <c r="AV2081">
        <v>0</v>
      </c>
      <c r="AW2081">
        <v>0</v>
      </c>
      <c r="AX2081">
        <v>0</v>
      </c>
      <c r="AY2081">
        <v>0</v>
      </c>
      <c r="AZ2081">
        <v>0</v>
      </c>
      <c r="BA2081">
        <v>0</v>
      </c>
      <c r="BB2081">
        <v>0</v>
      </c>
      <c r="BC2081">
        <v>0</v>
      </c>
      <c r="BD2081">
        <v>0</v>
      </c>
      <c r="BE2081">
        <v>0</v>
      </c>
      <c r="BF2081">
        <v>0</v>
      </c>
      <c r="BG2081">
        <v>0</v>
      </c>
      <c r="BH2081">
        <v>1</v>
      </c>
      <c r="BI2081">
        <v>1</v>
      </c>
      <c r="BJ2081">
        <v>3.1</v>
      </c>
      <c r="BK2081">
        <v>3.5</v>
      </c>
      <c r="BL2081">
        <v>125.4</v>
      </c>
      <c r="BM2081">
        <v>18.809999999999999</v>
      </c>
      <c r="BN2081">
        <v>144.21</v>
      </c>
      <c r="BO2081">
        <v>144.21</v>
      </c>
      <c r="BQ2081" t="s">
        <v>903</v>
      </c>
      <c r="BR2081" t="s">
        <v>84</v>
      </c>
      <c r="BS2081" s="3">
        <v>45884</v>
      </c>
      <c r="BT2081" s="4">
        <v>0.41666666666666669</v>
      </c>
      <c r="BU2081" t="s">
        <v>2661</v>
      </c>
      <c r="BV2081" t="s">
        <v>86</v>
      </c>
      <c r="BY2081">
        <v>15708</v>
      </c>
      <c r="CA2081" t="s">
        <v>919</v>
      </c>
      <c r="CC2081" t="s">
        <v>163</v>
      </c>
      <c r="CD2081">
        <v>3201</v>
      </c>
      <c r="CE2081" t="s">
        <v>117</v>
      </c>
      <c r="CF2081" s="3">
        <v>45885</v>
      </c>
      <c r="CI2081">
        <v>1</v>
      </c>
      <c r="CJ2081">
        <v>1</v>
      </c>
      <c r="CK2081">
        <v>21</v>
      </c>
      <c r="CL2081" t="s">
        <v>90</v>
      </c>
    </row>
    <row r="2082" spans="1:90" x14ac:dyDescent="0.3">
      <c r="A2082" t="s">
        <v>72</v>
      </c>
      <c r="B2082" t="s">
        <v>73</v>
      </c>
      <c r="C2082" t="s">
        <v>74</v>
      </c>
      <c r="E2082" t="str">
        <f>"080067243283"</f>
        <v>080067243283</v>
      </c>
      <c r="F2082" s="3">
        <v>45883</v>
      </c>
      <c r="G2082">
        <v>202605</v>
      </c>
      <c r="H2082" t="s">
        <v>75</v>
      </c>
      <c r="I2082" t="s">
        <v>76</v>
      </c>
      <c r="J2082" t="s">
        <v>77</v>
      </c>
      <c r="K2082" t="s">
        <v>78</v>
      </c>
      <c r="L2082" t="s">
        <v>75</v>
      </c>
      <c r="M2082" t="s">
        <v>76</v>
      </c>
      <c r="N2082" t="s">
        <v>1020</v>
      </c>
      <c r="O2082" t="s">
        <v>82</v>
      </c>
      <c r="P2082" t="str">
        <f>"4170054784                    "</f>
        <v xml:space="preserve">4170054784                    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0</v>
      </c>
      <c r="AI2082">
        <v>0</v>
      </c>
      <c r="AJ2082">
        <v>0</v>
      </c>
      <c r="AK2082">
        <v>0</v>
      </c>
      <c r="AL2082">
        <v>0</v>
      </c>
      <c r="AM2082">
        <v>0</v>
      </c>
      <c r="AN2082">
        <v>0</v>
      </c>
      <c r="AO2082">
        <v>0</v>
      </c>
      <c r="AP2082">
        <v>0</v>
      </c>
      <c r="AQ2082">
        <v>18.03</v>
      </c>
      <c r="AR2082">
        <v>0</v>
      </c>
      <c r="AS2082">
        <v>0</v>
      </c>
      <c r="AT2082">
        <v>0</v>
      </c>
      <c r="AU2082">
        <v>0</v>
      </c>
      <c r="AV2082">
        <v>0</v>
      </c>
      <c r="AW2082">
        <v>0</v>
      </c>
      <c r="AX2082">
        <v>0</v>
      </c>
      <c r="AY2082">
        <v>0</v>
      </c>
      <c r="AZ2082">
        <v>0</v>
      </c>
      <c r="BA2082">
        <v>0</v>
      </c>
      <c r="BB2082">
        <v>0</v>
      </c>
      <c r="BC2082">
        <v>0</v>
      </c>
      <c r="BD2082">
        <v>0</v>
      </c>
      <c r="BE2082">
        <v>0</v>
      </c>
      <c r="BF2082">
        <v>0</v>
      </c>
      <c r="BG2082">
        <v>0</v>
      </c>
      <c r="BH2082">
        <v>1</v>
      </c>
      <c r="BI2082">
        <v>1</v>
      </c>
      <c r="BJ2082">
        <v>0.9</v>
      </c>
      <c r="BK2082">
        <v>1</v>
      </c>
      <c r="BL2082">
        <v>55.99</v>
      </c>
      <c r="BM2082">
        <v>8.4</v>
      </c>
      <c r="BN2082">
        <v>64.39</v>
      </c>
      <c r="BO2082">
        <v>64.39</v>
      </c>
      <c r="BQ2082" t="s">
        <v>1021</v>
      </c>
      <c r="BR2082" t="s">
        <v>84</v>
      </c>
      <c r="BS2082" s="3">
        <v>45884</v>
      </c>
      <c r="BT2082" s="4">
        <v>0.37430555555555556</v>
      </c>
      <c r="BU2082" t="s">
        <v>2544</v>
      </c>
      <c r="BV2082" t="s">
        <v>86</v>
      </c>
      <c r="BY2082">
        <v>4560</v>
      </c>
      <c r="CA2082" t="s">
        <v>146</v>
      </c>
      <c r="CC2082" t="s">
        <v>76</v>
      </c>
      <c r="CD2082">
        <v>1645</v>
      </c>
      <c r="CE2082" t="s">
        <v>147</v>
      </c>
      <c r="CF2082" s="3">
        <v>45884</v>
      </c>
      <c r="CI2082">
        <v>1</v>
      </c>
      <c r="CJ2082">
        <v>1</v>
      </c>
      <c r="CK2082">
        <v>22</v>
      </c>
      <c r="CL2082" t="s">
        <v>90</v>
      </c>
    </row>
    <row r="2083" spans="1:90" x14ac:dyDescent="0.3">
      <c r="A2083" t="s">
        <v>72</v>
      </c>
      <c r="B2083" t="s">
        <v>73</v>
      </c>
      <c r="C2083" t="s">
        <v>74</v>
      </c>
      <c r="E2083" t="str">
        <f>"080067243328"</f>
        <v>080067243328</v>
      </c>
      <c r="F2083" s="3">
        <v>45883</v>
      </c>
      <c r="G2083">
        <v>202605</v>
      </c>
      <c r="H2083" t="s">
        <v>75</v>
      </c>
      <c r="I2083" t="s">
        <v>76</v>
      </c>
      <c r="J2083" t="s">
        <v>77</v>
      </c>
      <c r="K2083" t="s">
        <v>78</v>
      </c>
      <c r="L2083" t="s">
        <v>319</v>
      </c>
      <c r="M2083" t="s">
        <v>320</v>
      </c>
      <c r="N2083" t="s">
        <v>321</v>
      </c>
      <c r="O2083" t="s">
        <v>82</v>
      </c>
      <c r="P2083" t="str">
        <f>"4170054814                    "</f>
        <v xml:space="preserve">4170054814                    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0</v>
      </c>
      <c r="AI2083">
        <v>0</v>
      </c>
      <c r="AJ2083">
        <v>0</v>
      </c>
      <c r="AK2083">
        <v>0</v>
      </c>
      <c r="AL2083">
        <v>0</v>
      </c>
      <c r="AM2083">
        <v>0</v>
      </c>
      <c r="AN2083">
        <v>0</v>
      </c>
      <c r="AO2083">
        <v>0</v>
      </c>
      <c r="AP2083">
        <v>0</v>
      </c>
      <c r="AQ2083">
        <v>44.73</v>
      </c>
      <c r="AR2083">
        <v>0</v>
      </c>
      <c r="AS2083">
        <v>0</v>
      </c>
      <c r="AT2083">
        <v>0</v>
      </c>
      <c r="AU2083">
        <v>0</v>
      </c>
      <c r="AV2083">
        <v>0</v>
      </c>
      <c r="AW2083">
        <v>0</v>
      </c>
      <c r="AX2083">
        <v>0</v>
      </c>
      <c r="AY2083">
        <v>0</v>
      </c>
      <c r="AZ2083">
        <v>0</v>
      </c>
      <c r="BA2083">
        <v>0</v>
      </c>
      <c r="BB2083">
        <v>0</v>
      </c>
      <c r="BC2083">
        <v>0</v>
      </c>
      <c r="BD2083">
        <v>0</v>
      </c>
      <c r="BE2083">
        <v>0</v>
      </c>
      <c r="BF2083">
        <v>0</v>
      </c>
      <c r="BG2083">
        <v>0</v>
      </c>
      <c r="BH2083">
        <v>1</v>
      </c>
      <c r="BI2083">
        <v>1</v>
      </c>
      <c r="BJ2083">
        <v>1.1000000000000001</v>
      </c>
      <c r="BK2083">
        <v>1.5</v>
      </c>
      <c r="BL2083">
        <v>138.88999999999999</v>
      </c>
      <c r="BM2083">
        <v>20.83</v>
      </c>
      <c r="BN2083">
        <v>159.72</v>
      </c>
      <c r="BO2083">
        <v>159.72</v>
      </c>
      <c r="BQ2083" t="s">
        <v>322</v>
      </c>
      <c r="BR2083" t="s">
        <v>84</v>
      </c>
      <c r="BS2083" s="3">
        <v>45884</v>
      </c>
      <c r="BT2083" s="4">
        <v>0.4465277777777778</v>
      </c>
      <c r="BU2083" t="s">
        <v>2213</v>
      </c>
      <c r="BV2083" t="s">
        <v>86</v>
      </c>
      <c r="BY2083">
        <v>5320</v>
      </c>
      <c r="CA2083" t="s">
        <v>324</v>
      </c>
      <c r="CC2083" t="s">
        <v>320</v>
      </c>
      <c r="CD2083">
        <v>2531</v>
      </c>
      <c r="CE2083" t="s">
        <v>147</v>
      </c>
      <c r="CF2083" s="3">
        <v>45887</v>
      </c>
      <c r="CI2083">
        <v>1</v>
      </c>
      <c r="CJ2083">
        <v>1</v>
      </c>
      <c r="CK2083">
        <v>23</v>
      </c>
      <c r="CL2083" t="s">
        <v>90</v>
      </c>
    </row>
    <row r="2084" spans="1:90" x14ac:dyDescent="0.3">
      <c r="A2084" t="s">
        <v>72</v>
      </c>
      <c r="B2084" t="s">
        <v>73</v>
      </c>
      <c r="C2084" t="s">
        <v>74</v>
      </c>
      <c r="E2084" t="str">
        <f>"080067243402"</f>
        <v>080067243402</v>
      </c>
      <c r="F2084" s="3">
        <v>45883</v>
      </c>
      <c r="G2084">
        <v>202605</v>
      </c>
      <c r="H2084" t="s">
        <v>75</v>
      </c>
      <c r="I2084" t="s">
        <v>76</v>
      </c>
      <c r="J2084" t="s">
        <v>77</v>
      </c>
      <c r="K2084" t="s">
        <v>78</v>
      </c>
      <c r="L2084" t="s">
        <v>118</v>
      </c>
      <c r="M2084" t="s">
        <v>118</v>
      </c>
      <c r="N2084" t="s">
        <v>2662</v>
      </c>
      <c r="O2084" t="s">
        <v>82</v>
      </c>
      <c r="P2084" t="str">
        <f>"4170054761                    "</f>
        <v xml:space="preserve">4170054761                    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0</v>
      </c>
      <c r="AI2084">
        <v>0</v>
      </c>
      <c r="AJ2084">
        <v>0</v>
      </c>
      <c r="AK2084">
        <v>0</v>
      </c>
      <c r="AL2084">
        <v>0</v>
      </c>
      <c r="AM2084">
        <v>0</v>
      </c>
      <c r="AN2084">
        <v>0</v>
      </c>
      <c r="AO2084">
        <v>0</v>
      </c>
      <c r="AP2084">
        <v>0</v>
      </c>
      <c r="AQ2084">
        <v>64.92</v>
      </c>
      <c r="AR2084">
        <v>0</v>
      </c>
      <c r="AS2084">
        <v>0</v>
      </c>
      <c r="AT2084">
        <v>0</v>
      </c>
      <c r="AU2084">
        <v>0</v>
      </c>
      <c r="AV2084">
        <v>0</v>
      </c>
      <c r="AW2084">
        <v>0</v>
      </c>
      <c r="AX2084">
        <v>0</v>
      </c>
      <c r="AY2084">
        <v>0</v>
      </c>
      <c r="AZ2084">
        <v>0</v>
      </c>
      <c r="BA2084">
        <v>0</v>
      </c>
      <c r="BB2084">
        <v>0</v>
      </c>
      <c r="BC2084">
        <v>0</v>
      </c>
      <c r="BD2084">
        <v>0</v>
      </c>
      <c r="BE2084">
        <v>0</v>
      </c>
      <c r="BF2084">
        <v>0</v>
      </c>
      <c r="BG2084">
        <v>0</v>
      </c>
      <c r="BH2084">
        <v>1</v>
      </c>
      <c r="BI2084">
        <v>3</v>
      </c>
      <c r="BJ2084">
        <v>1.7</v>
      </c>
      <c r="BK2084">
        <v>3</v>
      </c>
      <c r="BL2084">
        <v>201.6</v>
      </c>
      <c r="BM2084">
        <v>30.24</v>
      </c>
      <c r="BN2084">
        <v>231.84</v>
      </c>
      <c r="BO2084">
        <v>231.84</v>
      </c>
      <c r="BQ2084" t="s">
        <v>2663</v>
      </c>
      <c r="BR2084" t="s">
        <v>84</v>
      </c>
      <c r="BS2084" s="3">
        <v>45884</v>
      </c>
      <c r="BT2084" s="4">
        <v>0.52152777777777781</v>
      </c>
      <c r="BU2084" t="s">
        <v>2664</v>
      </c>
      <c r="BV2084" t="s">
        <v>86</v>
      </c>
      <c r="BY2084">
        <v>8512</v>
      </c>
      <c r="CA2084" t="s">
        <v>122</v>
      </c>
      <c r="CC2084" t="s">
        <v>118</v>
      </c>
      <c r="CD2084">
        <v>7646</v>
      </c>
      <c r="CE2084" t="s">
        <v>178</v>
      </c>
      <c r="CF2084" s="3">
        <v>45887</v>
      </c>
      <c r="CI2084">
        <v>1</v>
      </c>
      <c r="CJ2084">
        <v>1</v>
      </c>
      <c r="CK2084">
        <v>23</v>
      </c>
      <c r="CL2084" t="s">
        <v>90</v>
      </c>
    </row>
    <row r="2085" spans="1:90" x14ac:dyDescent="0.3">
      <c r="A2085" t="s">
        <v>72</v>
      </c>
      <c r="B2085" t="s">
        <v>73</v>
      </c>
      <c r="C2085" t="s">
        <v>74</v>
      </c>
      <c r="E2085" t="str">
        <f>"080067243455"</f>
        <v>080067243455</v>
      </c>
      <c r="F2085" s="3">
        <v>45883</v>
      </c>
      <c r="G2085">
        <v>202605</v>
      </c>
      <c r="H2085" t="s">
        <v>75</v>
      </c>
      <c r="I2085" t="s">
        <v>76</v>
      </c>
      <c r="J2085" t="s">
        <v>77</v>
      </c>
      <c r="K2085" t="s">
        <v>78</v>
      </c>
      <c r="L2085" t="s">
        <v>325</v>
      </c>
      <c r="M2085" t="s">
        <v>326</v>
      </c>
      <c r="N2085" t="s">
        <v>1434</v>
      </c>
      <c r="O2085" t="s">
        <v>113</v>
      </c>
      <c r="P2085" t="str">
        <f>"4170054748                    "</f>
        <v xml:space="preserve">4170054748                    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0</v>
      </c>
      <c r="AI2085">
        <v>0</v>
      </c>
      <c r="AJ2085">
        <v>0</v>
      </c>
      <c r="AK2085">
        <v>0</v>
      </c>
      <c r="AL2085">
        <v>0</v>
      </c>
      <c r="AM2085">
        <v>0</v>
      </c>
      <c r="AN2085">
        <v>0</v>
      </c>
      <c r="AO2085">
        <v>0</v>
      </c>
      <c r="AP2085">
        <v>0</v>
      </c>
      <c r="AQ2085">
        <v>18.04</v>
      </c>
      <c r="AR2085">
        <v>0</v>
      </c>
      <c r="AS2085">
        <v>0</v>
      </c>
      <c r="AT2085">
        <v>0</v>
      </c>
      <c r="AU2085">
        <v>0</v>
      </c>
      <c r="AV2085">
        <v>0</v>
      </c>
      <c r="AW2085">
        <v>0</v>
      </c>
      <c r="AX2085">
        <v>0</v>
      </c>
      <c r="AY2085">
        <v>0</v>
      </c>
      <c r="AZ2085">
        <v>0</v>
      </c>
      <c r="BA2085">
        <v>0</v>
      </c>
      <c r="BB2085">
        <v>0</v>
      </c>
      <c r="BC2085">
        <v>0</v>
      </c>
      <c r="BD2085">
        <v>0</v>
      </c>
      <c r="BE2085">
        <v>0</v>
      </c>
      <c r="BF2085">
        <v>0</v>
      </c>
      <c r="BG2085">
        <v>0</v>
      </c>
      <c r="BH2085">
        <v>1</v>
      </c>
      <c r="BI2085">
        <v>7</v>
      </c>
      <c r="BJ2085">
        <v>4.3</v>
      </c>
      <c r="BK2085">
        <v>7</v>
      </c>
      <c r="BL2085">
        <v>56.01</v>
      </c>
      <c r="BM2085">
        <v>8.4</v>
      </c>
      <c r="BN2085">
        <v>64.41</v>
      </c>
      <c r="BO2085">
        <v>64.41</v>
      </c>
      <c r="BQ2085" t="s">
        <v>1435</v>
      </c>
      <c r="BR2085" t="s">
        <v>84</v>
      </c>
      <c r="BS2085" s="3">
        <v>45884</v>
      </c>
      <c r="BT2085" s="4">
        <v>0.35069444444444442</v>
      </c>
      <c r="BU2085" t="s">
        <v>2665</v>
      </c>
      <c r="BV2085" t="s">
        <v>86</v>
      </c>
      <c r="BY2085">
        <v>21489</v>
      </c>
      <c r="CA2085" t="s">
        <v>461</v>
      </c>
      <c r="CC2085" t="s">
        <v>326</v>
      </c>
      <c r="CD2085">
        <v>2094</v>
      </c>
      <c r="CE2085" t="s">
        <v>147</v>
      </c>
      <c r="CF2085" s="3">
        <v>45885</v>
      </c>
      <c r="CI2085">
        <v>1</v>
      </c>
      <c r="CJ2085">
        <v>1</v>
      </c>
      <c r="CK2085">
        <v>32</v>
      </c>
      <c r="CL2085" t="s">
        <v>90</v>
      </c>
    </row>
    <row r="2086" spans="1:90" x14ac:dyDescent="0.3">
      <c r="A2086" t="s">
        <v>72</v>
      </c>
      <c r="B2086" t="s">
        <v>73</v>
      </c>
      <c r="C2086" t="s">
        <v>74</v>
      </c>
      <c r="E2086" t="str">
        <f>"080067243537"</f>
        <v>080067243537</v>
      </c>
      <c r="F2086" s="3">
        <v>45883</v>
      </c>
      <c r="G2086">
        <v>202605</v>
      </c>
      <c r="H2086" t="s">
        <v>75</v>
      </c>
      <c r="I2086" t="s">
        <v>76</v>
      </c>
      <c r="J2086" t="s">
        <v>77</v>
      </c>
      <c r="K2086" t="s">
        <v>78</v>
      </c>
      <c r="L2086" t="s">
        <v>400</v>
      </c>
      <c r="M2086" t="s">
        <v>401</v>
      </c>
      <c r="N2086" t="s">
        <v>788</v>
      </c>
      <c r="O2086" t="s">
        <v>82</v>
      </c>
      <c r="P2086" t="str">
        <f>"4170054445                    "</f>
        <v xml:space="preserve">4170054445                    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0</v>
      </c>
      <c r="AI2086">
        <v>0</v>
      </c>
      <c r="AJ2086">
        <v>0</v>
      </c>
      <c r="AK2086">
        <v>0</v>
      </c>
      <c r="AL2086">
        <v>0</v>
      </c>
      <c r="AM2086">
        <v>0</v>
      </c>
      <c r="AN2086">
        <v>0</v>
      </c>
      <c r="AO2086">
        <v>0</v>
      </c>
      <c r="AP2086">
        <v>0</v>
      </c>
      <c r="AQ2086">
        <v>46.15</v>
      </c>
      <c r="AR2086">
        <v>0</v>
      </c>
      <c r="AS2086">
        <v>0</v>
      </c>
      <c r="AT2086">
        <v>0</v>
      </c>
      <c r="AU2086">
        <v>0</v>
      </c>
      <c r="AV2086">
        <v>0</v>
      </c>
      <c r="AW2086">
        <v>0</v>
      </c>
      <c r="AX2086">
        <v>0</v>
      </c>
      <c r="AY2086">
        <v>0</v>
      </c>
      <c r="AZ2086">
        <v>0</v>
      </c>
      <c r="BA2086">
        <v>0</v>
      </c>
      <c r="BB2086">
        <v>0</v>
      </c>
      <c r="BC2086">
        <v>0</v>
      </c>
      <c r="BD2086">
        <v>0</v>
      </c>
      <c r="BE2086">
        <v>0</v>
      </c>
      <c r="BF2086">
        <v>0</v>
      </c>
      <c r="BG2086">
        <v>0</v>
      </c>
      <c r="BH2086">
        <v>1</v>
      </c>
      <c r="BI2086">
        <v>3</v>
      </c>
      <c r="BJ2086">
        <v>3.9</v>
      </c>
      <c r="BK2086">
        <v>4</v>
      </c>
      <c r="BL2086">
        <v>143.31</v>
      </c>
      <c r="BM2086">
        <v>21.5</v>
      </c>
      <c r="BN2086">
        <v>164.81</v>
      </c>
      <c r="BO2086">
        <v>164.81</v>
      </c>
      <c r="BQ2086" t="s">
        <v>789</v>
      </c>
      <c r="BR2086" t="s">
        <v>84</v>
      </c>
      <c r="BS2086" s="3">
        <v>45884</v>
      </c>
      <c r="BT2086" s="4">
        <v>0.39513888888888887</v>
      </c>
      <c r="BU2086" t="s">
        <v>1926</v>
      </c>
      <c r="BV2086" t="s">
        <v>86</v>
      </c>
      <c r="BY2086">
        <v>19684</v>
      </c>
      <c r="CA2086" t="s">
        <v>405</v>
      </c>
      <c r="CC2086" t="s">
        <v>401</v>
      </c>
      <c r="CD2086">
        <v>6230</v>
      </c>
      <c r="CE2086" t="s">
        <v>117</v>
      </c>
      <c r="CF2086" s="3">
        <v>45884</v>
      </c>
      <c r="CI2086">
        <v>1</v>
      </c>
      <c r="CJ2086">
        <v>1</v>
      </c>
      <c r="CK2086">
        <v>21</v>
      </c>
      <c r="CL2086" t="s">
        <v>90</v>
      </c>
    </row>
    <row r="2087" spans="1:90" x14ac:dyDescent="0.3">
      <c r="A2087" t="s">
        <v>72</v>
      </c>
      <c r="B2087" t="s">
        <v>73</v>
      </c>
      <c r="C2087" t="s">
        <v>74</v>
      </c>
      <c r="E2087" t="str">
        <f>"080067244357"</f>
        <v>080067244357</v>
      </c>
      <c r="F2087" s="3">
        <v>45883</v>
      </c>
      <c r="G2087">
        <v>202605</v>
      </c>
      <c r="H2087" t="s">
        <v>75</v>
      </c>
      <c r="I2087" t="s">
        <v>76</v>
      </c>
      <c r="J2087" t="s">
        <v>77</v>
      </c>
      <c r="K2087" t="s">
        <v>78</v>
      </c>
      <c r="L2087" t="s">
        <v>278</v>
      </c>
      <c r="M2087" t="s">
        <v>279</v>
      </c>
      <c r="N2087" t="s">
        <v>1916</v>
      </c>
      <c r="O2087" t="s">
        <v>82</v>
      </c>
      <c r="P2087" t="str">
        <f>"4170054894                    "</f>
        <v xml:space="preserve">4170054894                    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0</v>
      </c>
      <c r="AI2087">
        <v>0</v>
      </c>
      <c r="AJ2087">
        <v>0</v>
      </c>
      <c r="AK2087">
        <v>0</v>
      </c>
      <c r="AL2087">
        <v>0</v>
      </c>
      <c r="AM2087">
        <v>0</v>
      </c>
      <c r="AN2087">
        <v>0</v>
      </c>
      <c r="AO2087">
        <v>0</v>
      </c>
      <c r="AP2087">
        <v>0</v>
      </c>
      <c r="AQ2087">
        <v>23.09</v>
      </c>
      <c r="AR2087">
        <v>0</v>
      </c>
      <c r="AS2087">
        <v>0</v>
      </c>
      <c r="AT2087">
        <v>0</v>
      </c>
      <c r="AU2087">
        <v>0</v>
      </c>
      <c r="AV2087">
        <v>0</v>
      </c>
      <c r="AW2087">
        <v>0</v>
      </c>
      <c r="AX2087">
        <v>0</v>
      </c>
      <c r="AY2087">
        <v>0</v>
      </c>
      <c r="AZ2087">
        <v>0</v>
      </c>
      <c r="BA2087">
        <v>0</v>
      </c>
      <c r="BB2087">
        <v>0</v>
      </c>
      <c r="BC2087">
        <v>0</v>
      </c>
      <c r="BD2087">
        <v>0</v>
      </c>
      <c r="BE2087">
        <v>0</v>
      </c>
      <c r="BF2087">
        <v>0</v>
      </c>
      <c r="BG2087">
        <v>0</v>
      </c>
      <c r="BH2087">
        <v>1</v>
      </c>
      <c r="BI2087">
        <v>1</v>
      </c>
      <c r="BJ2087">
        <v>0.2</v>
      </c>
      <c r="BK2087">
        <v>1</v>
      </c>
      <c r="BL2087">
        <v>71.69</v>
      </c>
      <c r="BM2087">
        <v>10.75</v>
      </c>
      <c r="BN2087">
        <v>82.44</v>
      </c>
      <c r="BO2087">
        <v>82.44</v>
      </c>
      <c r="BQ2087" t="s">
        <v>1917</v>
      </c>
      <c r="BR2087" t="s">
        <v>84</v>
      </c>
      <c r="BS2087" s="3">
        <v>45884</v>
      </c>
      <c r="BT2087" s="4">
        <v>0.38958333333333334</v>
      </c>
      <c r="BU2087" t="s">
        <v>2666</v>
      </c>
      <c r="BV2087" t="s">
        <v>86</v>
      </c>
      <c r="BY2087">
        <v>1200</v>
      </c>
      <c r="CC2087" t="s">
        <v>279</v>
      </c>
      <c r="CD2087" s="5" t="s">
        <v>1919</v>
      </c>
      <c r="CE2087" t="s">
        <v>109</v>
      </c>
      <c r="CF2087" s="3">
        <v>45884</v>
      </c>
      <c r="CI2087">
        <v>1</v>
      </c>
      <c r="CJ2087">
        <v>1</v>
      </c>
      <c r="CK2087">
        <v>21</v>
      </c>
      <c r="CL2087" t="s">
        <v>90</v>
      </c>
    </row>
    <row r="2088" spans="1:90" x14ac:dyDescent="0.3">
      <c r="A2088" t="s">
        <v>72</v>
      </c>
      <c r="B2088" t="s">
        <v>73</v>
      </c>
      <c r="C2088" t="s">
        <v>74</v>
      </c>
      <c r="E2088" t="str">
        <f>"080067244407"</f>
        <v>080067244407</v>
      </c>
      <c r="F2088" s="3">
        <v>45883</v>
      </c>
      <c r="G2088">
        <v>202605</v>
      </c>
      <c r="H2088" t="s">
        <v>75</v>
      </c>
      <c r="I2088" t="s">
        <v>76</v>
      </c>
      <c r="J2088" t="s">
        <v>77</v>
      </c>
      <c r="K2088" t="s">
        <v>78</v>
      </c>
      <c r="L2088" t="s">
        <v>79</v>
      </c>
      <c r="M2088" t="s">
        <v>80</v>
      </c>
      <c r="N2088" t="s">
        <v>1787</v>
      </c>
      <c r="O2088" t="s">
        <v>113</v>
      </c>
      <c r="P2088" t="str">
        <f>"4170054795                    "</f>
        <v xml:space="preserve">4170054795                    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0</v>
      </c>
      <c r="AI2088">
        <v>0</v>
      </c>
      <c r="AJ2088">
        <v>0</v>
      </c>
      <c r="AK2088">
        <v>0</v>
      </c>
      <c r="AL2088">
        <v>0</v>
      </c>
      <c r="AM2088">
        <v>0</v>
      </c>
      <c r="AN2088">
        <v>0</v>
      </c>
      <c r="AO2088">
        <v>0</v>
      </c>
      <c r="AP2088">
        <v>0</v>
      </c>
      <c r="AQ2088">
        <v>18.04</v>
      </c>
      <c r="AR2088">
        <v>0</v>
      </c>
      <c r="AS2088">
        <v>0</v>
      </c>
      <c r="AT2088">
        <v>0</v>
      </c>
      <c r="AU2088">
        <v>0</v>
      </c>
      <c r="AV2088">
        <v>0</v>
      </c>
      <c r="AW2088">
        <v>0</v>
      </c>
      <c r="AX2088">
        <v>0</v>
      </c>
      <c r="AY2088">
        <v>0</v>
      </c>
      <c r="AZ2088">
        <v>0</v>
      </c>
      <c r="BA2088">
        <v>0</v>
      </c>
      <c r="BB2088">
        <v>0</v>
      </c>
      <c r="BC2088">
        <v>0</v>
      </c>
      <c r="BD2088">
        <v>0</v>
      </c>
      <c r="BE2088">
        <v>0</v>
      </c>
      <c r="BF2088">
        <v>0</v>
      </c>
      <c r="BG2088">
        <v>0</v>
      </c>
      <c r="BH2088">
        <v>1</v>
      </c>
      <c r="BI2088">
        <v>4</v>
      </c>
      <c r="BJ2088">
        <v>5.7</v>
      </c>
      <c r="BK2088">
        <v>6</v>
      </c>
      <c r="BL2088">
        <v>56.01</v>
      </c>
      <c r="BM2088">
        <v>8.4</v>
      </c>
      <c r="BN2088">
        <v>64.41</v>
      </c>
      <c r="BO2088">
        <v>64.41</v>
      </c>
      <c r="BQ2088" t="s">
        <v>1788</v>
      </c>
      <c r="BR2088" t="s">
        <v>84</v>
      </c>
      <c r="BS2088" s="3">
        <v>45884</v>
      </c>
      <c r="BT2088" s="4">
        <v>0.47847222222222224</v>
      </c>
      <c r="BU2088" t="s">
        <v>121</v>
      </c>
      <c r="BV2088" t="s">
        <v>86</v>
      </c>
      <c r="BY2088">
        <v>28275</v>
      </c>
      <c r="CA2088" t="s">
        <v>1026</v>
      </c>
      <c r="CC2088" t="s">
        <v>80</v>
      </c>
      <c r="CD2088">
        <v>1401</v>
      </c>
      <c r="CE2088" t="s">
        <v>147</v>
      </c>
      <c r="CF2088" s="3">
        <v>45884</v>
      </c>
      <c r="CI2088">
        <v>1</v>
      </c>
      <c r="CJ2088">
        <v>1</v>
      </c>
      <c r="CK2088">
        <v>32</v>
      </c>
      <c r="CL2088" t="s">
        <v>90</v>
      </c>
    </row>
    <row r="2089" spans="1:90" x14ac:dyDescent="0.3">
      <c r="A2089" t="s">
        <v>72</v>
      </c>
      <c r="B2089" t="s">
        <v>73</v>
      </c>
      <c r="C2089" t="s">
        <v>74</v>
      </c>
      <c r="E2089" t="str">
        <f>"080067244444"</f>
        <v>080067244444</v>
      </c>
      <c r="F2089" s="3">
        <v>45883</v>
      </c>
      <c r="G2089">
        <v>202605</v>
      </c>
      <c r="H2089" t="s">
        <v>75</v>
      </c>
      <c r="I2089" t="s">
        <v>76</v>
      </c>
      <c r="J2089" t="s">
        <v>77</v>
      </c>
      <c r="K2089" t="s">
        <v>78</v>
      </c>
      <c r="L2089" t="s">
        <v>325</v>
      </c>
      <c r="M2089" t="s">
        <v>326</v>
      </c>
      <c r="N2089" t="s">
        <v>980</v>
      </c>
      <c r="O2089" t="s">
        <v>82</v>
      </c>
      <c r="P2089" t="str">
        <f>"4170054790                    "</f>
        <v xml:space="preserve">4170054790                    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0</v>
      </c>
      <c r="AI2089">
        <v>0</v>
      </c>
      <c r="AJ2089"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Q2089">
        <v>18.03</v>
      </c>
      <c r="AR2089">
        <v>0</v>
      </c>
      <c r="AS2089">
        <v>0</v>
      </c>
      <c r="AT2089">
        <v>0</v>
      </c>
      <c r="AU2089">
        <v>0</v>
      </c>
      <c r="AV2089">
        <v>0</v>
      </c>
      <c r="AW2089">
        <v>0</v>
      </c>
      <c r="AX2089">
        <v>0</v>
      </c>
      <c r="AY2089">
        <v>0</v>
      </c>
      <c r="AZ2089">
        <v>0</v>
      </c>
      <c r="BA2089">
        <v>0</v>
      </c>
      <c r="BB2089">
        <v>0</v>
      </c>
      <c r="BC2089">
        <v>0</v>
      </c>
      <c r="BD2089">
        <v>0</v>
      </c>
      <c r="BE2089">
        <v>0</v>
      </c>
      <c r="BF2089">
        <v>0</v>
      </c>
      <c r="BG2089">
        <v>0</v>
      </c>
      <c r="BH2089">
        <v>1</v>
      </c>
      <c r="BI2089">
        <v>1</v>
      </c>
      <c r="BJ2089">
        <v>0.2</v>
      </c>
      <c r="BK2089">
        <v>1</v>
      </c>
      <c r="BL2089">
        <v>55.99</v>
      </c>
      <c r="BM2089">
        <v>8.4</v>
      </c>
      <c r="BN2089">
        <v>64.39</v>
      </c>
      <c r="BO2089">
        <v>64.39</v>
      </c>
      <c r="BQ2089" t="s">
        <v>981</v>
      </c>
      <c r="BR2089" t="s">
        <v>84</v>
      </c>
      <c r="BS2089" s="3">
        <v>45884</v>
      </c>
      <c r="BT2089" s="4">
        <v>0.34513888888888888</v>
      </c>
      <c r="BU2089" t="s">
        <v>982</v>
      </c>
      <c r="BV2089" t="s">
        <v>86</v>
      </c>
      <c r="BY2089">
        <v>1200</v>
      </c>
      <c r="CA2089" t="s">
        <v>461</v>
      </c>
      <c r="CC2089" t="s">
        <v>326</v>
      </c>
      <c r="CD2089">
        <v>2094</v>
      </c>
      <c r="CE2089" t="s">
        <v>109</v>
      </c>
      <c r="CF2089" s="3">
        <v>45885</v>
      </c>
      <c r="CI2089">
        <v>1</v>
      </c>
      <c r="CJ2089">
        <v>1</v>
      </c>
      <c r="CK2089">
        <v>22</v>
      </c>
      <c r="CL2089" t="s">
        <v>90</v>
      </c>
    </row>
    <row r="2090" spans="1:90" x14ac:dyDescent="0.3">
      <c r="A2090" t="s">
        <v>72</v>
      </c>
      <c r="B2090" t="s">
        <v>73</v>
      </c>
      <c r="C2090" t="s">
        <v>74</v>
      </c>
      <c r="E2090" t="str">
        <f>"080067244461"</f>
        <v>080067244461</v>
      </c>
      <c r="F2090" s="3">
        <v>45883</v>
      </c>
      <c r="G2090">
        <v>202605</v>
      </c>
      <c r="H2090" t="s">
        <v>75</v>
      </c>
      <c r="I2090" t="s">
        <v>76</v>
      </c>
      <c r="J2090" t="s">
        <v>77</v>
      </c>
      <c r="K2090" t="s">
        <v>78</v>
      </c>
      <c r="L2090" t="s">
        <v>179</v>
      </c>
      <c r="M2090" t="s">
        <v>180</v>
      </c>
      <c r="N2090" t="s">
        <v>131</v>
      </c>
      <c r="O2090" t="s">
        <v>82</v>
      </c>
      <c r="P2090" t="str">
        <f>"4170054892                    "</f>
        <v xml:space="preserve">4170054892                    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0</v>
      </c>
      <c r="AI2090">
        <v>0</v>
      </c>
      <c r="AJ2090">
        <v>0</v>
      </c>
      <c r="AK2090">
        <v>0</v>
      </c>
      <c r="AL2090">
        <v>0</v>
      </c>
      <c r="AM2090">
        <v>0</v>
      </c>
      <c r="AN2090">
        <v>0</v>
      </c>
      <c r="AO2090">
        <v>0</v>
      </c>
      <c r="AP2090">
        <v>0</v>
      </c>
      <c r="AQ2090">
        <v>32.47</v>
      </c>
      <c r="AR2090">
        <v>0</v>
      </c>
      <c r="AS2090">
        <v>0</v>
      </c>
      <c r="AT2090">
        <v>0</v>
      </c>
      <c r="AU2090">
        <v>0</v>
      </c>
      <c r="AV2090">
        <v>0</v>
      </c>
      <c r="AW2090">
        <v>0</v>
      </c>
      <c r="AX2090">
        <v>0</v>
      </c>
      <c r="AY2090">
        <v>0</v>
      </c>
      <c r="AZ2090">
        <v>0</v>
      </c>
      <c r="BA2090">
        <v>0</v>
      </c>
      <c r="BB2090">
        <v>0</v>
      </c>
      <c r="BC2090">
        <v>0</v>
      </c>
      <c r="BD2090">
        <v>0</v>
      </c>
      <c r="BE2090">
        <v>0</v>
      </c>
      <c r="BF2090">
        <v>0</v>
      </c>
      <c r="BG2090">
        <v>0</v>
      </c>
      <c r="BH2090">
        <v>1</v>
      </c>
      <c r="BI2090">
        <v>1</v>
      </c>
      <c r="BJ2090">
        <v>1.7</v>
      </c>
      <c r="BK2090">
        <v>2</v>
      </c>
      <c r="BL2090">
        <v>100.82</v>
      </c>
      <c r="BM2090">
        <v>15.12</v>
      </c>
      <c r="BN2090">
        <v>115.94</v>
      </c>
      <c r="BO2090">
        <v>115.94</v>
      </c>
      <c r="BQ2090" t="s">
        <v>132</v>
      </c>
      <c r="BR2090" t="s">
        <v>84</v>
      </c>
      <c r="BS2090" s="3">
        <v>45884</v>
      </c>
      <c r="BT2090" s="4">
        <v>0.39305555555555555</v>
      </c>
      <c r="BU2090" t="s">
        <v>2667</v>
      </c>
      <c r="BV2090" t="s">
        <v>86</v>
      </c>
      <c r="BY2090">
        <v>8512</v>
      </c>
      <c r="CA2090" t="s">
        <v>2551</v>
      </c>
      <c r="CC2090" t="s">
        <v>180</v>
      </c>
      <c r="CD2090">
        <v>1754</v>
      </c>
      <c r="CE2090" t="s">
        <v>147</v>
      </c>
      <c r="CF2090" s="3">
        <v>45885</v>
      </c>
      <c r="CI2090">
        <v>1</v>
      </c>
      <c r="CJ2090">
        <v>1</v>
      </c>
      <c r="CK2090">
        <v>24</v>
      </c>
      <c r="CL2090" t="s">
        <v>90</v>
      </c>
    </row>
    <row r="2091" spans="1:90" x14ac:dyDescent="0.3">
      <c r="A2091" t="s">
        <v>72</v>
      </c>
      <c r="B2091" t="s">
        <v>73</v>
      </c>
      <c r="C2091" t="s">
        <v>74</v>
      </c>
      <c r="E2091" t="str">
        <f>"080067244466"</f>
        <v>080067244466</v>
      </c>
      <c r="F2091" s="3">
        <v>45883</v>
      </c>
      <c r="G2091">
        <v>202605</v>
      </c>
      <c r="H2091" t="s">
        <v>75</v>
      </c>
      <c r="I2091" t="s">
        <v>76</v>
      </c>
      <c r="J2091" t="s">
        <v>77</v>
      </c>
      <c r="K2091" t="s">
        <v>78</v>
      </c>
      <c r="L2091" t="s">
        <v>319</v>
      </c>
      <c r="M2091" t="s">
        <v>320</v>
      </c>
      <c r="N2091" t="s">
        <v>321</v>
      </c>
      <c r="O2091" t="s">
        <v>82</v>
      </c>
      <c r="P2091" t="str">
        <f>"4170054729                    "</f>
        <v xml:space="preserve">4170054729                    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0</v>
      </c>
      <c r="AI2091">
        <v>0</v>
      </c>
      <c r="AJ2091">
        <v>0</v>
      </c>
      <c r="AK2091">
        <v>0</v>
      </c>
      <c r="AL2091">
        <v>0</v>
      </c>
      <c r="AM2091">
        <v>0</v>
      </c>
      <c r="AN2091">
        <v>0</v>
      </c>
      <c r="AO2091">
        <v>0</v>
      </c>
      <c r="AP2091">
        <v>0</v>
      </c>
      <c r="AQ2091">
        <v>44.73</v>
      </c>
      <c r="AR2091">
        <v>0</v>
      </c>
      <c r="AS2091">
        <v>0</v>
      </c>
      <c r="AT2091">
        <v>0</v>
      </c>
      <c r="AU2091">
        <v>0</v>
      </c>
      <c r="AV2091">
        <v>0</v>
      </c>
      <c r="AW2091">
        <v>0</v>
      </c>
      <c r="AX2091">
        <v>0</v>
      </c>
      <c r="AY2091">
        <v>0</v>
      </c>
      <c r="AZ2091">
        <v>0</v>
      </c>
      <c r="BA2091">
        <v>0</v>
      </c>
      <c r="BB2091">
        <v>0</v>
      </c>
      <c r="BC2091">
        <v>0</v>
      </c>
      <c r="BD2091">
        <v>0</v>
      </c>
      <c r="BE2091">
        <v>0</v>
      </c>
      <c r="BF2091">
        <v>0</v>
      </c>
      <c r="BG2091">
        <v>0</v>
      </c>
      <c r="BH2091">
        <v>1</v>
      </c>
      <c r="BI2091">
        <v>1</v>
      </c>
      <c r="BJ2091">
        <v>0.2</v>
      </c>
      <c r="BK2091">
        <v>1</v>
      </c>
      <c r="BL2091">
        <v>138.88999999999999</v>
      </c>
      <c r="BM2091">
        <v>20.83</v>
      </c>
      <c r="BN2091">
        <v>159.72</v>
      </c>
      <c r="BO2091">
        <v>159.72</v>
      </c>
      <c r="BQ2091" t="s">
        <v>322</v>
      </c>
      <c r="BR2091" t="s">
        <v>84</v>
      </c>
      <c r="BS2091" s="3">
        <v>45884</v>
      </c>
      <c r="BT2091" s="4">
        <v>0.44374999999999998</v>
      </c>
      <c r="BU2091" t="s">
        <v>1295</v>
      </c>
      <c r="BV2091" t="s">
        <v>86</v>
      </c>
      <c r="BY2091">
        <v>1200</v>
      </c>
      <c r="CA2091" t="s">
        <v>324</v>
      </c>
      <c r="CC2091" t="s">
        <v>320</v>
      </c>
      <c r="CD2091">
        <v>2531</v>
      </c>
      <c r="CE2091" t="s">
        <v>109</v>
      </c>
      <c r="CF2091" s="3">
        <v>45887</v>
      </c>
      <c r="CI2091">
        <v>1</v>
      </c>
      <c r="CJ2091">
        <v>1</v>
      </c>
      <c r="CK2091">
        <v>23</v>
      </c>
      <c r="CL2091" t="s">
        <v>90</v>
      </c>
    </row>
    <row r="2092" spans="1:90" x14ac:dyDescent="0.3">
      <c r="A2092" t="s">
        <v>72</v>
      </c>
      <c r="B2092" t="s">
        <v>73</v>
      </c>
      <c r="C2092" t="s">
        <v>74</v>
      </c>
      <c r="E2092" t="str">
        <f>"080067244517"</f>
        <v>080067244517</v>
      </c>
      <c r="F2092" s="3">
        <v>45883</v>
      </c>
      <c r="G2092">
        <v>202605</v>
      </c>
      <c r="H2092" t="s">
        <v>75</v>
      </c>
      <c r="I2092" t="s">
        <v>76</v>
      </c>
      <c r="J2092" t="s">
        <v>77</v>
      </c>
      <c r="K2092" t="s">
        <v>78</v>
      </c>
      <c r="L2092" t="s">
        <v>241</v>
      </c>
      <c r="M2092" t="s">
        <v>242</v>
      </c>
      <c r="N2092" t="s">
        <v>573</v>
      </c>
      <c r="O2092" t="s">
        <v>82</v>
      </c>
      <c r="P2092" t="str">
        <f>"4170054857                    "</f>
        <v xml:space="preserve">4170054857                    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>
        <v>0</v>
      </c>
      <c r="AK2092">
        <v>0</v>
      </c>
      <c r="AL2092">
        <v>0</v>
      </c>
      <c r="AM2092">
        <v>0</v>
      </c>
      <c r="AN2092">
        <v>0</v>
      </c>
      <c r="AO2092">
        <v>0</v>
      </c>
      <c r="AP2092">
        <v>0</v>
      </c>
      <c r="AQ2092">
        <v>18.03</v>
      </c>
      <c r="AR2092">
        <v>0</v>
      </c>
      <c r="AS2092">
        <v>0</v>
      </c>
      <c r="AT2092">
        <v>0</v>
      </c>
      <c r="AU2092">
        <v>0</v>
      </c>
      <c r="AV2092">
        <v>0</v>
      </c>
      <c r="AW2092">
        <v>0</v>
      </c>
      <c r="AX2092">
        <v>0</v>
      </c>
      <c r="AY2092">
        <v>0</v>
      </c>
      <c r="AZ2092">
        <v>0</v>
      </c>
      <c r="BA2092">
        <v>0</v>
      </c>
      <c r="BB2092">
        <v>0</v>
      </c>
      <c r="BC2092">
        <v>0</v>
      </c>
      <c r="BD2092">
        <v>0</v>
      </c>
      <c r="BE2092">
        <v>0</v>
      </c>
      <c r="BF2092">
        <v>0</v>
      </c>
      <c r="BG2092">
        <v>0</v>
      </c>
      <c r="BH2092">
        <v>1</v>
      </c>
      <c r="BI2092">
        <v>1</v>
      </c>
      <c r="BJ2092">
        <v>0.2</v>
      </c>
      <c r="BK2092">
        <v>1</v>
      </c>
      <c r="BL2092">
        <v>55.99</v>
      </c>
      <c r="BM2092">
        <v>8.4</v>
      </c>
      <c r="BN2092">
        <v>64.39</v>
      </c>
      <c r="BO2092">
        <v>64.39</v>
      </c>
      <c r="BQ2092" t="s">
        <v>574</v>
      </c>
      <c r="BR2092" t="s">
        <v>84</v>
      </c>
      <c r="BS2092" s="3">
        <v>45884</v>
      </c>
      <c r="BT2092" s="4">
        <v>0.40208333333333335</v>
      </c>
      <c r="BU2092" t="s">
        <v>2668</v>
      </c>
      <c r="BV2092" t="s">
        <v>86</v>
      </c>
      <c r="BY2092">
        <v>1200</v>
      </c>
      <c r="CA2092" t="s">
        <v>260</v>
      </c>
      <c r="CC2092" t="s">
        <v>242</v>
      </c>
      <c r="CD2092">
        <v>1459</v>
      </c>
      <c r="CE2092" t="s">
        <v>109</v>
      </c>
      <c r="CF2092" s="3">
        <v>45884</v>
      </c>
      <c r="CI2092">
        <v>1</v>
      </c>
      <c r="CJ2092">
        <v>1</v>
      </c>
      <c r="CK2092">
        <v>22</v>
      </c>
      <c r="CL2092" t="s">
        <v>90</v>
      </c>
    </row>
    <row r="2093" spans="1:90" x14ac:dyDescent="0.3">
      <c r="A2093" t="s">
        <v>72</v>
      </c>
      <c r="B2093" t="s">
        <v>73</v>
      </c>
      <c r="C2093" t="s">
        <v>74</v>
      </c>
      <c r="E2093" t="str">
        <f>"080067244521"</f>
        <v>080067244521</v>
      </c>
      <c r="F2093" s="3">
        <v>45883</v>
      </c>
      <c r="G2093">
        <v>202605</v>
      </c>
      <c r="H2093" t="s">
        <v>75</v>
      </c>
      <c r="I2093" t="s">
        <v>76</v>
      </c>
      <c r="J2093" t="s">
        <v>77</v>
      </c>
      <c r="K2093" t="s">
        <v>78</v>
      </c>
      <c r="L2093" t="s">
        <v>513</v>
      </c>
      <c r="M2093" t="s">
        <v>514</v>
      </c>
      <c r="N2093" t="s">
        <v>1017</v>
      </c>
      <c r="O2093" t="s">
        <v>95</v>
      </c>
      <c r="P2093" t="str">
        <f>"4170054914                    "</f>
        <v xml:space="preserve">4170054914                    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0</v>
      </c>
      <c r="AI2093">
        <v>0</v>
      </c>
      <c r="AJ2093">
        <v>0</v>
      </c>
      <c r="AK2093">
        <v>0</v>
      </c>
      <c r="AL2093">
        <v>0</v>
      </c>
      <c r="AM2093">
        <v>0</v>
      </c>
      <c r="AN2093">
        <v>0</v>
      </c>
      <c r="AO2093">
        <v>0</v>
      </c>
      <c r="AP2093">
        <v>0</v>
      </c>
      <c r="AQ2093">
        <v>72.61</v>
      </c>
      <c r="AR2093">
        <v>0</v>
      </c>
      <c r="AS2093">
        <v>0</v>
      </c>
      <c r="AT2093">
        <v>0</v>
      </c>
      <c r="AU2093">
        <v>0</v>
      </c>
      <c r="AV2093">
        <v>0</v>
      </c>
      <c r="AW2093">
        <v>0</v>
      </c>
      <c r="AX2093">
        <v>0</v>
      </c>
      <c r="AY2093">
        <v>0</v>
      </c>
      <c r="AZ2093">
        <v>0</v>
      </c>
      <c r="BA2093">
        <v>0</v>
      </c>
      <c r="BB2093">
        <v>0</v>
      </c>
      <c r="BC2093">
        <v>0</v>
      </c>
      <c r="BD2093">
        <v>0</v>
      </c>
      <c r="BE2093">
        <v>0</v>
      </c>
      <c r="BF2093">
        <v>0</v>
      </c>
      <c r="BG2093">
        <v>0</v>
      </c>
      <c r="BH2093">
        <v>2</v>
      </c>
      <c r="BI2093">
        <v>6</v>
      </c>
      <c r="BJ2093">
        <v>17.899999999999999</v>
      </c>
      <c r="BK2093">
        <v>18</v>
      </c>
      <c r="BL2093">
        <v>231.34</v>
      </c>
      <c r="BM2093">
        <v>34.700000000000003</v>
      </c>
      <c r="BN2093">
        <v>266.04000000000002</v>
      </c>
      <c r="BO2093">
        <v>266.04000000000002</v>
      </c>
      <c r="BQ2093" t="s">
        <v>1018</v>
      </c>
      <c r="BR2093" t="s">
        <v>84</v>
      </c>
      <c r="BS2093" s="3">
        <v>45884</v>
      </c>
      <c r="BT2093" s="4">
        <v>0.52500000000000002</v>
      </c>
      <c r="BU2093" t="s">
        <v>1019</v>
      </c>
      <c r="BV2093" t="s">
        <v>86</v>
      </c>
      <c r="BY2093">
        <v>44640</v>
      </c>
      <c r="CA2093" t="s">
        <v>518</v>
      </c>
      <c r="CC2093" t="s">
        <v>514</v>
      </c>
      <c r="CD2093" s="5" t="s">
        <v>519</v>
      </c>
      <c r="CE2093" t="s">
        <v>1095</v>
      </c>
      <c r="CF2093" s="3">
        <v>45887</v>
      </c>
      <c r="CI2093">
        <v>1</v>
      </c>
      <c r="CJ2093">
        <v>1</v>
      </c>
      <c r="CK2093">
        <v>43</v>
      </c>
      <c r="CL2093" t="s">
        <v>90</v>
      </c>
    </row>
    <row r="2094" spans="1:90" x14ac:dyDescent="0.3">
      <c r="A2094" t="s">
        <v>72</v>
      </c>
      <c r="B2094" t="s">
        <v>73</v>
      </c>
      <c r="C2094" t="s">
        <v>74</v>
      </c>
      <c r="E2094" t="str">
        <f>"080067244547"</f>
        <v>080067244547</v>
      </c>
      <c r="F2094" s="3">
        <v>45883</v>
      </c>
      <c r="G2094">
        <v>202605</v>
      </c>
      <c r="H2094" t="s">
        <v>75</v>
      </c>
      <c r="I2094" t="s">
        <v>76</v>
      </c>
      <c r="J2094" t="s">
        <v>77</v>
      </c>
      <c r="K2094" t="s">
        <v>78</v>
      </c>
      <c r="L2094" t="s">
        <v>234</v>
      </c>
      <c r="M2094" t="s">
        <v>235</v>
      </c>
      <c r="N2094" t="s">
        <v>236</v>
      </c>
      <c r="O2094" t="s">
        <v>82</v>
      </c>
      <c r="P2094" t="str">
        <f>"4170054899                    "</f>
        <v xml:space="preserve">4170054899                    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0</v>
      </c>
      <c r="AI2094">
        <v>0</v>
      </c>
      <c r="AJ2094">
        <v>0</v>
      </c>
      <c r="AK2094">
        <v>0</v>
      </c>
      <c r="AL2094">
        <v>0</v>
      </c>
      <c r="AM2094">
        <v>0</v>
      </c>
      <c r="AN2094">
        <v>0</v>
      </c>
      <c r="AO2094">
        <v>0</v>
      </c>
      <c r="AP2094">
        <v>0</v>
      </c>
      <c r="AQ2094">
        <v>23.09</v>
      </c>
      <c r="AR2094">
        <v>0</v>
      </c>
      <c r="AS2094">
        <v>0</v>
      </c>
      <c r="AT2094">
        <v>0</v>
      </c>
      <c r="AU2094">
        <v>0</v>
      </c>
      <c r="AV2094">
        <v>0</v>
      </c>
      <c r="AW2094">
        <v>0</v>
      </c>
      <c r="AX2094">
        <v>0</v>
      </c>
      <c r="AY2094">
        <v>0</v>
      </c>
      <c r="AZ2094">
        <v>0</v>
      </c>
      <c r="BA2094">
        <v>0</v>
      </c>
      <c r="BB2094">
        <v>0</v>
      </c>
      <c r="BC2094">
        <v>0</v>
      </c>
      <c r="BD2094">
        <v>0</v>
      </c>
      <c r="BE2094">
        <v>0</v>
      </c>
      <c r="BF2094">
        <v>0</v>
      </c>
      <c r="BG2094">
        <v>0</v>
      </c>
      <c r="BH2094">
        <v>1</v>
      </c>
      <c r="BI2094">
        <v>1</v>
      </c>
      <c r="BJ2094">
        <v>0.2</v>
      </c>
      <c r="BK2094">
        <v>1</v>
      </c>
      <c r="BL2094">
        <v>71.69</v>
      </c>
      <c r="BM2094">
        <v>10.75</v>
      </c>
      <c r="BN2094">
        <v>82.44</v>
      </c>
      <c r="BO2094">
        <v>82.44</v>
      </c>
      <c r="BQ2094" t="s">
        <v>237</v>
      </c>
      <c r="BR2094" t="s">
        <v>84</v>
      </c>
      <c r="BS2094" s="3">
        <v>45884</v>
      </c>
      <c r="BT2094" s="4">
        <v>0.38333333333333336</v>
      </c>
      <c r="BU2094" t="s">
        <v>650</v>
      </c>
      <c r="BV2094" t="s">
        <v>86</v>
      </c>
      <c r="BY2094">
        <v>1200</v>
      </c>
      <c r="CA2094" t="s">
        <v>239</v>
      </c>
      <c r="CC2094" t="s">
        <v>235</v>
      </c>
      <c r="CD2094" s="5" t="s">
        <v>240</v>
      </c>
      <c r="CE2094" t="s">
        <v>109</v>
      </c>
      <c r="CF2094" s="3">
        <v>45884</v>
      </c>
      <c r="CI2094">
        <v>1</v>
      </c>
      <c r="CJ2094">
        <v>1</v>
      </c>
      <c r="CK2094">
        <v>21</v>
      </c>
      <c r="CL2094" t="s">
        <v>90</v>
      </c>
    </row>
    <row r="2095" spans="1:90" x14ac:dyDescent="0.3">
      <c r="A2095" t="s">
        <v>72</v>
      </c>
      <c r="B2095" t="s">
        <v>73</v>
      </c>
      <c r="C2095" t="s">
        <v>74</v>
      </c>
      <c r="E2095" t="str">
        <f>"080067244571"</f>
        <v>080067244571</v>
      </c>
      <c r="F2095" s="3">
        <v>45883</v>
      </c>
      <c r="G2095">
        <v>202605</v>
      </c>
      <c r="H2095" t="s">
        <v>75</v>
      </c>
      <c r="I2095" t="s">
        <v>76</v>
      </c>
      <c r="J2095" t="s">
        <v>77</v>
      </c>
      <c r="K2095" t="s">
        <v>78</v>
      </c>
      <c r="L2095" t="s">
        <v>137</v>
      </c>
      <c r="M2095" t="s">
        <v>138</v>
      </c>
      <c r="N2095" t="s">
        <v>815</v>
      </c>
      <c r="O2095" t="s">
        <v>82</v>
      </c>
      <c r="P2095" t="str">
        <f>"4170055062                    "</f>
        <v xml:space="preserve">4170055062                    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0</v>
      </c>
      <c r="AI2095">
        <v>0</v>
      </c>
      <c r="AJ2095">
        <v>0</v>
      </c>
      <c r="AK2095">
        <v>0</v>
      </c>
      <c r="AL2095">
        <v>0</v>
      </c>
      <c r="AM2095">
        <v>0</v>
      </c>
      <c r="AN2095">
        <v>0</v>
      </c>
      <c r="AO2095">
        <v>0</v>
      </c>
      <c r="AP2095">
        <v>0</v>
      </c>
      <c r="AQ2095">
        <v>74.98</v>
      </c>
      <c r="AR2095">
        <v>0</v>
      </c>
      <c r="AS2095">
        <v>0</v>
      </c>
      <c r="AT2095">
        <v>0</v>
      </c>
      <c r="AU2095">
        <v>0</v>
      </c>
      <c r="AV2095">
        <v>0</v>
      </c>
      <c r="AW2095">
        <v>0</v>
      </c>
      <c r="AX2095">
        <v>0</v>
      </c>
      <c r="AY2095">
        <v>0</v>
      </c>
      <c r="AZ2095">
        <v>0</v>
      </c>
      <c r="BA2095">
        <v>0</v>
      </c>
      <c r="BB2095">
        <v>0</v>
      </c>
      <c r="BC2095">
        <v>0</v>
      </c>
      <c r="BD2095">
        <v>0</v>
      </c>
      <c r="BE2095">
        <v>0</v>
      </c>
      <c r="BF2095">
        <v>0</v>
      </c>
      <c r="BG2095">
        <v>0</v>
      </c>
      <c r="BH2095">
        <v>1</v>
      </c>
      <c r="BI2095">
        <v>3</v>
      </c>
      <c r="BJ2095">
        <v>6.2</v>
      </c>
      <c r="BK2095">
        <v>6.5</v>
      </c>
      <c r="BL2095">
        <v>232.84</v>
      </c>
      <c r="BM2095">
        <v>34.93</v>
      </c>
      <c r="BN2095">
        <v>267.77</v>
      </c>
      <c r="BO2095">
        <v>267.77</v>
      </c>
      <c r="BQ2095" t="s">
        <v>816</v>
      </c>
      <c r="BR2095" t="s">
        <v>84</v>
      </c>
      <c r="BS2095" s="3">
        <v>45884</v>
      </c>
      <c r="BT2095" s="4">
        <v>0.42152777777777778</v>
      </c>
      <c r="BU2095" t="s">
        <v>817</v>
      </c>
      <c r="BV2095" t="s">
        <v>86</v>
      </c>
      <c r="BY2095">
        <v>30888</v>
      </c>
      <c r="CA2095" t="s">
        <v>264</v>
      </c>
      <c r="CC2095" t="s">
        <v>138</v>
      </c>
      <c r="CD2095">
        <v>3610</v>
      </c>
      <c r="CE2095" t="s">
        <v>117</v>
      </c>
      <c r="CF2095" s="3">
        <v>45884</v>
      </c>
      <c r="CI2095">
        <v>1</v>
      </c>
      <c r="CJ2095">
        <v>1</v>
      </c>
      <c r="CK2095">
        <v>21</v>
      </c>
      <c r="CL2095" t="s">
        <v>90</v>
      </c>
    </row>
    <row r="2096" spans="1:90" x14ac:dyDescent="0.3">
      <c r="A2096" t="s">
        <v>72</v>
      </c>
      <c r="B2096" t="s">
        <v>73</v>
      </c>
      <c r="C2096" t="s">
        <v>74</v>
      </c>
      <c r="E2096" t="str">
        <f>"080067244605"</f>
        <v>080067244605</v>
      </c>
      <c r="F2096" s="3">
        <v>45883</v>
      </c>
      <c r="G2096">
        <v>202605</v>
      </c>
      <c r="H2096" t="s">
        <v>75</v>
      </c>
      <c r="I2096" t="s">
        <v>76</v>
      </c>
      <c r="J2096" t="s">
        <v>77</v>
      </c>
      <c r="K2096" t="s">
        <v>78</v>
      </c>
      <c r="L2096" t="s">
        <v>198</v>
      </c>
      <c r="M2096" t="s">
        <v>199</v>
      </c>
      <c r="N2096" t="s">
        <v>680</v>
      </c>
      <c r="O2096" t="s">
        <v>82</v>
      </c>
      <c r="P2096" t="str">
        <f>"4170054791                    "</f>
        <v xml:space="preserve">4170054791                    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0</v>
      </c>
      <c r="AI2096">
        <v>0</v>
      </c>
      <c r="AJ2096">
        <v>0</v>
      </c>
      <c r="AK2096">
        <v>0</v>
      </c>
      <c r="AL2096">
        <v>0</v>
      </c>
      <c r="AM2096">
        <v>0</v>
      </c>
      <c r="AN2096">
        <v>0</v>
      </c>
      <c r="AO2096">
        <v>0</v>
      </c>
      <c r="AP2096">
        <v>0</v>
      </c>
      <c r="AQ2096">
        <v>23.09</v>
      </c>
      <c r="AR2096">
        <v>0</v>
      </c>
      <c r="AS2096">
        <v>0</v>
      </c>
      <c r="AT2096">
        <v>0</v>
      </c>
      <c r="AU2096">
        <v>0</v>
      </c>
      <c r="AV2096">
        <v>0</v>
      </c>
      <c r="AW2096">
        <v>0</v>
      </c>
      <c r="AX2096">
        <v>0</v>
      </c>
      <c r="AY2096">
        <v>0</v>
      </c>
      <c r="AZ2096">
        <v>0</v>
      </c>
      <c r="BA2096">
        <v>0</v>
      </c>
      <c r="BB2096">
        <v>0</v>
      </c>
      <c r="BC2096">
        <v>0</v>
      </c>
      <c r="BD2096">
        <v>0</v>
      </c>
      <c r="BE2096">
        <v>0</v>
      </c>
      <c r="BF2096">
        <v>0</v>
      </c>
      <c r="BG2096">
        <v>0</v>
      </c>
      <c r="BH2096">
        <v>1</v>
      </c>
      <c r="BI2096">
        <v>1</v>
      </c>
      <c r="BJ2096">
        <v>0.2</v>
      </c>
      <c r="BK2096">
        <v>1</v>
      </c>
      <c r="BL2096">
        <v>71.69</v>
      </c>
      <c r="BM2096">
        <v>10.75</v>
      </c>
      <c r="BN2096">
        <v>82.44</v>
      </c>
      <c r="BO2096">
        <v>82.44</v>
      </c>
      <c r="BQ2096" t="s">
        <v>681</v>
      </c>
      <c r="BR2096" t="s">
        <v>84</v>
      </c>
      <c r="BS2096" s="3">
        <v>45884</v>
      </c>
      <c r="BT2096" s="4">
        <v>0.41111111111111109</v>
      </c>
      <c r="BU2096" t="s">
        <v>2644</v>
      </c>
      <c r="BV2096" t="s">
        <v>86</v>
      </c>
      <c r="BY2096">
        <v>1200</v>
      </c>
      <c r="CA2096" t="s">
        <v>413</v>
      </c>
      <c r="CC2096" t="s">
        <v>199</v>
      </c>
      <c r="CD2096">
        <v>6001</v>
      </c>
      <c r="CE2096" t="s">
        <v>109</v>
      </c>
      <c r="CF2096" s="3">
        <v>45884</v>
      </c>
      <c r="CI2096">
        <v>1</v>
      </c>
      <c r="CJ2096">
        <v>1</v>
      </c>
      <c r="CK2096">
        <v>21</v>
      </c>
      <c r="CL2096" t="s">
        <v>90</v>
      </c>
    </row>
    <row r="2097" spans="1:90" x14ac:dyDescent="0.3">
      <c r="A2097" t="s">
        <v>72</v>
      </c>
      <c r="B2097" t="s">
        <v>73</v>
      </c>
      <c r="C2097" t="s">
        <v>74</v>
      </c>
      <c r="E2097" t="str">
        <f>"080067244622"</f>
        <v>080067244622</v>
      </c>
      <c r="F2097" s="3">
        <v>45883</v>
      </c>
      <c r="G2097">
        <v>202605</v>
      </c>
      <c r="H2097" t="s">
        <v>75</v>
      </c>
      <c r="I2097" t="s">
        <v>76</v>
      </c>
      <c r="J2097" t="s">
        <v>77</v>
      </c>
      <c r="K2097" t="s">
        <v>78</v>
      </c>
      <c r="L2097" t="s">
        <v>75</v>
      </c>
      <c r="M2097" t="s">
        <v>76</v>
      </c>
      <c r="N2097" t="s">
        <v>740</v>
      </c>
      <c r="O2097" t="s">
        <v>82</v>
      </c>
      <c r="P2097" t="str">
        <f>"4170054871                    "</f>
        <v xml:space="preserve">4170054871                    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0</v>
      </c>
      <c r="AI2097">
        <v>0</v>
      </c>
      <c r="AJ2097">
        <v>0</v>
      </c>
      <c r="AK2097">
        <v>0</v>
      </c>
      <c r="AL2097">
        <v>0</v>
      </c>
      <c r="AM2097">
        <v>0</v>
      </c>
      <c r="AN2097">
        <v>0</v>
      </c>
      <c r="AO2097">
        <v>0</v>
      </c>
      <c r="AP2097">
        <v>0</v>
      </c>
      <c r="AQ2097">
        <v>18.03</v>
      </c>
      <c r="AR2097">
        <v>0</v>
      </c>
      <c r="AS2097">
        <v>0</v>
      </c>
      <c r="AT2097">
        <v>0</v>
      </c>
      <c r="AU2097">
        <v>0</v>
      </c>
      <c r="AV2097">
        <v>0</v>
      </c>
      <c r="AW2097">
        <v>0</v>
      </c>
      <c r="AX2097">
        <v>0</v>
      </c>
      <c r="AY2097">
        <v>0</v>
      </c>
      <c r="AZ2097">
        <v>0</v>
      </c>
      <c r="BA2097">
        <v>0</v>
      </c>
      <c r="BB2097">
        <v>0</v>
      </c>
      <c r="BC2097">
        <v>0</v>
      </c>
      <c r="BD2097">
        <v>0</v>
      </c>
      <c r="BE2097">
        <v>0</v>
      </c>
      <c r="BF2097">
        <v>0</v>
      </c>
      <c r="BG2097">
        <v>0</v>
      </c>
      <c r="BH2097">
        <v>1</v>
      </c>
      <c r="BI2097">
        <v>1</v>
      </c>
      <c r="BJ2097">
        <v>0.2</v>
      </c>
      <c r="BK2097">
        <v>1</v>
      </c>
      <c r="BL2097">
        <v>55.99</v>
      </c>
      <c r="BM2097">
        <v>8.4</v>
      </c>
      <c r="BN2097">
        <v>64.39</v>
      </c>
      <c r="BO2097">
        <v>64.39</v>
      </c>
      <c r="BQ2097" t="s">
        <v>741</v>
      </c>
      <c r="BR2097" t="s">
        <v>84</v>
      </c>
      <c r="BS2097" s="3">
        <v>45884</v>
      </c>
      <c r="BT2097" s="4">
        <v>0.49375000000000002</v>
      </c>
      <c r="BU2097" t="s">
        <v>2590</v>
      </c>
      <c r="BV2097" t="s">
        <v>90</v>
      </c>
      <c r="BW2097" t="s">
        <v>380</v>
      </c>
      <c r="BX2097" t="s">
        <v>1132</v>
      </c>
      <c r="BY2097">
        <v>1200</v>
      </c>
      <c r="CA2097" t="s">
        <v>2446</v>
      </c>
      <c r="CC2097" t="s">
        <v>76</v>
      </c>
      <c r="CD2097">
        <v>1600</v>
      </c>
      <c r="CE2097" t="s">
        <v>109</v>
      </c>
      <c r="CF2097" s="3">
        <v>45887</v>
      </c>
      <c r="CI2097">
        <v>1</v>
      </c>
      <c r="CJ2097">
        <v>1</v>
      </c>
      <c r="CK2097">
        <v>22</v>
      </c>
      <c r="CL2097" t="s">
        <v>90</v>
      </c>
    </row>
    <row r="2098" spans="1:90" x14ac:dyDescent="0.3">
      <c r="A2098" t="s">
        <v>72</v>
      </c>
      <c r="B2098" t="s">
        <v>73</v>
      </c>
      <c r="C2098" t="s">
        <v>74</v>
      </c>
      <c r="E2098" t="str">
        <f>"080067244648"</f>
        <v>080067244648</v>
      </c>
      <c r="F2098" s="3">
        <v>45883</v>
      </c>
      <c r="G2098">
        <v>202605</v>
      </c>
      <c r="H2098" t="s">
        <v>75</v>
      </c>
      <c r="I2098" t="s">
        <v>76</v>
      </c>
      <c r="J2098" t="s">
        <v>77</v>
      </c>
      <c r="K2098" t="s">
        <v>78</v>
      </c>
      <c r="L2098" t="s">
        <v>278</v>
      </c>
      <c r="M2098" t="s">
        <v>279</v>
      </c>
      <c r="N2098" t="s">
        <v>285</v>
      </c>
      <c r="O2098" t="s">
        <v>82</v>
      </c>
      <c r="P2098" t="str">
        <f>"4170054984                    "</f>
        <v xml:space="preserve">4170054984                    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0</v>
      </c>
      <c r="AI2098">
        <v>0</v>
      </c>
      <c r="AJ2098">
        <v>0</v>
      </c>
      <c r="AK2098">
        <v>0</v>
      </c>
      <c r="AL2098">
        <v>0</v>
      </c>
      <c r="AM2098">
        <v>0</v>
      </c>
      <c r="AN2098">
        <v>0</v>
      </c>
      <c r="AO2098">
        <v>0</v>
      </c>
      <c r="AP2098">
        <v>0</v>
      </c>
      <c r="AQ2098">
        <v>40.380000000000003</v>
      </c>
      <c r="AR2098">
        <v>0</v>
      </c>
      <c r="AS2098">
        <v>0</v>
      </c>
      <c r="AT2098">
        <v>0</v>
      </c>
      <c r="AU2098">
        <v>0</v>
      </c>
      <c r="AV2098">
        <v>0</v>
      </c>
      <c r="AW2098">
        <v>0</v>
      </c>
      <c r="AX2098">
        <v>0</v>
      </c>
      <c r="AY2098">
        <v>0</v>
      </c>
      <c r="AZ2098">
        <v>0</v>
      </c>
      <c r="BA2098">
        <v>0</v>
      </c>
      <c r="BB2098">
        <v>0</v>
      </c>
      <c r="BC2098">
        <v>0</v>
      </c>
      <c r="BD2098">
        <v>0</v>
      </c>
      <c r="BE2098">
        <v>0</v>
      </c>
      <c r="BF2098">
        <v>0</v>
      </c>
      <c r="BG2098">
        <v>0</v>
      </c>
      <c r="BH2098">
        <v>1</v>
      </c>
      <c r="BI2098">
        <v>2</v>
      </c>
      <c r="BJ2098">
        <v>3.4</v>
      </c>
      <c r="BK2098">
        <v>3.5</v>
      </c>
      <c r="BL2098">
        <v>125.4</v>
      </c>
      <c r="BM2098">
        <v>18.809999999999999</v>
      </c>
      <c r="BN2098">
        <v>144.21</v>
      </c>
      <c r="BO2098">
        <v>144.21</v>
      </c>
      <c r="BQ2098" t="s">
        <v>286</v>
      </c>
      <c r="BR2098" t="s">
        <v>84</v>
      </c>
      <c r="BS2098" s="3">
        <v>45884</v>
      </c>
      <c r="BT2098" s="4">
        <v>0.36666666666666664</v>
      </c>
      <c r="BU2098" t="s">
        <v>287</v>
      </c>
      <c r="BV2098" t="s">
        <v>86</v>
      </c>
      <c r="BY2098">
        <v>16965</v>
      </c>
      <c r="CA2098" t="s">
        <v>288</v>
      </c>
      <c r="CC2098" t="s">
        <v>279</v>
      </c>
      <c r="CD2098" s="5" t="s">
        <v>289</v>
      </c>
      <c r="CE2098" t="s">
        <v>147</v>
      </c>
      <c r="CF2098" s="3">
        <v>45884</v>
      </c>
      <c r="CI2098">
        <v>1</v>
      </c>
      <c r="CJ2098">
        <v>1</v>
      </c>
      <c r="CK2098">
        <v>21</v>
      </c>
      <c r="CL2098" t="s">
        <v>90</v>
      </c>
    </row>
    <row r="2099" spans="1:90" x14ac:dyDescent="0.3">
      <c r="A2099" t="s">
        <v>72</v>
      </c>
      <c r="B2099" t="s">
        <v>73</v>
      </c>
      <c r="C2099" t="s">
        <v>74</v>
      </c>
      <c r="E2099" t="str">
        <f>"080067244663"</f>
        <v>080067244663</v>
      </c>
      <c r="F2099" s="3">
        <v>45883</v>
      </c>
      <c r="G2099">
        <v>202605</v>
      </c>
      <c r="H2099" t="s">
        <v>75</v>
      </c>
      <c r="I2099" t="s">
        <v>76</v>
      </c>
      <c r="J2099" t="s">
        <v>77</v>
      </c>
      <c r="K2099" t="s">
        <v>78</v>
      </c>
      <c r="L2099" t="s">
        <v>137</v>
      </c>
      <c r="M2099" t="s">
        <v>138</v>
      </c>
      <c r="N2099" t="s">
        <v>815</v>
      </c>
      <c r="O2099" t="s">
        <v>82</v>
      </c>
      <c r="P2099" t="str">
        <f>"4170054604                    "</f>
        <v xml:space="preserve">4170054604                    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0</v>
      </c>
      <c r="AI2099">
        <v>0</v>
      </c>
      <c r="AJ2099">
        <v>0</v>
      </c>
      <c r="AK2099">
        <v>0</v>
      </c>
      <c r="AL2099">
        <v>0</v>
      </c>
      <c r="AM2099">
        <v>0</v>
      </c>
      <c r="AN2099">
        <v>0</v>
      </c>
      <c r="AO2099">
        <v>0</v>
      </c>
      <c r="AP2099">
        <v>0</v>
      </c>
      <c r="AQ2099">
        <v>23.09</v>
      </c>
      <c r="AR2099">
        <v>0</v>
      </c>
      <c r="AS2099">
        <v>0</v>
      </c>
      <c r="AT2099">
        <v>0</v>
      </c>
      <c r="AU2099">
        <v>0</v>
      </c>
      <c r="AV2099">
        <v>0</v>
      </c>
      <c r="AW2099">
        <v>0</v>
      </c>
      <c r="AX2099">
        <v>0</v>
      </c>
      <c r="AY2099">
        <v>0</v>
      </c>
      <c r="AZ2099">
        <v>0</v>
      </c>
      <c r="BA2099">
        <v>0</v>
      </c>
      <c r="BB2099">
        <v>0</v>
      </c>
      <c r="BC2099">
        <v>0</v>
      </c>
      <c r="BD2099">
        <v>0</v>
      </c>
      <c r="BE2099">
        <v>0</v>
      </c>
      <c r="BF2099">
        <v>0</v>
      </c>
      <c r="BG2099">
        <v>0</v>
      </c>
      <c r="BH2099">
        <v>1</v>
      </c>
      <c r="BI2099">
        <v>1</v>
      </c>
      <c r="BJ2099">
        <v>0.2</v>
      </c>
      <c r="BK2099">
        <v>1</v>
      </c>
      <c r="BL2099">
        <v>71.69</v>
      </c>
      <c r="BM2099">
        <v>10.75</v>
      </c>
      <c r="BN2099">
        <v>82.44</v>
      </c>
      <c r="BO2099">
        <v>82.44</v>
      </c>
      <c r="BQ2099" t="s">
        <v>816</v>
      </c>
      <c r="BR2099" t="s">
        <v>84</v>
      </c>
      <c r="BS2099" s="3">
        <v>45884</v>
      </c>
      <c r="BT2099" s="4">
        <v>0.42222222222222222</v>
      </c>
      <c r="BU2099" t="s">
        <v>817</v>
      </c>
      <c r="BV2099" t="s">
        <v>86</v>
      </c>
      <c r="BY2099">
        <v>1200</v>
      </c>
      <c r="CA2099" t="s">
        <v>264</v>
      </c>
      <c r="CC2099" t="s">
        <v>138</v>
      </c>
      <c r="CD2099">
        <v>3610</v>
      </c>
      <c r="CE2099" t="s">
        <v>109</v>
      </c>
      <c r="CF2099" s="3">
        <v>45884</v>
      </c>
      <c r="CI2099">
        <v>1</v>
      </c>
      <c r="CJ2099">
        <v>1</v>
      </c>
      <c r="CK2099">
        <v>21</v>
      </c>
      <c r="CL2099" t="s">
        <v>90</v>
      </c>
    </row>
    <row r="2100" spans="1:90" x14ac:dyDescent="0.3">
      <c r="A2100" t="s">
        <v>72</v>
      </c>
      <c r="B2100" t="s">
        <v>73</v>
      </c>
      <c r="C2100" t="s">
        <v>74</v>
      </c>
      <c r="E2100" t="str">
        <f>"080067244678"</f>
        <v>080067244678</v>
      </c>
      <c r="F2100" s="3">
        <v>45883</v>
      </c>
      <c r="G2100">
        <v>202605</v>
      </c>
      <c r="H2100" t="s">
        <v>75</v>
      </c>
      <c r="I2100" t="s">
        <v>76</v>
      </c>
      <c r="J2100" t="s">
        <v>77</v>
      </c>
      <c r="K2100" t="s">
        <v>78</v>
      </c>
      <c r="L2100" t="s">
        <v>198</v>
      </c>
      <c r="M2100" t="s">
        <v>199</v>
      </c>
      <c r="N2100" t="s">
        <v>680</v>
      </c>
      <c r="O2100" t="s">
        <v>82</v>
      </c>
      <c r="P2100" t="str">
        <f>"4170054753                    "</f>
        <v xml:space="preserve">4170054753                    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0</v>
      </c>
      <c r="AI2100">
        <v>0</v>
      </c>
      <c r="AJ2100">
        <v>0</v>
      </c>
      <c r="AK2100">
        <v>0</v>
      </c>
      <c r="AL2100">
        <v>0</v>
      </c>
      <c r="AM2100">
        <v>0</v>
      </c>
      <c r="AN2100">
        <v>0</v>
      </c>
      <c r="AO2100">
        <v>0</v>
      </c>
      <c r="AP2100">
        <v>0</v>
      </c>
      <c r="AQ2100">
        <v>23.09</v>
      </c>
      <c r="AR2100">
        <v>0</v>
      </c>
      <c r="AS2100">
        <v>0</v>
      </c>
      <c r="AT2100">
        <v>0</v>
      </c>
      <c r="AU2100">
        <v>0</v>
      </c>
      <c r="AV2100">
        <v>0</v>
      </c>
      <c r="AW2100">
        <v>0</v>
      </c>
      <c r="AX2100">
        <v>0</v>
      </c>
      <c r="AY2100">
        <v>0</v>
      </c>
      <c r="AZ2100">
        <v>0</v>
      </c>
      <c r="BA2100">
        <v>0</v>
      </c>
      <c r="BB2100">
        <v>0</v>
      </c>
      <c r="BC2100">
        <v>0</v>
      </c>
      <c r="BD2100">
        <v>0</v>
      </c>
      <c r="BE2100">
        <v>0</v>
      </c>
      <c r="BF2100">
        <v>0</v>
      </c>
      <c r="BG2100">
        <v>0</v>
      </c>
      <c r="BH2100">
        <v>1</v>
      </c>
      <c r="BI2100">
        <v>1</v>
      </c>
      <c r="BJ2100">
        <v>0.2</v>
      </c>
      <c r="BK2100">
        <v>1</v>
      </c>
      <c r="BL2100">
        <v>71.69</v>
      </c>
      <c r="BM2100">
        <v>10.75</v>
      </c>
      <c r="BN2100">
        <v>82.44</v>
      </c>
      <c r="BO2100">
        <v>82.44</v>
      </c>
      <c r="BQ2100" t="s">
        <v>681</v>
      </c>
      <c r="BR2100" t="s">
        <v>84</v>
      </c>
      <c r="BS2100" s="3">
        <v>45884</v>
      </c>
      <c r="BT2100" s="4">
        <v>0.41111111111111109</v>
      </c>
      <c r="BU2100" t="s">
        <v>2644</v>
      </c>
      <c r="BV2100" t="s">
        <v>86</v>
      </c>
      <c r="BY2100">
        <v>1200</v>
      </c>
      <c r="CA2100" t="s">
        <v>413</v>
      </c>
      <c r="CC2100" t="s">
        <v>199</v>
      </c>
      <c r="CD2100">
        <v>6001</v>
      </c>
      <c r="CE2100" t="s">
        <v>109</v>
      </c>
      <c r="CF2100" s="3">
        <v>45884</v>
      </c>
      <c r="CI2100">
        <v>1</v>
      </c>
      <c r="CJ2100">
        <v>1</v>
      </c>
      <c r="CK2100">
        <v>21</v>
      </c>
      <c r="CL2100" t="s">
        <v>90</v>
      </c>
    </row>
    <row r="2101" spans="1:90" x14ac:dyDescent="0.3">
      <c r="A2101" t="s">
        <v>72</v>
      </c>
      <c r="B2101" t="s">
        <v>73</v>
      </c>
      <c r="C2101" t="s">
        <v>74</v>
      </c>
      <c r="E2101" t="str">
        <f>"080067244687"</f>
        <v>080067244687</v>
      </c>
      <c r="F2101" s="3">
        <v>45883</v>
      </c>
      <c r="G2101">
        <v>202605</v>
      </c>
      <c r="H2101" t="s">
        <v>75</v>
      </c>
      <c r="I2101" t="s">
        <v>76</v>
      </c>
      <c r="J2101" t="s">
        <v>77</v>
      </c>
      <c r="K2101" t="s">
        <v>78</v>
      </c>
      <c r="L2101" t="s">
        <v>123</v>
      </c>
      <c r="M2101" t="s">
        <v>124</v>
      </c>
      <c r="N2101" t="s">
        <v>2669</v>
      </c>
      <c r="O2101" t="s">
        <v>82</v>
      </c>
      <c r="P2101" t="str">
        <f>"4170055067                    "</f>
        <v xml:space="preserve">4170055067                    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0</v>
      </c>
      <c r="AI2101">
        <v>0</v>
      </c>
      <c r="AJ2101"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Q2101">
        <v>23.09</v>
      </c>
      <c r="AR2101">
        <v>0</v>
      </c>
      <c r="AS2101">
        <v>0</v>
      </c>
      <c r="AT2101">
        <v>0</v>
      </c>
      <c r="AU2101">
        <v>0</v>
      </c>
      <c r="AV2101">
        <v>0</v>
      </c>
      <c r="AW2101">
        <v>0</v>
      </c>
      <c r="AX2101">
        <v>0</v>
      </c>
      <c r="AY2101">
        <v>0</v>
      </c>
      <c r="AZ2101">
        <v>0</v>
      </c>
      <c r="BA2101">
        <v>0</v>
      </c>
      <c r="BB2101">
        <v>0</v>
      </c>
      <c r="BC2101">
        <v>0</v>
      </c>
      <c r="BD2101">
        <v>0</v>
      </c>
      <c r="BE2101">
        <v>0</v>
      </c>
      <c r="BF2101">
        <v>0</v>
      </c>
      <c r="BG2101">
        <v>0</v>
      </c>
      <c r="BH2101">
        <v>1</v>
      </c>
      <c r="BI2101">
        <v>1</v>
      </c>
      <c r="BJ2101">
        <v>1.7</v>
      </c>
      <c r="BK2101">
        <v>2</v>
      </c>
      <c r="BL2101">
        <v>71.69</v>
      </c>
      <c r="BM2101">
        <v>10.75</v>
      </c>
      <c r="BN2101">
        <v>82.44</v>
      </c>
      <c r="BO2101">
        <v>82.44</v>
      </c>
      <c r="BQ2101" t="s">
        <v>2670</v>
      </c>
      <c r="BR2101" t="s">
        <v>84</v>
      </c>
      <c r="BS2101" s="3">
        <v>45884</v>
      </c>
      <c r="BT2101" s="4">
        <v>0.39097222222222222</v>
      </c>
      <c r="BU2101" t="s">
        <v>2671</v>
      </c>
      <c r="BV2101" t="s">
        <v>86</v>
      </c>
      <c r="BY2101">
        <v>8512</v>
      </c>
      <c r="CA2101" t="s">
        <v>2672</v>
      </c>
      <c r="CC2101" t="s">
        <v>124</v>
      </c>
      <c r="CD2101">
        <v>7499</v>
      </c>
      <c r="CE2101" t="s">
        <v>147</v>
      </c>
      <c r="CF2101" s="3">
        <v>45887</v>
      </c>
      <c r="CI2101">
        <v>1</v>
      </c>
      <c r="CJ2101">
        <v>1</v>
      </c>
      <c r="CK2101">
        <v>21</v>
      </c>
      <c r="CL2101" t="s">
        <v>90</v>
      </c>
    </row>
    <row r="2102" spans="1:90" x14ac:dyDescent="0.3">
      <c r="A2102" t="s">
        <v>72</v>
      </c>
      <c r="B2102" t="s">
        <v>73</v>
      </c>
      <c r="C2102" t="s">
        <v>74</v>
      </c>
      <c r="E2102" t="str">
        <f>"080067244724"</f>
        <v>080067244724</v>
      </c>
      <c r="F2102" s="3">
        <v>45883</v>
      </c>
      <c r="G2102">
        <v>202605</v>
      </c>
      <c r="H2102" t="s">
        <v>75</v>
      </c>
      <c r="I2102" t="s">
        <v>76</v>
      </c>
      <c r="J2102" t="s">
        <v>77</v>
      </c>
      <c r="K2102" t="s">
        <v>78</v>
      </c>
      <c r="L2102" t="s">
        <v>75</v>
      </c>
      <c r="M2102" t="s">
        <v>76</v>
      </c>
      <c r="N2102" t="s">
        <v>1637</v>
      </c>
      <c r="O2102" t="s">
        <v>82</v>
      </c>
      <c r="P2102" t="str">
        <f>"4170054747                    "</f>
        <v xml:space="preserve">4170054747                    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0</v>
      </c>
      <c r="AI2102">
        <v>0</v>
      </c>
      <c r="AJ2102">
        <v>0</v>
      </c>
      <c r="AK2102">
        <v>0</v>
      </c>
      <c r="AL2102">
        <v>0</v>
      </c>
      <c r="AM2102">
        <v>0</v>
      </c>
      <c r="AN2102">
        <v>0</v>
      </c>
      <c r="AO2102">
        <v>0</v>
      </c>
      <c r="AP2102">
        <v>0</v>
      </c>
      <c r="AQ2102">
        <v>18.03</v>
      </c>
      <c r="AR2102">
        <v>0</v>
      </c>
      <c r="AS2102">
        <v>0</v>
      </c>
      <c r="AT2102">
        <v>0</v>
      </c>
      <c r="AU2102">
        <v>0</v>
      </c>
      <c r="AV2102">
        <v>0</v>
      </c>
      <c r="AW2102">
        <v>0</v>
      </c>
      <c r="AX2102">
        <v>0</v>
      </c>
      <c r="AY2102">
        <v>0</v>
      </c>
      <c r="AZ2102">
        <v>0</v>
      </c>
      <c r="BA2102">
        <v>0</v>
      </c>
      <c r="BB2102">
        <v>0</v>
      </c>
      <c r="BC2102">
        <v>0</v>
      </c>
      <c r="BD2102">
        <v>0</v>
      </c>
      <c r="BE2102">
        <v>0</v>
      </c>
      <c r="BF2102">
        <v>0</v>
      </c>
      <c r="BG2102">
        <v>0</v>
      </c>
      <c r="BH2102">
        <v>1</v>
      </c>
      <c r="BI2102">
        <v>1</v>
      </c>
      <c r="BJ2102">
        <v>0.2</v>
      </c>
      <c r="BK2102">
        <v>1</v>
      </c>
      <c r="BL2102">
        <v>55.99</v>
      </c>
      <c r="BM2102">
        <v>8.4</v>
      </c>
      <c r="BN2102">
        <v>64.39</v>
      </c>
      <c r="BO2102">
        <v>64.39</v>
      </c>
      <c r="BQ2102" t="s">
        <v>1638</v>
      </c>
      <c r="BR2102" t="s">
        <v>84</v>
      </c>
      <c r="BS2102" s="3">
        <v>45884</v>
      </c>
      <c r="BT2102" s="4">
        <v>0.40416666666666667</v>
      </c>
      <c r="BU2102" t="s">
        <v>2673</v>
      </c>
      <c r="BV2102" t="s">
        <v>86</v>
      </c>
      <c r="BY2102">
        <v>1200</v>
      </c>
      <c r="CA2102" t="s">
        <v>1026</v>
      </c>
      <c r="CC2102" t="s">
        <v>76</v>
      </c>
      <c r="CD2102">
        <v>1614</v>
      </c>
      <c r="CE2102" t="s">
        <v>109</v>
      </c>
      <c r="CF2102" s="3">
        <v>45884</v>
      </c>
      <c r="CI2102">
        <v>1</v>
      </c>
      <c r="CJ2102">
        <v>1</v>
      </c>
      <c r="CK2102">
        <v>22</v>
      </c>
      <c r="CL2102" t="s">
        <v>90</v>
      </c>
    </row>
    <row r="2103" spans="1:90" x14ac:dyDescent="0.3">
      <c r="A2103" t="s">
        <v>72</v>
      </c>
      <c r="B2103" t="s">
        <v>73</v>
      </c>
      <c r="C2103" t="s">
        <v>74</v>
      </c>
      <c r="E2103" t="str">
        <f>"080067244729"</f>
        <v>080067244729</v>
      </c>
      <c r="F2103" s="3">
        <v>45883</v>
      </c>
      <c r="G2103">
        <v>202605</v>
      </c>
      <c r="H2103" t="s">
        <v>75</v>
      </c>
      <c r="I2103" t="s">
        <v>76</v>
      </c>
      <c r="J2103" t="s">
        <v>77</v>
      </c>
      <c r="K2103" t="s">
        <v>78</v>
      </c>
      <c r="L2103" t="s">
        <v>555</v>
      </c>
      <c r="M2103" t="s">
        <v>556</v>
      </c>
      <c r="N2103" t="s">
        <v>557</v>
      </c>
      <c r="O2103" t="s">
        <v>82</v>
      </c>
      <c r="P2103" t="str">
        <f>"4170054882                    "</f>
        <v xml:space="preserve">4170054882                    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0</v>
      </c>
      <c r="AI2103">
        <v>0</v>
      </c>
      <c r="AJ2103">
        <v>0</v>
      </c>
      <c r="AK2103">
        <v>0</v>
      </c>
      <c r="AL2103">
        <v>0</v>
      </c>
      <c r="AM2103">
        <v>0</v>
      </c>
      <c r="AN2103">
        <v>0</v>
      </c>
      <c r="AO2103">
        <v>0</v>
      </c>
      <c r="AP2103">
        <v>0</v>
      </c>
      <c r="AQ2103">
        <v>105.32</v>
      </c>
      <c r="AR2103">
        <v>0</v>
      </c>
      <c r="AS2103">
        <v>0</v>
      </c>
      <c r="AT2103">
        <v>0</v>
      </c>
      <c r="AU2103">
        <v>0</v>
      </c>
      <c r="AV2103">
        <v>0</v>
      </c>
      <c r="AW2103">
        <v>0</v>
      </c>
      <c r="AX2103">
        <v>0</v>
      </c>
      <c r="AY2103">
        <v>0</v>
      </c>
      <c r="AZ2103">
        <v>0</v>
      </c>
      <c r="BA2103">
        <v>0</v>
      </c>
      <c r="BB2103">
        <v>0</v>
      </c>
      <c r="BC2103">
        <v>0</v>
      </c>
      <c r="BD2103">
        <v>0</v>
      </c>
      <c r="BE2103">
        <v>0</v>
      </c>
      <c r="BF2103">
        <v>0</v>
      </c>
      <c r="BG2103">
        <v>0</v>
      </c>
      <c r="BH2103">
        <v>1</v>
      </c>
      <c r="BI2103">
        <v>3</v>
      </c>
      <c r="BJ2103">
        <v>4.5999999999999996</v>
      </c>
      <c r="BK2103">
        <v>5</v>
      </c>
      <c r="BL2103">
        <v>327.04000000000002</v>
      </c>
      <c r="BM2103">
        <v>49.06</v>
      </c>
      <c r="BN2103">
        <v>376.1</v>
      </c>
      <c r="BO2103">
        <v>376.1</v>
      </c>
      <c r="BQ2103" t="s">
        <v>558</v>
      </c>
      <c r="BR2103" t="s">
        <v>84</v>
      </c>
      <c r="BS2103" s="3">
        <v>45884</v>
      </c>
      <c r="BT2103" s="4">
        <v>0.54722222222222228</v>
      </c>
      <c r="BU2103" t="s">
        <v>1596</v>
      </c>
      <c r="BV2103" t="s">
        <v>86</v>
      </c>
      <c r="BY2103">
        <v>23104</v>
      </c>
      <c r="CA2103" t="s">
        <v>396</v>
      </c>
      <c r="CC2103" t="s">
        <v>556</v>
      </c>
      <c r="CD2103">
        <v>6850</v>
      </c>
      <c r="CE2103" t="s">
        <v>117</v>
      </c>
      <c r="CF2103" s="3">
        <v>45887</v>
      </c>
      <c r="CI2103">
        <v>2</v>
      </c>
      <c r="CJ2103">
        <v>1</v>
      </c>
      <c r="CK2103">
        <v>23</v>
      </c>
      <c r="CL2103" t="s">
        <v>90</v>
      </c>
    </row>
    <row r="2104" spans="1:90" x14ac:dyDescent="0.3">
      <c r="A2104" t="s">
        <v>72</v>
      </c>
      <c r="B2104" t="s">
        <v>73</v>
      </c>
      <c r="C2104" t="s">
        <v>74</v>
      </c>
      <c r="E2104" t="str">
        <f>"080067244766"</f>
        <v>080067244766</v>
      </c>
      <c r="F2104" s="3">
        <v>45883</v>
      </c>
      <c r="G2104">
        <v>202605</v>
      </c>
      <c r="H2104" t="s">
        <v>75</v>
      </c>
      <c r="I2104" t="s">
        <v>76</v>
      </c>
      <c r="J2104" t="s">
        <v>77</v>
      </c>
      <c r="K2104" t="s">
        <v>78</v>
      </c>
      <c r="L2104" t="s">
        <v>241</v>
      </c>
      <c r="M2104" t="s">
        <v>242</v>
      </c>
      <c r="N2104" t="s">
        <v>978</v>
      </c>
      <c r="O2104" t="s">
        <v>82</v>
      </c>
      <c r="P2104" t="str">
        <f>"4170055022                    "</f>
        <v xml:space="preserve">4170055022                    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0</v>
      </c>
      <c r="AI2104">
        <v>0</v>
      </c>
      <c r="AJ2104">
        <v>0</v>
      </c>
      <c r="AK2104">
        <v>0</v>
      </c>
      <c r="AL2104">
        <v>0</v>
      </c>
      <c r="AM2104">
        <v>0</v>
      </c>
      <c r="AN2104">
        <v>0</v>
      </c>
      <c r="AO2104">
        <v>0</v>
      </c>
      <c r="AP2104">
        <v>0</v>
      </c>
      <c r="AQ2104">
        <v>18.03</v>
      </c>
      <c r="AR2104">
        <v>0</v>
      </c>
      <c r="AS2104">
        <v>0</v>
      </c>
      <c r="AT2104">
        <v>0</v>
      </c>
      <c r="AU2104">
        <v>0</v>
      </c>
      <c r="AV2104">
        <v>0</v>
      </c>
      <c r="AW2104">
        <v>0</v>
      </c>
      <c r="AX2104">
        <v>0</v>
      </c>
      <c r="AY2104">
        <v>0</v>
      </c>
      <c r="AZ2104">
        <v>0</v>
      </c>
      <c r="BA2104">
        <v>0</v>
      </c>
      <c r="BB2104">
        <v>0</v>
      </c>
      <c r="BC2104">
        <v>0</v>
      </c>
      <c r="BD2104">
        <v>0</v>
      </c>
      <c r="BE2104">
        <v>0</v>
      </c>
      <c r="BF2104">
        <v>0</v>
      </c>
      <c r="BG2104">
        <v>0</v>
      </c>
      <c r="BH2104">
        <v>1</v>
      </c>
      <c r="BI2104">
        <v>1</v>
      </c>
      <c r="BJ2104">
        <v>0.2</v>
      </c>
      <c r="BK2104">
        <v>1</v>
      </c>
      <c r="BL2104">
        <v>55.99</v>
      </c>
      <c r="BM2104">
        <v>8.4</v>
      </c>
      <c r="BN2104">
        <v>64.39</v>
      </c>
      <c r="BO2104">
        <v>64.39</v>
      </c>
      <c r="BQ2104" t="s">
        <v>1774</v>
      </c>
      <c r="BR2104" t="s">
        <v>84</v>
      </c>
      <c r="BS2104" s="3">
        <v>45884</v>
      </c>
      <c r="BT2104" s="4">
        <v>0.33611111111111114</v>
      </c>
      <c r="BU2104" t="s">
        <v>900</v>
      </c>
      <c r="BV2104" t="s">
        <v>86</v>
      </c>
      <c r="BY2104">
        <v>1200</v>
      </c>
      <c r="CA2104" t="s">
        <v>720</v>
      </c>
      <c r="CC2104" t="s">
        <v>242</v>
      </c>
      <c r="CD2104">
        <v>1459</v>
      </c>
      <c r="CE2104" t="s">
        <v>109</v>
      </c>
      <c r="CF2104" s="3">
        <v>45884</v>
      </c>
      <c r="CI2104">
        <v>1</v>
      </c>
      <c r="CJ2104">
        <v>1</v>
      </c>
      <c r="CK2104">
        <v>22</v>
      </c>
      <c r="CL2104" t="s">
        <v>90</v>
      </c>
    </row>
    <row r="2105" spans="1:90" x14ac:dyDescent="0.3">
      <c r="A2105" t="s">
        <v>72</v>
      </c>
      <c r="B2105" t="s">
        <v>73</v>
      </c>
      <c r="C2105" t="s">
        <v>74</v>
      </c>
      <c r="E2105" t="str">
        <f>"080067244778"</f>
        <v>080067244778</v>
      </c>
      <c r="F2105" s="3">
        <v>45883</v>
      </c>
      <c r="G2105">
        <v>202605</v>
      </c>
      <c r="H2105" t="s">
        <v>75</v>
      </c>
      <c r="I2105" t="s">
        <v>76</v>
      </c>
      <c r="J2105" t="s">
        <v>77</v>
      </c>
      <c r="K2105" t="s">
        <v>78</v>
      </c>
      <c r="L2105" t="s">
        <v>223</v>
      </c>
      <c r="M2105" t="s">
        <v>224</v>
      </c>
      <c r="N2105" t="s">
        <v>2345</v>
      </c>
      <c r="O2105" t="s">
        <v>82</v>
      </c>
      <c r="P2105" t="str">
        <f>"4170054842                    "</f>
        <v xml:space="preserve">4170054842                    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0</v>
      </c>
      <c r="AI2105">
        <v>0</v>
      </c>
      <c r="AJ2105">
        <v>0</v>
      </c>
      <c r="AK2105">
        <v>0</v>
      </c>
      <c r="AL2105">
        <v>0</v>
      </c>
      <c r="AM2105">
        <v>0</v>
      </c>
      <c r="AN2105">
        <v>0</v>
      </c>
      <c r="AO2105">
        <v>0</v>
      </c>
      <c r="AP2105">
        <v>0</v>
      </c>
      <c r="AQ2105">
        <v>23.09</v>
      </c>
      <c r="AR2105">
        <v>0</v>
      </c>
      <c r="AS2105">
        <v>0</v>
      </c>
      <c r="AT2105">
        <v>0</v>
      </c>
      <c r="AU2105">
        <v>0</v>
      </c>
      <c r="AV2105">
        <v>0</v>
      </c>
      <c r="AW2105">
        <v>0</v>
      </c>
      <c r="AX2105">
        <v>0</v>
      </c>
      <c r="AY2105">
        <v>0</v>
      </c>
      <c r="AZ2105">
        <v>0</v>
      </c>
      <c r="BA2105">
        <v>0</v>
      </c>
      <c r="BB2105">
        <v>0</v>
      </c>
      <c r="BC2105">
        <v>0</v>
      </c>
      <c r="BD2105">
        <v>0</v>
      </c>
      <c r="BE2105">
        <v>0</v>
      </c>
      <c r="BF2105">
        <v>0</v>
      </c>
      <c r="BG2105">
        <v>0</v>
      </c>
      <c r="BH2105">
        <v>1</v>
      </c>
      <c r="BI2105">
        <v>2</v>
      </c>
      <c r="BJ2105">
        <v>1.9</v>
      </c>
      <c r="BK2105">
        <v>2</v>
      </c>
      <c r="BL2105">
        <v>71.69</v>
      </c>
      <c r="BM2105">
        <v>10.75</v>
      </c>
      <c r="BN2105">
        <v>82.44</v>
      </c>
      <c r="BO2105">
        <v>82.44</v>
      </c>
      <c r="BQ2105" t="s">
        <v>2346</v>
      </c>
      <c r="BR2105" t="s">
        <v>84</v>
      </c>
      <c r="BS2105" s="3">
        <v>45884</v>
      </c>
      <c r="BT2105" s="4">
        <v>0.53541666666666665</v>
      </c>
      <c r="BU2105" t="s">
        <v>2674</v>
      </c>
      <c r="BV2105" t="s">
        <v>90</v>
      </c>
      <c r="BY2105">
        <v>9600</v>
      </c>
      <c r="CA2105" t="s">
        <v>268</v>
      </c>
      <c r="CC2105" t="s">
        <v>224</v>
      </c>
      <c r="CD2105">
        <v>5200</v>
      </c>
      <c r="CE2105" t="s">
        <v>147</v>
      </c>
      <c r="CF2105" s="3">
        <v>45884</v>
      </c>
      <c r="CI2105">
        <v>1</v>
      </c>
      <c r="CJ2105">
        <v>1</v>
      </c>
      <c r="CK2105">
        <v>21</v>
      </c>
      <c r="CL2105" t="s">
        <v>90</v>
      </c>
    </row>
    <row r="2106" spans="1:90" x14ac:dyDescent="0.3">
      <c r="A2106" t="s">
        <v>72</v>
      </c>
      <c r="B2106" t="s">
        <v>73</v>
      </c>
      <c r="C2106" t="s">
        <v>74</v>
      </c>
      <c r="E2106" t="str">
        <f>"080067244813"</f>
        <v>080067244813</v>
      </c>
      <c r="F2106" s="3">
        <v>45883</v>
      </c>
      <c r="G2106">
        <v>202605</v>
      </c>
      <c r="H2106" t="s">
        <v>75</v>
      </c>
      <c r="I2106" t="s">
        <v>76</v>
      </c>
      <c r="J2106" t="s">
        <v>77</v>
      </c>
      <c r="K2106" t="s">
        <v>78</v>
      </c>
      <c r="L2106" t="s">
        <v>118</v>
      </c>
      <c r="M2106" t="s">
        <v>118</v>
      </c>
      <c r="N2106" t="s">
        <v>213</v>
      </c>
      <c r="O2106" t="s">
        <v>82</v>
      </c>
      <c r="P2106" t="str">
        <f>"4170054895                    "</f>
        <v xml:space="preserve">4170054895                    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0</v>
      </c>
      <c r="AI2106">
        <v>0</v>
      </c>
      <c r="AJ2106">
        <v>0</v>
      </c>
      <c r="AK2106">
        <v>0</v>
      </c>
      <c r="AL2106">
        <v>0</v>
      </c>
      <c r="AM2106">
        <v>0</v>
      </c>
      <c r="AN2106">
        <v>0</v>
      </c>
      <c r="AO2106">
        <v>0</v>
      </c>
      <c r="AP2106">
        <v>0</v>
      </c>
      <c r="AQ2106">
        <v>44.73</v>
      </c>
      <c r="AR2106">
        <v>0</v>
      </c>
      <c r="AS2106">
        <v>0</v>
      </c>
      <c r="AT2106">
        <v>0</v>
      </c>
      <c r="AU2106">
        <v>0</v>
      </c>
      <c r="AV2106">
        <v>0</v>
      </c>
      <c r="AW2106">
        <v>0</v>
      </c>
      <c r="AX2106">
        <v>0</v>
      </c>
      <c r="AY2106">
        <v>0</v>
      </c>
      <c r="AZ2106">
        <v>0</v>
      </c>
      <c r="BA2106">
        <v>0</v>
      </c>
      <c r="BB2106">
        <v>0</v>
      </c>
      <c r="BC2106">
        <v>0</v>
      </c>
      <c r="BD2106">
        <v>0</v>
      </c>
      <c r="BE2106">
        <v>0</v>
      </c>
      <c r="BF2106">
        <v>0</v>
      </c>
      <c r="BG2106">
        <v>0</v>
      </c>
      <c r="BH2106">
        <v>1</v>
      </c>
      <c r="BI2106">
        <v>1</v>
      </c>
      <c r="BJ2106">
        <v>0.2</v>
      </c>
      <c r="BK2106">
        <v>1</v>
      </c>
      <c r="BL2106">
        <v>138.88999999999999</v>
      </c>
      <c r="BM2106">
        <v>20.83</v>
      </c>
      <c r="BN2106">
        <v>159.72</v>
      </c>
      <c r="BO2106">
        <v>159.72</v>
      </c>
      <c r="BQ2106" t="s">
        <v>214</v>
      </c>
      <c r="BR2106" t="s">
        <v>84</v>
      </c>
      <c r="BS2106" s="3">
        <v>45884</v>
      </c>
      <c r="BT2106" s="4">
        <v>0.54097222222222219</v>
      </c>
      <c r="BU2106" t="s">
        <v>2162</v>
      </c>
      <c r="BV2106" t="s">
        <v>86</v>
      </c>
      <c r="BY2106">
        <v>1200</v>
      </c>
      <c r="CA2106" t="s">
        <v>122</v>
      </c>
      <c r="CC2106" t="s">
        <v>118</v>
      </c>
      <c r="CD2106">
        <v>7654</v>
      </c>
      <c r="CE2106" t="s">
        <v>109</v>
      </c>
      <c r="CF2106" s="3">
        <v>45887</v>
      </c>
      <c r="CI2106">
        <v>1</v>
      </c>
      <c r="CJ2106">
        <v>1</v>
      </c>
      <c r="CK2106">
        <v>23</v>
      </c>
      <c r="CL2106" t="s">
        <v>90</v>
      </c>
    </row>
    <row r="2107" spans="1:90" x14ac:dyDescent="0.3">
      <c r="A2107" t="s">
        <v>72</v>
      </c>
      <c r="B2107" t="s">
        <v>73</v>
      </c>
      <c r="C2107" t="s">
        <v>74</v>
      </c>
      <c r="E2107" t="str">
        <f>"080067244819"</f>
        <v>080067244819</v>
      </c>
      <c r="F2107" s="3">
        <v>45883</v>
      </c>
      <c r="G2107">
        <v>202605</v>
      </c>
      <c r="H2107" t="s">
        <v>75</v>
      </c>
      <c r="I2107" t="s">
        <v>76</v>
      </c>
      <c r="J2107" t="s">
        <v>77</v>
      </c>
      <c r="K2107" t="s">
        <v>78</v>
      </c>
      <c r="L2107" t="s">
        <v>75</v>
      </c>
      <c r="M2107" t="s">
        <v>76</v>
      </c>
      <c r="N2107" t="s">
        <v>1126</v>
      </c>
      <c r="O2107" t="s">
        <v>82</v>
      </c>
      <c r="P2107" t="str">
        <f>"4170054919                    "</f>
        <v xml:space="preserve">4170054919                    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0</v>
      </c>
      <c r="AI2107">
        <v>0</v>
      </c>
      <c r="AJ2107"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>
        <v>18.03</v>
      </c>
      <c r="AR2107">
        <v>0</v>
      </c>
      <c r="AS2107">
        <v>0</v>
      </c>
      <c r="AT2107">
        <v>0</v>
      </c>
      <c r="AU2107">
        <v>0</v>
      </c>
      <c r="AV2107">
        <v>0</v>
      </c>
      <c r="AW2107">
        <v>0</v>
      </c>
      <c r="AX2107">
        <v>0</v>
      </c>
      <c r="AY2107">
        <v>0</v>
      </c>
      <c r="AZ2107">
        <v>0</v>
      </c>
      <c r="BA2107">
        <v>0</v>
      </c>
      <c r="BB2107">
        <v>0</v>
      </c>
      <c r="BC2107">
        <v>0</v>
      </c>
      <c r="BD2107">
        <v>0</v>
      </c>
      <c r="BE2107">
        <v>0</v>
      </c>
      <c r="BF2107">
        <v>0</v>
      </c>
      <c r="BG2107">
        <v>0</v>
      </c>
      <c r="BH2107">
        <v>1</v>
      </c>
      <c r="BI2107">
        <v>2</v>
      </c>
      <c r="BJ2107">
        <v>1.9</v>
      </c>
      <c r="BK2107">
        <v>2</v>
      </c>
      <c r="BL2107">
        <v>55.99</v>
      </c>
      <c r="BM2107">
        <v>8.4</v>
      </c>
      <c r="BN2107">
        <v>64.39</v>
      </c>
      <c r="BO2107">
        <v>64.39</v>
      </c>
      <c r="BQ2107" t="s">
        <v>1127</v>
      </c>
      <c r="BR2107" t="s">
        <v>84</v>
      </c>
      <c r="BS2107" s="3">
        <v>45884</v>
      </c>
      <c r="BT2107" s="4">
        <v>0.43888888888888888</v>
      </c>
      <c r="BU2107" t="s">
        <v>2675</v>
      </c>
      <c r="BV2107" t="s">
        <v>90</v>
      </c>
      <c r="BW2107" t="s">
        <v>380</v>
      </c>
      <c r="BX2107" t="s">
        <v>1132</v>
      </c>
      <c r="BY2107">
        <v>9600</v>
      </c>
      <c r="CA2107" t="s">
        <v>2446</v>
      </c>
      <c r="CC2107" t="s">
        <v>76</v>
      </c>
      <c r="CD2107">
        <v>1619</v>
      </c>
      <c r="CE2107" t="s">
        <v>147</v>
      </c>
      <c r="CF2107" s="3">
        <v>45885</v>
      </c>
      <c r="CI2107">
        <v>1</v>
      </c>
      <c r="CJ2107">
        <v>1</v>
      </c>
      <c r="CK2107">
        <v>22</v>
      </c>
      <c r="CL2107" t="s">
        <v>90</v>
      </c>
    </row>
    <row r="2108" spans="1:90" x14ac:dyDescent="0.3">
      <c r="A2108" t="s">
        <v>72</v>
      </c>
      <c r="B2108" t="s">
        <v>73</v>
      </c>
      <c r="C2108" t="s">
        <v>74</v>
      </c>
      <c r="E2108" t="str">
        <f>"080067244874"</f>
        <v>080067244874</v>
      </c>
      <c r="F2108" s="3">
        <v>45883</v>
      </c>
      <c r="G2108">
        <v>202605</v>
      </c>
      <c r="H2108" t="s">
        <v>75</v>
      </c>
      <c r="I2108" t="s">
        <v>76</v>
      </c>
      <c r="J2108" t="s">
        <v>77</v>
      </c>
      <c r="K2108" t="s">
        <v>78</v>
      </c>
      <c r="L2108" t="s">
        <v>198</v>
      </c>
      <c r="M2108" t="s">
        <v>199</v>
      </c>
      <c r="N2108" t="s">
        <v>410</v>
      </c>
      <c r="O2108" t="s">
        <v>82</v>
      </c>
      <c r="P2108" t="str">
        <f>"4170054786                    "</f>
        <v xml:space="preserve">4170054786                    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0</v>
      </c>
      <c r="AI2108">
        <v>0</v>
      </c>
      <c r="AJ2108">
        <v>0</v>
      </c>
      <c r="AK2108">
        <v>0</v>
      </c>
      <c r="AL2108">
        <v>0</v>
      </c>
      <c r="AM2108">
        <v>0</v>
      </c>
      <c r="AN2108">
        <v>0</v>
      </c>
      <c r="AO2108">
        <v>0</v>
      </c>
      <c r="AP2108">
        <v>0</v>
      </c>
      <c r="AQ2108">
        <v>28.85</v>
      </c>
      <c r="AR2108">
        <v>0</v>
      </c>
      <c r="AS2108">
        <v>0</v>
      </c>
      <c r="AT2108">
        <v>0</v>
      </c>
      <c r="AU2108">
        <v>0</v>
      </c>
      <c r="AV2108">
        <v>0</v>
      </c>
      <c r="AW2108">
        <v>0</v>
      </c>
      <c r="AX2108">
        <v>0</v>
      </c>
      <c r="AY2108">
        <v>0</v>
      </c>
      <c r="AZ2108">
        <v>0</v>
      </c>
      <c r="BA2108">
        <v>0</v>
      </c>
      <c r="BB2108">
        <v>0</v>
      </c>
      <c r="BC2108">
        <v>0</v>
      </c>
      <c r="BD2108">
        <v>0</v>
      </c>
      <c r="BE2108">
        <v>0</v>
      </c>
      <c r="BF2108">
        <v>0</v>
      </c>
      <c r="BG2108">
        <v>0</v>
      </c>
      <c r="BH2108">
        <v>1</v>
      </c>
      <c r="BI2108">
        <v>2</v>
      </c>
      <c r="BJ2108">
        <v>2.2000000000000002</v>
      </c>
      <c r="BK2108">
        <v>2.5</v>
      </c>
      <c r="BL2108">
        <v>89.59</v>
      </c>
      <c r="BM2108">
        <v>13.44</v>
      </c>
      <c r="BN2108">
        <v>103.03</v>
      </c>
      <c r="BO2108">
        <v>103.03</v>
      </c>
      <c r="BQ2108" t="s">
        <v>411</v>
      </c>
      <c r="BR2108" t="s">
        <v>84</v>
      </c>
      <c r="BS2108" s="3">
        <v>45884</v>
      </c>
      <c r="BT2108" s="4">
        <v>0.43680555555555556</v>
      </c>
      <c r="BU2108" t="s">
        <v>1411</v>
      </c>
      <c r="BV2108" t="s">
        <v>86</v>
      </c>
      <c r="BY2108">
        <v>10976</v>
      </c>
      <c r="CA2108" t="s">
        <v>413</v>
      </c>
      <c r="CC2108" t="s">
        <v>199</v>
      </c>
      <c r="CD2108">
        <v>6001</v>
      </c>
      <c r="CE2108" t="s">
        <v>117</v>
      </c>
      <c r="CF2108" s="3">
        <v>45884</v>
      </c>
      <c r="CI2108">
        <v>1</v>
      </c>
      <c r="CJ2108">
        <v>1</v>
      </c>
      <c r="CK2108">
        <v>21</v>
      </c>
      <c r="CL2108" t="s">
        <v>90</v>
      </c>
    </row>
    <row r="2109" spans="1:90" x14ac:dyDescent="0.3">
      <c r="A2109" t="s">
        <v>72</v>
      </c>
      <c r="B2109" t="s">
        <v>73</v>
      </c>
      <c r="C2109" t="s">
        <v>74</v>
      </c>
      <c r="E2109" t="str">
        <f>"080067244871"</f>
        <v>080067244871</v>
      </c>
      <c r="F2109" s="3">
        <v>45883</v>
      </c>
      <c r="G2109">
        <v>202605</v>
      </c>
      <c r="H2109" t="s">
        <v>75</v>
      </c>
      <c r="I2109" t="s">
        <v>76</v>
      </c>
      <c r="J2109" t="s">
        <v>77</v>
      </c>
      <c r="K2109" t="s">
        <v>78</v>
      </c>
      <c r="L2109" t="s">
        <v>137</v>
      </c>
      <c r="M2109" t="s">
        <v>138</v>
      </c>
      <c r="N2109" t="s">
        <v>1717</v>
      </c>
      <c r="O2109" t="s">
        <v>82</v>
      </c>
      <c r="P2109" t="str">
        <f>"4170054858                    "</f>
        <v xml:space="preserve">4170054858                    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0</v>
      </c>
      <c r="AI2109">
        <v>0</v>
      </c>
      <c r="AJ2109">
        <v>0</v>
      </c>
      <c r="AK2109">
        <v>0</v>
      </c>
      <c r="AL2109">
        <v>0</v>
      </c>
      <c r="AM2109">
        <v>0</v>
      </c>
      <c r="AN2109">
        <v>0</v>
      </c>
      <c r="AO2109">
        <v>0</v>
      </c>
      <c r="AP2109">
        <v>0</v>
      </c>
      <c r="AQ2109">
        <v>23.09</v>
      </c>
      <c r="AR2109">
        <v>0</v>
      </c>
      <c r="AS2109">
        <v>0</v>
      </c>
      <c r="AT2109">
        <v>0</v>
      </c>
      <c r="AU2109">
        <v>0</v>
      </c>
      <c r="AV2109">
        <v>0</v>
      </c>
      <c r="AW2109">
        <v>0</v>
      </c>
      <c r="AX2109">
        <v>0</v>
      </c>
      <c r="AY2109">
        <v>0</v>
      </c>
      <c r="AZ2109">
        <v>0</v>
      </c>
      <c r="BA2109">
        <v>0</v>
      </c>
      <c r="BB2109">
        <v>0</v>
      </c>
      <c r="BC2109">
        <v>0</v>
      </c>
      <c r="BD2109">
        <v>0</v>
      </c>
      <c r="BE2109">
        <v>0</v>
      </c>
      <c r="BF2109">
        <v>0</v>
      </c>
      <c r="BG2109">
        <v>0</v>
      </c>
      <c r="BH2109">
        <v>1</v>
      </c>
      <c r="BI2109">
        <v>1</v>
      </c>
      <c r="BJ2109">
        <v>0.2</v>
      </c>
      <c r="BK2109">
        <v>1</v>
      </c>
      <c r="BL2109">
        <v>71.69</v>
      </c>
      <c r="BM2109">
        <v>10.75</v>
      </c>
      <c r="BN2109">
        <v>82.44</v>
      </c>
      <c r="BO2109">
        <v>82.44</v>
      </c>
      <c r="BQ2109" t="s">
        <v>1718</v>
      </c>
      <c r="BR2109" t="s">
        <v>84</v>
      </c>
      <c r="BS2109" s="3">
        <v>45884</v>
      </c>
      <c r="BT2109" s="4">
        <v>0.41180555555555554</v>
      </c>
      <c r="BU2109" t="s">
        <v>2639</v>
      </c>
      <c r="BV2109" t="s">
        <v>86</v>
      </c>
      <c r="BY2109">
        <v>1200</v>
      </c>
      <c r="CA2109" t="s">
        <v>264</v>
      </c>
      <c r="CC2109" t="s">
        <v>138</v>
      </c>
      <c r="CD2109">
        <v>3610</v>
      </c>
      <c r="CE2109" t="s">
        <v>109</v>
      </c>
      <c r="CF2109" s="3">
        <v>45884</v>
      </c>
      <c r="CI2109">
        <v>1</v>
      </c>
      <c r="CJ2109">
        <v>1</v>
      </c>
      <c r="CK2109">
        <v>21</v>
      </c>
      <c r="CL2109" t="s">
        <v>90</v>
      </c>
    </row>
    <row r="2110" spans="1:90" x14ac:dyDescent="0.3">
      <c r="A2110" t="s">
        <v>72</v>
      </c>
      <c r="B2110" t="s">
        <v>73</v>
      </c>
      <c r="C2110" t="s">
        <v>74</v>
      </c>
      <c r="E2110" t="str">
        <f>"080067244920"</f>
        <v>080067244920</v>
      </c>
      <c r="F2110" s="3">
        <v>45883</v>
      </c>
      <c r="G2110">
        <v>202605</v>
      </c>
      <c r="H2110" t="s">
        <v>75</v>
      </c>
      <c r="I2110" t="s">
        <v>76</v>
      </c>
      <c r="J2110" t="s">
        <v>77</v>
      </c>
      <c r="K2110" t="s">
        <v>78</v>
      </c>
      <c r="L2110" t="s">
        <v>234</v>
      </c>
      <c r="M2110" t="s">
        <v>235</v>
      </c>
      <c r="N2110" t="s">
        <v>236</v>
      </c>
      <c r="O2110" t="s">
        <v>82</v>
      </c>
      <c r="P2110" t="str">
        <f>"4170054799                    "</f>
        <v xml:space="preserve">4170054799                    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0</v>
      </c>
      <c r="AI2110">
        <v>0</v>
      </c>
      <c r="AJ2110">
        <v>0</v>
      </c>
      <c r="AK2110">
        <v>0</v>
      </c>
      <c r="AL2110">
        <v>0</v>
      </c>
      <c r="AM2110">
        <v>0</v>
      </c>
      <c r="AN2110">
        <v>0</v>
      </c>
      <c r="AO2110">
        <v>0</v>
      </c>
      <c r="AP2110">
        <v>0</v>
      </c>
      <c r="AQ2110">
        <v>34.619999999999997</v>
      </c>
      <c r="AR2110">
        <v>0</v>
      </c>
      <c r="AS2110">
        <v>0</v>
      </c>
      <c r="AT2110">
        <v>0</v>
      </c>
      <c r="AU2110">
        <v>0</v>
      </c>
      <c r="AV2110">
        <v>0</v>
      </c>
      <c r="AW2110">
        <v>0</v>
      </c>
      <c r="AX2110">
        <v>0</v>
      </c>
      <c r="AY2110">
        <v>0</v>
      </c>
      <c r="AZ2110">
        <v>0</v>
      </c>
      <c r="BA2110">
        <v>0</v>
      </c>
      <c r="BB2110">
        <v>0</v>
      </c>
      <c r="BC2110">
        <v>0</v>
      </c>
      <c r="BD2110">
        <v>0</v>
      </c>
      <c r="BE2110">
        <v>0</v>
      </c>
      <c r="BF2110">
        <v>0</v>
      </c>
      <c r="BG2110">
        <v>0</v>
      </c>
      <c r="BH2110">
        <v>1</v>
      </c>
      <c r="BI2110">
        <v>3</v>
      </c>
      <c r="BJ2110">
        <v>0.8</v>
      </c>
      <c r="BK2110">
        <v>3</v>
      </c>
      <c r="BL2110">
        <v>107.5</v>
      </c>
      <c r="BM2110">
        <v>16.13</v>
      </c>
      <c r="BN2110">
        <v>123.63</v>
      </c>
      <c r="BO2110">
        <v>123.63</v>
      </c>
      <c r="BQ2110" t="s">
        <v>237</v>
      </c>
      <c r="BR2110" t="s">
        <v>84</v>
      </c>
      <c r="BS2110" s="3">
        <v>45884</v>
      </c>
      <c r="BT2110" s="4">
        <v>0.38194444444444442</v>
      </c>
      <c r="BU2110" t="s">
        <v>650</v>
      </c>
      <c r="BV2110" t="s">
        <v>86</v>
      </c>
      <c r="BY2110">
        <v>4100</v>
      </c>
      <c r="CA2110" t="s">
        <v>239</v>
      </c>
      <c r="CC2110" t="s">
        <v>235</v>
      </c>
      <c r="CD2110" s="5" t="s">
        <v>240</v>
      </c>
      <c r="CE2110" t="s">
        <v>117</v>
      </c>
      <c r="CF2110" s="3">
        <v>45884</v>
      </c>
      <c r="CI2110">
        <v>1</v>
      </c>
      <c r="CJ2110">
        <v>1</v>
      </c>
      <c r="CK2110">
        <v>21</v>
      </c>
      <c r="CL2110" t="s">
        <v>90</v>
      </c>
    </row>
    <row r="2111" spans="1:90" x14ac:dyDescent="0.3">
      <c r="A2111" t="s">
        <v>72</v>
      </c>
      <c r="B2111" t="s">
        <v>73</v>
      </c>
      <c r="C2111" t="s">
        <v>74</v>
      </c>
      <c r="E2111" t="str">
        <f>"080067244924"</f>
        <v>080067244924</v>
      </c>
      <c r="F2111" s="3">
        <v>45883</v>
      </c>
      <c r="G2111">
        <v>202605</v>
      </c>
      <c r="H2111" t="s">
        <v>75</v>
      </c>
      <c r="I2111" t="s">
        <v>76</v>
      </c>
      <c r="J2111" t="s">
        <v>77</v>
      </c>
      <c r="K2111" t="s">
        <v>78</v>
      </c>
      <c r="L2111" t="s">
        <v>520</v>
      </c>
      <c r="M2111" t="s">
        <v>521</v>
      </c>
      <c r="N2111" t="s">
        <v>2676</v>
      </c>
      <c r="O2111" t="s">
        <v>82</v>
      </c>
      <c r="P2111" t="str">
        <f>"4170054959                    "</f>
        <v xml:space="preserve">4170054959                    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0</v>
      </c>
      <c r="AI2111">
        <v>0</v>
      </c>
      <c r="AJ2111">
        <v>0</v>
      </c>
      <c r="AK2111">
        <v>0</v>
      </c>
      <c r="AL2111">
        <v>0</v>
      </c>
      <c r="AM2111">
        <v>0</v>
      </c>
      <c r="AN2111">
        <v>0</v>
      </c>
      <c r="AO2111">
        <v>0</v>
      </c>
      <c r="AP2111">
        <v>0</v>
      </c>
      <c r="AQ2111">
        <v>44.73</v>
      </c>
      <c r="AR2111">
        <v>0</v>
      </c>
      <c r="AS2111">
        <v>0</v>
      </c>
      <c r="AT2111">
        <v>0</v>
      </c>
      <c r="AU2111">
        <v>0</v>
      </c>
      <c r="AV2111">
        <v>0</v>
      </c>
      <c r="AW2111">
        <v>0</v>
      </c>
      <c r="AX2111">
        <v>0</v>
      </c>
      <c r="AY2111">
        <v>0</v>
      </c>
      <c r="AZ2111">
        <v>0</v>
      </c>
      <c r="BA2111">
        <v>0</v>
      </c>
      <c r="BB2111">
        <v>0</v>
      </c>
      <c r="BC2111">
        <v>0</v>
      </c>
      <c r="BD2111">
        <v>0</v>
      </c>
      <c r="BE2111">
        <v>0</v>
      </c>
      <c r="BF2111">
        <v>0</v>
      </c>
      <c r="BG2111">
        <v>0</v>
      </c>
      <c r="BH2111">
        <v>1</v>
      </c>
      <c r="BI2111">
        <v>1</v>
      </c>
      <c r="BJ2111">
        <v>0.2</v>
      </c>
      <c r="BK2111">
        <v>1</v>
      </c>
      <c r="BL2111">
        <v>138.88999999999999</v>
      </c>
      <c r="BM2111">
        <v>20.83</v>
      </c>
      <c r="BN2111">
        <v>159.72</v>
      </c>
      <c r="BO2111">
        <v>159.72</v>
      </c>
      <c r="BQ2111" t="s">
        <v>2677</v>
      </c>
      <c r="BR2111" t="s">
        <v>84</v>
      </c>
      <c r="BS2111" s="3">
        <v>45884</v>
      </c>
      <c r="BT2111" s="4">
        <v>0.3840277777777778</v>
      </c>
      <c r="BU2111" t="s">
        <v>1441</v>
      </c>
      <c r="BV2111" t="s">
        <v>86</v>
      </c>
      <c r="BY2111">
        <v>1200</v>
      </c>
      <c r="CA2111" t="s">
        <v>2678</v>
      </c>
      <c r="CC2111" t="s">
        <v>521</v>
      </c>
      <c r="CD2111">
        <v>1930</v>
      </c>
      <c r="CE2111" t="s">
        <v>109</v>
      </c>
      <c r="CF2111" s="3">
        <v>45887</v>
      </c>
      <c r="CI2111">
        <v>1</v>
      </c>
      <c r="CJ2111">
        <v>1</v>
      </c>
      <c r="CK2111">
        <v>23</v>
      </c>
      <c r="CL2111" t="s">
        <v>90</v>
      </c>
    </row>
    <row r="2112" spans="1:90" x14ac:dyDescent="0.3">
      <c r="A2112" t="s">
        <v>72</v>
      </c>
      <c r="B2112" t="s">
        <v>73</v>
      </c>
      <c r="C2112" t="s">
        <v>74</v>
      </c>
      <c r="E2112" t="str">
        <f>"080067244968"</f>
        <v>080067244968</v>
      </c>
      <c r="F2112" s="3">
        <v>45883</v>
      </c>
      <c r="G2112">
        <v>202605</v>
      </c>
      <c r="H2112" t="s">
        <v>75</v>
      </c>
      <c r="I2112" t="s">
        <v>76</v>
      </c>
      <c r="J2112" t="s">
        <v>77</v>
      </c>
      <c r="K2112" t="s">
        <v>78</v>
      </c>
      <c r="L2112" t="s">
        <v>217</v>
      </c>
      <c r="M2112" t="s">
        <v>218</v>
      </c>
      <c r="N2112" t="s">
        <v>2226</v>
      </c>
      <c r="O2112" t="s">
        <v>82</v>
      </c>
      <c r="P2112" t="str">
        <f>"4170054788                    "</f>
        <v xml:space="preserve">4170054788                    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0</v>
      </c>
      <c r="AI2112">
        <v>0</v>
      </c>
      <c r="AJ2112">
        <v>0</v>
      </c>
      <c r="AK2112">
        <v>0</v>
      </c>
      <c r="AL2112">
        <v>0</v>
      </c>
      <c r="AM2112">
        <v>0</v>
      </c>
      <c r="AN2112">
        <v>0</v>
      </c>
      <c r="AO2112">
        <v>0</v>
      </c>
      <c r="AP2112">
        <v>0</v>
      </c>
      <c r="AQ2112">
        <v>46.15</v>
      </c>
      <c r="AR2112">
        <v>0</v>
      </c>
      <c r="AS2112">
        <v>0</v>
      </c>
      <c r="AT2112">
        <v>0</v>
      </c>
      <c r="AU2112">
        <v>0</v>
      </c>
      <c r="AV2112">
        <v>0</v>
      </c>
      <c r="AW2112">
        <v>0</v>
      </c>
      <c r="AX2112">
        <v>0</v>
      </c>
      <c r="AY2112">
        <v>0</v>
      </c>
      <c r="AZ2112">
        <v>0</v>
      </c>
      <c r="BA2112">
        <v>0</v>
      </c>
      <c r="BB2112">
        <v>0</v>
      </c>
      <c r="BC2112">
        <v>0</v>
      </c>
      <c r="BD2112">
        <v>0</v>
      </c>
      <c r="BE2112">
        <v>0</v>
      </c>
      <c r="BF2112">
        <v>0</v>
      </c>
      <c r="BG2112">
        <v>0</v>
      </c>
      <c r="BH2112">
        <v>1</v>
      </c>
      <c r="BI2112">
        <v>4</v>
      </c>
      <c r="BJ2112">
        <v>1.1000000000000001</v>
      </c>
      <c r="BK2112">
        <v>4</v>
      </c>
      <c r="BL2112">
        <v>143.31</v>
      </c>
      <c r="BM2112">
        <v>21.5</v>
      </c>
      <c r="BN2112">
        <v>164.81</v>
      </c>
      <c r="BO2112">
        <v>164.81</v>
      </c>
      <c r="BQ2112" t="s">
        <v>2227</v>
      </c>
      <c r="BR2112" t="s">
        <v>84</v>
      </c>
      <c r="BS2112" s="3">
        <v>45884</v>
      </c>
      <c r="BT2112" s="4">
        <v>0.4201388888888889</v>
      </c>
      <c r="BU2112" t="s">
        <v>2679</v>
      </c>
      <c r="BV2112" t="s">
        <v>86</v>
      </c>
      <c r="BY2112">
        <v>5320</v>
      </c>
      <c r="CA2112" t="s">
        <v>864</v>
      </c>
      <c r="CC2112" t="s">
        <v>218</v>
      </c>
      <c r="CD2112">
        <v>4072</v>
      </c>
      <c r="CE2112" t="s">
        <v>147</v>
      </c>
      <c r="CF2112" s="3">
        <v>45885</v>
      </c>
      <c r="CI2112">
        <v>1</v>
      </c>
      <c r="CJ2112">
        <v>1</v>
      </c>
      <c r="CK2112">
        <v>21</v>
      </c>
      <c r="CL2112" t="s">
        <v>90</v>
      </c>
    </row>
    <row r="2113" spans="1:90" x14ac:dyDescent="0.3">
      <c r="A2113" t="s">
        <v>72</v>
      </c>
      <c r="B2113" t="s">
        <v>73</v>
      </c>
      <c r="C2113" t="s">
        <v>74</v>
      </c>
      <c r="E2113" t="str">
        <f>"080067244970"</f>
        <v>080067244970</v>
      </c>
      <c r="F2113" s="3">
        <v>45883</v>
      </c>
      <c r="G2113">
        <v>202605</v>
      </c>
      <c r="H2113" t="s">
        <v>75</v>
      </c>
      <c r="I2113" t="s">
        <v>76</v>
      </c>
      <c r="J2113" t="s">
        <v>77</v>
      </c>
      <c r="K2113" t="s">
        <v>78</v>
      </c>
      <c r="L2113" t="s">
        <v>325</v>
      </c>
      <c r="M2113" t="s">
        <v>326</v>
      </c>
      <c r="N2113" t="s">
        <v>1940</v>
      </c>
      <c r="O2113" t="s">
        <v>82</v>
      </c>
      <c r="P2113" t="str">
        <f>"4170054818                    "</f>
        <v xml:space="preserve">4170054818                    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0</v>
      </c>
      <c r="AI2113">
        <v>0</v>
      </c>
      <c r="AJ2113">
        <v>0</v>
      </c>
      <c r="AK2113">
        <v>0</v>
      </c>
      <c r="AL2113">
        <v>0</v>
      </c>
      <c r="AM2113">
        <v>0</v>
      </c>
      <c r="AN2113">
        <v>0</v>
      </c>
      <c r="AO2113">
        <v>0</v>
      </c>
      <c r="AP2113">
        <v>0</v>
      </c>
      <c r="AQ2113">
        <v>18.03</v>
      </c>
      <c r="AR2113">
        <v>0</v>
      </c>
      <c r="AS2113">
        <v>0</v>
      </c>
      <c r="AT2113">
        <v>0</v>
      </c>
      <c r="AU2113">
        <v>0</v>
      </c>
      <c r="AV2113">
        <v>0</v>
      </c>
      <c r="AW2113">
        <v>0</v>
      </c>
      <c r="AX2113">
        <v>0</v>
      </c>
      <c r="AY2113">
        <v>0</v>
      </c>
      <c r="AZ2113">
        <v>0</v>
      </c>
      <c r="BA2113">
        <v>0</v>
      </c>
      <c r="BB2113">
        <v>0</v>
      </c>
      <c r="BC2113">
        <v>0</v>
      </c>
      <c r="BD2113">
        <v>0</v>
      </c>
      <c r="BE2113">
        <v>0</v>
      </c>
      <c r="BF2113">
        <v>0</v>
      </c>
      <c r="BG2113">
        <v>0</v>
      </c>
      <c r="BH2113">
        <v>1</v>
      </c>
      <c r="BI2113">
        <v>1</v>
      </c>
      <c r="BJ2113">
        <v>0.2</v>
      </c>
      <c r="BK2113">
        <v>1</v>
      </c>
      <c r="BL2113">
        <v>55.99</v>
      </c>
      <c r="BM2113">
        <v>8.4</v>
      </c>
      <c r="BN2113">
        <v>64.39</v>
      </c>
      <c r="BO2113">
        <v>64.39</v>
      </c>
      <c r="BQ2113" t="s">
        <v>1941</v>
      </c>
      <c r="BR2113" t="s">
        <v>84</v>
      </c>
      <c r="BS2113" s="3">
        <v>45884</v>
      </c>
      <c r="BT2113" s="4">
        <v>0.37569444444444444</v>
      </c>
      <c r="BU2113" t="s">
        <v>1942</v>
      </c>
      <c r="BV2113" t="s">
        <v>86</v>
      </c>
      <c r="BY2113">
        <v>1200</v>
      </c>
      <c r="CA2113" t="s">
        <v>331</v>
      </c>
      <c r="CC2113" t="s">
        <v>326</v>
      </c>
      <c r="CD2113">
        <v>2016</v>
      </c>
      <c r="CE2113" t="s">
        <v>109</v>
      </c>
      <c r="CF2113" s="3">
        <v>45884</v>
      </c>
      <c r="CI2113">
        <v>1</v>
      </c>
      <c r="CJ2113">
        <v>1</v>
      </c>
      <c r="CK2113">
        <v>22</v>
      </c>
      <c r="CL2113" t="s">
        <v>90</v>
      </c>
    </row>
    <row r="2114" spans="1:90" x14ac:dyDescent="0.3">
      <c r="A2114" t="s">
        <v>72</v>
      </c>
      <c r="B2114" t="s">
        <v>73</v>
      </c>
      <c r="C2114" t="s">
        <v>74</v>
      </c>
      <c r="E2114" t="str">
        <f>"080067245013"</f>
        <v>080067245013</v>
      </c>
      <c r="F2114" s="3">
        <v>45883</v>
      </c>
      <c r="G2114">
        <v>202605</v>
      </c>
      <c r="H2114" t="s">
        <v>75</v>
      </c>
      <c r="I2114" t="s">
        <v>76</v>
      </c>
      <c r="J2114" t="s">
        <v>77</v>
      </c>
      <c r="K2114" t="s">
        <v>78</v>
      </c>
      <c r="L2114" t="s">
        <v>234</v>
      </c>
      <c r="M2114" t="s">
        <v>235</v>
      </c>
      <c r="N2114" t="s">
        <v>236</v>
      </c>
      <c r="O2114" t="s">
        <v>82</v>
      </c>
      <c r="P2114" t="str">
        <f>"4170054828                    "</f>
        <v xml:space="preserve">4170054828                    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0</v>
      </c>
      <c r="AI2114">
        <v>0</v>
      </c>
      <c r="AJ2114">
        <v>0</v>
      </c>
      <c r="AK2114">
        <v>0</v>
      </c>
      <c r="AL2114">
        <v>0</v>
      </c>
      <c r="AM2114">
        <v>0</v>
      </c>
      <c r="AN2114">
        <v>0</v>
      </c>
      <c r="AO2114">
        <v>0</v>
      </c>
      <c r="AP2114">
        <v>0</v>
      </c>
      <c r="AQ2114">
        <v>23.09</v>
      </c>
      <c r="AR2114">
        <v>0</v>
      </c>
      <c r="AS2114">
        <v>0</v>
      </c>
      <c r="AT2114">
        <v>0</v>
      </c>
      <c r="AU2114">
        <v>0</v>
      </c>
      <c r="AV2114">
        <v>0</v>
      </c>
      <c r="AW2114">
        <v>0</v>
      </c>
      <c r="AX2114">
        <v>0</v>
      </c>
      <c r="AY2114">
        <v>0</v>
      </c>
      <c r="AZ2114">
        <v>0</v>
      </c>
      <c r="BA2114">
        <v>0</v>
      </c>
      <c r="BB2114">
        <v>0</v>
      </c>
      <c r="BC2114">
        <v>0</v>
      </c>
      <c r="BD2114">
        <v>0</v>
      </c>
      <c r="BE2114">
        <v>0</v>
      </c>
      <c r="BF2114">
        <v>0</v>
      </c>
      <c r="BG2114">
        <v>0</v>
      </c>
      <c r="BH2114">
        <v>1</v>
      </c>
      <c r="BI2114">
        <v>1</v>
      </c>
      <c r="BJ2114">
        <v>0.2</v>
      </c>
      <c r="BK2114">
        <v>1</v>
      </c>
      <c r="BL2114">
        <v>71.69</v>
      </c>
      <c r="BM2114">
        <v>10.75</v>
      </c>
      <c r="BN2114">
        <v>82.44</v>
      </c>
      <c r="BO2114">
        <v>82.44</v>
      </c>
      <c r="BQ2114" t="s">
        <v>237</v>
      </c>
      <c r="BR2114" t="s">
        <v>84</v>
      </c>
      <c r="BS2114" s="3">
        <v>45884</v>
      </c>
      <c r="BT2114" s="4">
        <v>0.38263888888888886</v>
      </c>
      <c r="BU2114" t="s">
        <v>650</v>
      </c>
      <c r="BV2114" t="s">
        <v>86</v>
      </c>
      <c r="BY2114">
        <v>1200</v>
      </c>
      <c r="CA2114" t="s">
        <v>239</v>
      </c>
      <c r="CC2114" t="s">
        <v>235</v>
      </c>
      <c r="CD2114" s="5" t="s">
        <v>240</v>
      </c>
      <c r="CE2114" t="s">
        <v>109</v>
      </c>
      <c r="CF2114" s="3">
        <v>45884</v>
      </c>
      <c r="CI2114">
        <v>1</v>
      </c>
      <c r="CJ2114">
        <v>1</v>
      </c>
      <c r="CK2114">
        <v>21</v>
      </c>
      <c r="CL2114" t="s">
        <v>90</v>
      </c>
    </row>
    <row r="2115" spans="1:90" x14ac:dyDescent="0.3">
      <c r="A2115" t="s">
        <v>72</v>
      </c>
      <c r="B2115" t="s">
        <v>73</v>
      </c>
      <c r="C2115" t="s">
        <v>74</v>
      </c>
      <c r="E2115" t="str">
        <f>"080067245019"</f>
        <v>080067245019</v>
      </c>
      <c r="F2115" s="3">
        <v>45883</v>
      </c>
      <c r="G2115">
        <v>202605</v>
      </c>
      <c r="H2115" t="s">
        <v>75</v>
      </c>
      <c r="I2115" t="s">
        <v>76</v>
      </c>
      <c r="J2115" t="s">
        <v>77</v>
      </c>
      <c r="K2115" t="s">
        <v>78</v>
      </c>
      <c r="L2115" t="s">
        <v>118</v>
      </c>
      <c r="M2115" t="s">
        <v>118</v>
      </c>
      <c r="N2115" t="s">
        <v>2680</v>
      </c>
      <c r="O2115" t="s">
        <v>82</v>
      </c>
      <c r="P2115" t="str">
        <f>"4170054843                    "</f>
        <v xml:space="preserve">4170054843                    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0</v>
      </c>
      <c r="AI2115">
        <v>0</v>
      </c>
      <c r="AJ2115">
        <v>0</v>
      </c>
      <c r="AK2115">
        <v>0</v>
      </c>
      <c r="AL2115">
        <v>0</v>
      </c>
      <c r="AM2115">
        <v>0</v>
      </c>
      <c r="AN2115">
        <v>0</v>
      </c>
      <c r="AO2115">
        <v>0</v>
      </c>
      <c r="AP2115">
        <v>0</v>
      </c>
      <c r="AQ2115">
        <v>44.73</v>
      </c>
      <c r="AR2115">
        <v>0</v>
      </c>
      <c r="AS2115">
        <v>0</v>
      </c>
      <c r="AT2115">
        <v>0</v>
      </c>
      <c r="AU2115">
        <v>0</v>
      </c>
      <c r="AV2115">
        <v>0</v>
      </c>
      <c r="AW2115">
        <v>0</v>
      </c>
      <c r="AX2115">
        <v>0</v>
      </c>
      <c r="AY2115">
        <v>0</v>
      </c>
      <c r="AZ2115">
        <v>0</v>
      </c>
      <c r="BA2115">
        <v>0</v>
      </c>
      <c r="BB2115">
        <v>0</v>
      </c>
      <c r="BC2115">
        <v>0</v>
      </c>
      <c r="BD2115">
        <v>0</v>
      </c>
      <c r="BE2115">
        <v>0</v>
      </c>
      <c r="BF2115">
        <v>0</v>
      </c>
      <c r="BG2115">
        <v>0</v>
      </c>
      <c r="BH2115">
        <v>1</v>
      </c>
      <c r="BI2115">
        <v>1</v>
      </c>
      <c r="BJ2115">
        <v>0.9</v>
      </c>
      <c r="BK2115">
        <v>1</v>
      </c>
      <c r="BL2115">
        <v>138.88999999999999</v>
      </c>
      <c r="BM2115">
        <v>20.83</v>
      </c>
      <c r="BN2115">
        <v>159.72</v>
      </c>
      <c r="BO2115">
        <v>159.72</v>
      </c>
      <c r="BQ2115" t="s">
        <v>2681</v>
      </c>
      <c r="BR2115" t="s">
        <v>84</v>
      </c>
      <c r="BS2115" s="3">
        <v>45884</v>
      </c>
      <c r="BT2115" s="4">
        <v>0.52152777777777781</v>
      </c>
      <c r="BU2115" t="s">
        <v>2682</v>
      </c>
      <c r="BV2115" t="s">
        <v>86</v>
      </c>
      <c r="BY2115">
        <v>4275</v>
      </c>
      <c r="CA2115" t="s">
        <v>122</v>
      </c>
      <c r="CC2115" t="s">
        <v>118</v>
      </c>
      <c r="CD2115">
        <v>7645</v>
      </c>
      <c r="CE2115" t="s">
        <v>147</v>
      </c>
      <c r="CF2115" s="3">
        <v>45887</v>
      </c>
      <c r="CI2115">
        <v>1</v>
      </c>
      <c r="CJ2115">
        <v>1</v>
      </c>
      <c r="CK2115">
        <v>23</v>
      </c>
      <c r="CL2115" t="s">
        <v>90</v>
      </c>
    </row>
    <row r="2116" spans="1:90" x14ac:dyDescent="0.3">
      <c r="A2116" t="s">
        <v>72</v>
      </c>
      <c r="B2116" t="s">
        <v>73</v>
      </c>
      <c r="C2116" t="s">
        <v>74</v>
      </c>
      <c r="E2116" t="str">
        <f>"080067245029"</f>
        <v>080067245029</v>
      </c>
      <c r="F2116" s="3">
        <v>45883</v>
      </c>
      <c r="G2116">
        <v>202605</v>
      </c>
      <c r="H2116" t="s">
        <v>75</v>
      </c>
      <c r="I2116" t="s">
        <v>76</v>
      </c>
      <c r="J2116" t="s">
        <v>77</v>
      </c>
      <c r="K2116" t="s">
        <v>78</v>
      </c>
      <c r="L2116" t="s">
        <v>123</v>
      </c>
      <c r="M2116" t="s">
        <v>124</v>
      </c>
      <c r="N2116" t="s">
        <v>534</v>
      </c>
      <c r="O2116" t="s">
        <v>82</v>
      </c>
      <c r="P2116" t="str">
        <f>"4170054852                    "</f>
        <v xml:space="preserve">4170054852                    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0</v>
      </c>
      <c r="AI2116">
        <v>0</v>
      </c>
      <c r="AJ2116">
        <v>0</v>
      </c>
      <c r="AK2116">
        <v>0</v>
      </c>
      <c r="AL2116">
        <v>0</v>
      </c>
      <c r="AM2116">
        <v>0</v>
      </c>
      <c r="AN2116">
        <v>0</v>
      </c>
      <c r="AO2116">
        <v>0</v>
      </c>
      <c r="AP2116">
        <v>0</v>
      </c>
      <c r="AQ2116">
        <v>23.09</v>
      </c>
      <c r="AR2116">
        <v>0</v>
      </c>
      <c r="AS2116">
        <v>0</v>
      </c>
      <c r="AT2116">
        <v>0</v>
      </c>
      <c r="AU2116">
        <v>0</v>
      </c>
      <c r="AV2116">
        <v>0</v>
      </c>
      <c r="AW2116">
        <v>0</v>
      </c>
      <c r="AX2116">
        <v>0</v>
      </c>
      <c r="AY2116">
        <v>0</v>
      </c>
      <c r="AZ2116">
        <v>0</v>
      </c>
      <c r="BA2116">
        <v>0</v>
      </c>
      <c r="BB2116">
        <v>0</v>
      </c>
      <c r="BC2116">
        <v>0</v>
      </c>
      <c r="BD2116">
        <v>0</v>
      </c>
      <c r="BE2116">
        <v>0</v>
      </c>
      <c r="BF2116">
        <v>0</v>
      </c>
      <c r="BG2116">
        <v>0</v>
      </c>
      <c r="BH2116">
        <v>1</v>
      </c>
      <c r="BI2116">
        <v>1</v>
      </c>
      <c r="BJ2116">
        <v>0.2</v>
      </c>
      <c r="BK2116">
        <v>1</v>
      </c>
      <c r="BL2116">
        <v>71.69</v>
      </c>
      <c r="BM2116">
        <v>10.75</v>
      </c>
      <c r="BN2116">
        <v>82.44</v>
      </c>
      <c r="BO2116">
        <v>82.44</v>
      </c>
      <c r="BQ2116" t="s">
        <v>535</v>
      </c>
      <c r="BR2116" t="s">
        <v>84</v>
      </c>
      <c r="BS2116" s="3">
        <v>45884</v>
      </c>
      <c r="BT2116" s="4">
        <v>0.41319444444444442</v>
      </c>
      <c r="BU2116" t="s">
        <v>2683</v>
      </c>
      <c r="BV2116" t="s">
        <v>86</v>
      </c>
      <c r="BY2116">
        <v>1200</v>
      </c>
      <c r="CA2116" t="s">
        <v>1238</v>
      </c>
      <c r="CC2116" t="s">
        <v>124</v>
      </c>
      <c r="CD2116">
        <v>7480</v>
      </c>
      <c r="CE2116" t="s">
        <v>109</v>
      </c>
      <c r="CF2116" s="3">
        <v>45887</v>
      </c>
      <c r="CI2116">
        <v>1</v>
      </c>
      <c r="CJ2116">
        <v>1</v>
      </c>
      <c r="CK2116">
        <v>21</v>
      </c>
      <c r="CL2116" t="s">
        <v>90</v>
      </c>
    </row>
    <row r="2117" spans="1:90" x14ac:dyDescent="0.3">
      <c r="A2117" t="s">
        <v>72</v>
      </c>
      <c r="B2117" t="s">
        <v>73</v>
      </c>
      <c r="C2117" t="s">
        <v>74</v>
      </c>
      <c r="E2117" t="str">
        <f>"080067245056"</f>
        <v>080067245056</v>
      </c>
      <c r="F2117" s="3">
        <v>45883</v>
      </c>
      <c r="G2117">
        <v>202605</v>
      </c>
      <c r="H2117" t="s">
        <v>75</v>
      </c>
      <c r="I2117" t="s">
        <v>76</v>
      </c>
      <c r="J2117" t="s">
        <v>77</v>
      </c>
      <c r="K2117" t="s">
        <v>78</v>
      </c>
      <c r="L2117" t="s">
        <v>137</v>
      </c>
      <c r="M2117" t="s">
        <v>138</v>
      </c>
      <c r="N2117" t="s">
        <v>505</v>
      </c>
      <c r="O2117" t="s">
        <v>82</v>
      </c>
      <c r="P2117" t="str">
        <f>"4170054915                    "</f>
        <v xml:space="preserve">4170054915                    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0</v>
      </c>
      <c r="AI2117">
        <v>0</v>
      </c>
      <c r="AJ2117">
        <v>0</v>
      </c>
      <c r="AK2117">
        <v>0</v>
      </c>
      <c r="AL2117">
        <v>0</v>
      </c>
      <c r="AM2117">
        <v>0</v>
      </c>
      <c r="AN2117">
        <v>0</v>
      </c>
      <c r="AO2117">
        <v>0</v>
      </c>
      <c r="AP2117">
        <v>0</v>
      </c>
      <c r="AQ2117">
        <v>23.09</v>
      </c>
      <c r="AR2117">
        <v>0</v>
      </c>
      <c r="AS2117">
        <v>0</v>
      </c>
      <c r="AT2117">
        <v>0</v>
      </c>
      <c r="AU2117">
        <v>0</v>
      </c>
      <c r="AV2117">
        <v>0</v>
      </c>
      <c r="AW2117">
        <v>0</v>
      </c>
      <c r="AX2117">
        <v>0</v>
      </c>
      <c r="AY2117">
        <v>0</v>
      </c>
      <c r="AZ2117">
        <v>0</v>
      </c>
      <c r="BA2117">
        <v>0</v>
      </c>
      <c r="BB2117">
        <v>0</v>
      </c>
      <c r="BC2117">
        <v>0</v>
      </c>
      <c r="BD2117">
        <v>0</v>
      </c>
      <c r="BE2117">
        <v>0</v>
      </c>
      <c r="BF2117">
        <v>0</v>
      </c>
      <c r="BG2117">
        <v>0</v>
      </c>
      <c r="BH2117">
        <v>1</v>
      </c>
      <c r="BI2117">
        <v>1</v>
      </c>
      <c r="BJ2117">
        <v>0.2</v>
      </c>
      <c r="BK2117">
        <v>1</v>
      </c>
      <c r="BL2117">
        <v>71.69</v>
      </c>
      <c r="BM2117">
        <v>10.75</v>
      </c>
      <c r="BN2117">
        <v>82.44</v>
      </c>
      <c r="BO2117">
        <v>82.44</v>
      </c>
      <c r="BQ2117" t="s">
        <v>506</v>
      </c>
      <c r="BR2117" t="s">
        <v>84</v>
      </c>
      <c r="BS2117" s="3">
        <v>45884</v>
      </c>
      <c r="BT2117" s="4">
        <v>0.40208333333333335</v>
      </c>
      <c r="BU2117" t="s">
        <v>2684</v>
      </c>
      <c r="BV2117" t="s">
        <v>86</v>
      </c>
      <c r="BY2117">
        <v>1200</v>
      </c>
      <c r="CA2117" t="s">
        <v>264</v>
      </c>
      <c r="CC2117" t="s">
        <v>138</v>
      </c>
      <c r="CD2117">
        <v>3600</v>
      </c>
      <c r="CE2117" t="s">
        <v>109</v>
      </c>
      <c r="CF2117" s="3">
        <v>45884</v>
      </c>
      <c r="CI2117">
        <v>1</v>
      </c>
      <c r="CJ2117">
        <v>1</v>
      </c>
      <c r="CK2117">
        <v>21</v>
      </c>
      <c r="CL2117" t="s">
        <v>90</v>
      </c>
    </row>
    <row r="2118" spans="1:90" x14ac:dyDescent="0.3">
      <c r="A2118" t="s">
        <v>72</v>
      </c>
      <c r="B2118" t="s">
        <v>73</v>
      </c>
      <c r="C2118" t="s">
        <v>74</v>
      </c>
      <c r="E2118" t="str">
        <f>"080067245060"</f>
        <v>080067245060</v>
      </c>
      <c r="F2118" s="3">
        <v>45883</v>
      </c>
      <c r="G2118">
        <v>202605</v>
      </c>
      <c r="H2118" t="s">
        <v>75</v>
      </c>
      <c r="I2118" t="s">
        <v>76</v>
      </c>
      <c r="J2118" t="s">
        <v>77</v>
      </c>
      <c r="K2118" t="s">
        <v>78</v>
      </c>
      <c r="L2118" t="s">
        <v>400</v>
      </c>
      <c r="M2118" t="s">
        <v>401</v>
      </c>
      <c r="N2118" t="s">
        <v>2368</v>
      </c>
      <c r="O2118" t="s">
        <v>82</v>
      </c>
      <c r="P2118" t="str">
        <f>"4170054934                    "</f>
        <v xml:space="preserve">4170054934                    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0</v>
      </c>
      <c r="AI2118">
        <v>0</v>
      </c>
      <c r="AJ2118"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Q2118">
        <v>57.68</v>
      </c>
      <c r="AR2118">
        <v>0</v>
      </c>
      <c r="AS2118">
        <v>0</v>
      </c>
      <c r="AT2118">
        <v>0</v>
      </c>
      <c r="AU2118">
        <v>0</v>
      </c>
      <c r="AV2118">
        <v>0</v>
      </c>
      <c r="AW2118">
        <v>0</v>
      </c>
      <c r="AX2118">
        <v>0</v>
      </c>
      <c r="AY2118">
        <v>0</v>
      </c>
      <c r="AZ2118">
        <v>0</v>
      </c>
      <c r="BA2118">
        <v>0</v>
      </c>
      <c r="BB2118">
        <v>0</v>
      </c>
      <c r="BC2118">
        <v>0</v>
      </c>
      <c r="BD2118">
        <v>0</v>
      </c>
      <c r="BE2118">
        <v>0</v>
      </c>
      <c r="BF2118">
        <v>0</v>
      </c>
      <c r="BG2118">
        <v>0</v>
      </c>
      <c r="BH2118">
        <v>1</v>
      </c>
      <c r="BI2118">
        <v>5</v>
      </c>
      <c r="BJ2118">
        <v>3.4</v>
      </c>
      <c r="BK2118">
        <v>5</v>
      </c>
      <c r="BL2118">
        <v>179.12</v>
      </c>
      <c r="BM2118">
        <v>26.87</v>
      </c>
      <c r="BN2118">
        <v>205.99</v>
      </c>
      <c r="BO2118">
        <v>205.99</v>
      </c>
      <c r="BQ2118" t="s">
        <v>2369</v>
      </c>
      <c r="BR2118" t="s">
        <v>84</v>
      </c>
      <c r="BS2118" s="3">
        <v>45884</v>
      </c>
      <c r="BT2118" s="4">
        <v>0.44305555555555554</v>
      </c>
      <c r="BU2118" t="s">
        <v>696</v>
      </c>
      <c r="BV2118" t="s">
        <v>90</v>
      </c>
      <c r="BY2118">
        <v>16965</v>
      </c>
      <c r="CA2118" t="s">
        <v>405</v>
      </c>
      <c r="CC2118" t="s">
        <v>401</v>
      </c>
      <c r="CD2118">
        <v>6229</v>
      </c>
      <c r="CE2118" t="s">
        <v>147</v>
      </c>
      <c r="CF2118" s="3">
        <v>45884</v>
      </c>
      <c r="CI2118">
        <v>1</v>
      </c>
      <c r="CJ2118">
        <v>1</v>
      </c>
      <c r="CK2118">
        <v>21</v>
      </c>
      <c r="CL2118" t="s">
        <v>90</v>
      </c>
    </row>
    <row r="2119" spans="1:90" x14ac:dyDescent="0.3">
      <c r="A2119" t="s">
        <v>72</v>
      </c>
      <c r="B2119" t="s">
        <v>73</v>
      </c>
      <c r="C2119" t="s">
        <v>74</v>
      </c>
      <c r="E2119" t="str">
        <f>"080067245073"</f>
        <v>080067245073</v>
      </c>
      <c r="F2119" s="3">
        <v>45883</v>
      </c>
      <c r="G2119">
        <v>202605</v>
      </c>
      <c r="H2119" t="s">
        <v>75</v>
      </c>
      <c r="I2119" t="s">
        <v>76</v>
      </c>
      <c r="J2119" t="s">
        <v>77</v>
      </c>
      <c r="K2119" t="s">
        <v>78</v>
      </c>
      <c r="L2119" t="s">
        <v>162</v>
      </c>
      <c r="M2119" t="s">
        <v>163</v>
      </c>
      <c r="N2119" t="s">
        <v>1192</v>
      </c>
      <c r="O2119" t="s">
        <v>82</v>
      </c>
      <c r="P2119" t="str">
        <f>"4170054835                    "</f>
        <v xml:space="preserve">4170054835                    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0</v>
      </c>
      <c r="AI2119">
        <v>0</v>
      </c>
      <c r="AJ2119">
        <v>0</v>
      </c>
      <c r="AK2119">
        <v>0</v>
      </c>
      <c r="AL2119">
        <v>0</v>
      </c>
      <c r="AM2119">
        <v>0</v>
      </c>
      <c r="AN2119">
        <v>0</v>
      </c>
      <c r="AO2119">
        <v>0</v>
      </c>
      <c r="AP2119">
        <v>0</v>
      </c>
      <c r="AQ2119">
        <v>23.09</v>
      </c>
      <c r="AR2119">
        <v>0</v>
      </c>
      <c r="AS2119">
        <v>0</v>
      </c>
      <c r="AT2119">
        <v>0</v>
      </c>
      <c r="AU2119">
        <v>0</v>
      </c>
      <c r="AV2119">
        <v>0</v>
      </c>
      <c r="AW2119">
        <v>0</v>
      </c>
      <c r="AX2119">
        <v>0</v>
      </c>
      <c r="AY2119">
        <v>0</v>
      </c>
      <c r="AZ2119">
        <v>0</v>
      </c>
      <c r="BA2119">
        <v>0</v>
      </c>
      <c r="BB2119">
        <v>0</v>
      </c>
      <c r="BC2119">
        <v>0</v>
      </c>
      <c r="BD2119">
        <v>0</v>
      </c>
      <c r="BE2119">
        <v>0</v>
      </c>
      <c r="BF2119">
        <v>0</v>
      </c>
      <c r="BG2119">
        <v>0</v>
      </c>
      <c r="BH2119">
        <v>1</v>
      </c>
      <c r="BI2119">
        <v>1</v>
      </c>
      <c r="BJ2119">
        <v>0.2</v>
      </c>
      <c r="BK2119">
        <v>1</v>
      </c>
      <c r="BL2119">
        <v>71.69</v>
      </c>
      <c r="BM2119">
        <v>10.75</v>
      </c>
      <c r="BN2119">
        <v>82.44</v>
      </c>
      <c r="BO2119">
        <v>82.44</v>
      </c>
      <c r="BQ2119" t="s">
        <v>1193</v>
      </c>
      <c r="BR2119" t="s">
        <v>84</v>
      </c>
      <c r="BS2119" s="3">
        <v>45884</v>
      </c>
      <c r="BT2119" s="4">
        <v>0.41666666666666669</v>
      </c>
      <c r="BU2119" t="s">
        <v>2685</v>
      </c>
      <c r="BV2119" t="s">
        <v>86</v>
      </c>
      <c r="BY2119">
        <v>1200</v>
      </c>
      <c r="CA2119" t="s">
        <v>167</v>
      </c>
      <c r="CC2119" t="s">
        <v>163</v>
      </c>
      <c r="CD2119">
        <v>3212</v>
      </c>
      <c r="CE2119" t="s">
        <v>109</v>
      </c>
      <c r="CF2119" s="3">
        <v>45884</v>
      </c>
      <c r="CI2119">
        <v>2</v>
      </c>
      <c r="CJ2119">
        <v>1</v>
      </c>
      <c r="CK2119">
        <v>21</v>
      </c>
      <c r="CL2119" t="s">
        <v>90</v>
      </c>
    </row>
    <row r="2120" spans="1:90" x14ac:dyDescent="0.3">
      <c r="A2120" t="s">
        <v>72</v>
      </c>
      <c r="B2120" t="s">
        <v>73</v>
      </c>
      <c r="C2120" t="s">
        <v>74</v>
      </c>
      <c r="E2120" t="str">
        <f>"080067245107"</f>
        <v>080067245107</v>
      </c>
      <c r="F2120" s="3">
        <v>45883</v>
      </c>
      <c r="G2120">
        <v>202605</v>
      </c>
      <c r="H2120" t="s">
        <v>75</v>
      </c>
      <c r="I2120" t="s">
        <v>76</v>
      </c>
      <c r="J2120" t="s">
        <v>77</v>
      </c>
      <c r="K2120" t="s">
        <v>78</v>
      </c>
      <c r="L2120" t="s">
        <v>123</v>
      </c>
      <c r="M2120" t="s">
        <v>124</v>
      </c>
      <c r="N2120" t="s">
        <v>125</v>
      </c>
      <c r="O2120" t="s">
        <v>82</v>
      </c>
      <c r="P2120" t="str">
        <f>"4170054762                    "</f>
        <v xml:space="preserve">4170054762                    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0</v>
      </c>
      <c r="AI2120">
        <v>0</v>
      </c>
      <c r="AJ2120">
        <v>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Q2120">
        <v>23.09</v>
      </c>
      <c r="AR2120">
        <v>0</v>
      </c>
      <c r="AS2120">
        <v>0</v>
      </c>
      <c r="AT2120">
        <v>0</v>
      </c>
      <c r="AU2120">
        <v>0</v>
      </c>
      <c r="AV2120">
        <v>0</v>
      </c>
      <c r="AW2120">
        <v>0</v>
      </c>
      <c r="AX2120">
        <v>0</v>
      </c>
      <c r="AY2120">
        <v>0</v>
      </c>
      <c r="AZ2120">
        <v>0</v>
      </c>
      <c r="BA2120">
        <v>0</v>
      </c>
      <c r="BB2120">
        <v>0</v>
      </c>
      <c r="BC2120">
        <v>0</v>
      </c>
      <c r="BD2120">
        <v>0</v>
      </c>
      <c r="BE2120">
        <v>0</v>
      </c>
      <c r="BF2120">
        <v>0</v>
      </c>
      <c r="BG2120">
        <v>0</v>
      </c>
      <c r="BH2120">
        <v>1</v>
      </c>
      <c r="BI2120">
        <v>1</v>
      </c>
      <c r="BJ2120">
        <v>0.2</v>
      </c>
      <c r="BK2120">
        <v>1</v>
      </c>
      <c r="BL2120">
        <v>71.69</v>
      </c>
      <c r="BM2120">
        <v>10.75</v>
      </c>
      <c r="BN2120">
        <v>82.44</v>
      </c>
      <c r="BO2120">
        <v>82.44</v>
      </c>
      <c r="BQ2120" t="s">
        <v>126</v>
      </c>
      <c r="BR2120" t="s">
        <v>84</v>
      </c>
      <c r="BS2120" s="3">
        <v>45884</v>
      </c>
      <c r="BT2120" s="4">
        <v>0.35347222222222224</v>
      </c>
      <c r="BU2120" t="s">
        <v>2686</v>
      </c>
      <c r="BV2120" t="s">
        <v>86</v>
      </c>
      <c r="BY2120">
        <v>1200</v>
      </c>
      <c r="CA2120" t="s">
        <v>128</v>
      </c>
      <c r="CC2120" t="s">
        <v>124</v>
      </c>
      <c r="CD2120">
        <v>7530</v>
      </c>
      <c r="CE2120" t="s">
        <v>109</v>
      </c>
      <c r="CF2120" s="3">
        <v>45887</v>
      </c>
      <c r="CI2120">
        <v>1</v>
      </c>
      <c r="CJ2120">
        <v>1</v>
      </c>
      <c r="CK2120">
        <v>21</v>
      </c>
      <c r="CL2120" t="s">
        <v>90</v>
      </c>
    </row>
    <row r="2121" spans="1:90" x14ac:dyDescent="0.3">
      <c r="A2121" t="s">
        <v>72</v>
      </c>
      <c r="B2121" t="s">
        <v>73</v>
      </c>
      <c r="C2121" t="s">
        <v>74</v>
      </c>
      <c r="E2121" t="str">
        <f>"080067245112"</f>
        <v>080067245112</v>
      </c>
      <c r="F2121" s="3">
        <v>45883</v>
      </c>
      <c r="G2121">
        <v>202605</v>
      </c>
      <c r="H2121" t="s">
        <v>75</v>
      </c>
      <c r="I2121" t="s">
        <v>76</v>
      </c>
      <c r="J2121" t="s">
        <v>77</v>
      </c>
      <c r="K2121" t="s">
        <v>78</v>
      </c>
      <c r="L2121" t="s">
        <v>179</v>
      </c>
      <c r="M2121" t="s">
        <v>180</v>
      </c>
      <c r="N2121" t="s">
        <v>2687</v>
      </c>
      <c r="O2121" t="s">
        <v>113</v>
      </c>
      <c r="P2121" t="str">
        <f>"4170054725                    "</f>
        <v xml:space="preserve">4170054725                    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0</v>
      </c>
      <c r="AL2121">
        <v>0</v>
      </c>
      <c r="AM2121">
        <v>0</v>
      </c>
      <c r="AN2121">
        <v>0</v>
      </c>
      <c r="AO2121">
        <v>0</v>
      </c>
      <c r="AP2121">
        <v>0</v>
      </c>
      <c r="AQ2121">
        <v>71.44</v>
      </c>
      <c r="AR2121">
        <v>0</v>
      </c>
      <c r="AS2121">
        <v>0</v>
      </c>
      <c r="AT2121">
        <v>0</v>
      </c>
      <c r="AU2121">
        <v>0</v>
      </c>
      <c r="AV2121">
        <v>0</v>
      </c>
      <c r="AW2121">
        <v>0</v>
      </c>
      <c r="AX2121">
        <v>0</v>
      </c>
      <c r="AY2121">
        <v>0</v>
      </c>
      <c r="AZ2121">
        <v>0</v>
      </c>
      <c r="BA2121">
        <v>0</v>
      </c>
      <c r="BB2121">
        <v>0</v>
      </c>
      <c r="BC2121">
        <v>0</v>
      </c>
      <c r="BD2121">
        <v>0</v>
      </c>
      <c r="BE2121">
        <v>0</v>
      </c>
      <c r="BF2121">
        <v>0</v>
      </c>
      <c r="BG2121">
        <v>0</v>
      </c>
      <c r="BH2121">
        <v>1</v>
      </c>
      <c r="BI2121">
        <v>4</v>
      </c>
      <c r="BJ2121">
        <v>1.7</v>
      </c>
      <c r="BK2121">
        <v>4</v>
      </c>
      <c r="BL2121">
        <v>221.83</v>
      </c>
      <c r="BM2121">
        <v>33.270000000000003</v>
      </c>
      <c r="BN2121">
        <v>255.1</v>
      </c>
      <c r="BO2121">
        <v>255.1</v>
      </c>
      <c r="BQ2121" t="s">
        <v>2688</v>
      </c>
      <c r="BR2121" t="s">
        <v>84</v>
      </c>
      <c r="BS2121" s="3">
        <v>45887</v>
      </c>
      <c r="BT2121" s="4">
        <v>0.63472222222222219</v>
      </c>
      <c r="BU2121" t="s">
        <v>176</v>
      </c>
      <c r="BV2121" t="s">
        <v>90</v>
      </c>
      <c r="BY2121">
        <v>8512</v>
      </c>
      <c r="CA2121" t="s">
        <v>177</v>
      </c>
      <c r="CC2121" t="s">
        <v>180</v>
      </c>
      <c r="CD2121">
        <v>1739</v>
      </c>
      <c r="CE2121" t="s">
        <v>147</v>
      </c>
      <c r="CI2121">
        <v>1</v>
      </c>
      <c r="CJ2121">
        <v>2</v>
      </c>
      <c r="CK2121">
        <v>34</v>
      </c>
      <c r="CL2121" t="s">
        <v>90</v>
      </c>
    </row>
    <row r="2122" spans="1:90" x14ac:dyDescent="0.3">
      <c r="A2122" t="s">
        <v>72</v>
      </c>
      <c r="B2122" t="s">
        <v>73</v>
      </c>
      <c r="C2122" t="s">
        <v>74</v>
      </c>
      <c r="E2122" t="str">
        <f>"080067245156"</f>
        <v>080067245156</v>
      </c>
      <c r="F2122" s="3">
        <v>45883</v>
      </c>
      <c r="G2122">
        <v>202605</v>
      </c>
      <c r="H2122" t="s">
        <v>75</v>
      </c>
      <c r="I2122" t="s">
        <v>76</v>
      </c>
      <c r="J2122" t="s">
        <v>77</v>
      </c>
      <c r="K2122" t="s">
        <v>78</v>
      </c>
      <c r="L2122" t="s">
        <v>555</v>
      </c>
      <c r="M2122" t="s">
        <v>556</v>
      </c>
      <c r="N2122" t="s">
        <v>844</v>
      </c>
      <c r="O2122" t="s">
        <v>82</v>
      </c>
      <c r="P2122" t="str">
        <f>"4170054807                    "</f>
        <v xml:space="preserve">4170054807                    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0</v>
      </c>
      <c r="AI2122">
        <v>0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0</v>
      </c>
      <c r="AQ2122">
        <v>44.73</v>
      </c>
      <c r="AR2122">
        <v>0</v>
      </c>
      <c r="AS2122">
        <v>0</v>
      </c>
      <c r="AT2122">
        <v>0</v>
      </c>
      <c r="AU2122">
        <v>0</v>
      </c>
      <c r="AV2122">
        <v>0</v>
      </c>
      <c r="AW2122">
        <v>0</v>
      </c>
      <c r="AX2122">
        <v>0</v>
      </c>
      <c r="AY2122">
        <v>0</v>
      </c>
      <c r="AZ2122">
        <v>0</v>
      </c>
      <c r="BA2122">
        <v>0</v>
      </c>
      <c r="BB2122">
        <v>0</v>
      </c>
      <c r="BC2122">
        <v>0</v>
      </c>
      <c r="BD2122">
        <v>0</v>
      </c>
      <c r="BE2122">
        <v>0</v>
      </c>
      <c r="BF2122">
        <v>0</v>
      </c>
      <c r="BG2122">
        <v>0</v>
      </c>
      <c r="BH2122">
        <v>1</v>
      </c>
      <c r="BI2122">
        <v>1</v>
      </c>
      <c r="BJ2122">
        <v>0.2</v>
      </c>
      <c r="BK2122">
        <v>1</v>
      </c>
      <c r="BL2122">
        <v>138.88999999999999</v>
      </c>
      <c r="BM2122">
        <v>20.83</v>
      </c>
      <c r="BN2122">
        <v>159.72</v>
      </c>
      <c r="BO2122">
        <v>159.72</v>
      </c>
      <c r="BQ2122" t="s">
        <v>845</v>
      </c>
      <c r="BR2122" t="s">
        <v>84</v>
      </c>
      <c r="BS2122" s="3">
        <v>45884</v>
      </c>
      <c r="BT2122" s="4">
        <v>0.53263888888888888</v>
      </c>
      <c r="BU2122" t="s">
        <v>344</v>
      </c>
      <c r="BV2122" t="s">
        <v>86</v>
      </c>
      <c r="BY2122">
        <v>1200</v>
      </c>
      <c r="CA2122" t="s">
        <v>396</v>
      </c>
      <c r="CC2122" t="s">
        <v>556</v>
      </c>
      <c r="CD2122">
        <v>6850</v>
      </c>
      <c r="CE2122" t="s">
        <v>109</v>
      </c>
      <c r="CF2122" s="3">
        <v>45887</v>
      </c>
      <c r="CI2122">
        <v>2</v>
      </c>
      <c r="CJ2122">
        <v>1</v>
      </c>
      <c r="CK2122">
        <v>23</v>
      </c>
      <c r="CL2122" t="s">
        <v>90</v>
      </c>
    </row>
    <row r="2123" spans="1:90" x14ac:dyDescent="0.3">
      <c r="A2123" t="s">
        <v>72</v>
      </c>
      <c r="B2123" t="s">
        <v>73</v>
      </c>
      <c r="C2123" t="s">
        <v>74</v>
      </c>
      <c r="E2123" t="str">
        <f>"080067245164"</f>
        <v>080067245164</v>
      </c>
      <c r="F2123" s="3">
        <v>45883</v>
      </c>
      <c r="G2123">
        <v>202605</v>
      </c>
      <c r="H2123" t="s">
        <v>75</v>
      </c>
      <c r="I2123" t="s">
        <v>76</v>
      </c>
      <c r="J2123" t="s">
        <v>77</v>
      </c>
      <c r="K2123" t="s">
        <v>78</v>
      </c>
      <c r="L2123" t="s">
        <v>373</v>
      </c>
      <c r="M2123" t="s">
        <v>374</v>
      </c>
      <c r="N2123" t="s">
        <v>383</v>
      </c>
      <c r="O2123" t="s">
        <v>82</v>
      </c>
      <c r="P2123" t="str">
        <f>"4170054730                    "</f>
        <v xml:space="preserve">4170054730                    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0</v>
      </c>
      <c r="AI2123">
        <v>0</v>
      </c>
      <c r="AJ2123">
        <v>0</v>
      </c>
      <c r="AK2123">
        <v>0</v>
      </c>
      <c r="AL2123">
        <v>0</v>
      </c>
      <c r="AM2123">
        <v>0</v>
      </c>
      <c r="AN2123">
        <v>0</v>
      </c>
      <c r="AO2123">
        <v>0</v>
      </c>
      <c r="AP2123">
        <v>0</v>
      </c>
      <c r="AQ2123">
        <v>23.09</v>
      </c>
      <c r="AR2123">
        <v>0</v>
      </c>
      <c r="AS2123">
        <v>0</v>
      </c>
      <c r="AT2123">
        <v>0</v>
      </c>
      <c r="AU2123">
        <v>0</v>
      </c>
      <c r="AV2123">
        <v>0</v>
      </c>
      <c r="AW2123">
        <v>0</v>
      </c>
      <c r="AX2123">
        <v>0</v>
      </c>
      <c r="AY2123">
        <v>0</v>
      </c>
      <c r="AZ2123">
        <v>0</v>
      </c>
      <c r="BA2123">
        <v>0</v>
      </c>
      <c r="BB2123">
        <v>0</v>
      </c>
      <c r="BC2123">
        <v>0</v>
      </c>
      <c r="BD2123">
        <v>0</v>
      </c>
      <c r="BE2123">
        <v>0</v>
      </c>
      <c r="BF2123">
        <v>0</v>
      </c>
      <c r="BG2123">
        <v>0</v>
      </c>
      <c r="BH2123">
        <v>1</v>
      </c>
      <c r="BI2123">
        <v>1</v>
      </c>
      <c r="BJ2123">
        <v>1.1000000000000001</v>
      </c>
      <c r="BK2123">
        <v>1.5</v>
      </c>
      <c r="BL2123">
        <v>71.69</v>
      </c>
      <c r="BM2123">
        <v>10.75</v>
      </c>
      <c r="BN2123">
        <v>82.44</v>
      </c>
      <c r="BO2123">
        <v>82.44</v>
      </c>
      <c r="BQ2123" t="s">
        <v>384</v>
      </c>
      <c r="BR2123" t="s">
        <v>84</v>
      </c>
      <c r="BS2123" s="3">
        <v>45884</v>
      </c>
      <c r="BT2123" s="4">
        <v>0.47847222222222224</v>
      </c>
      <c r="BU2123" t="s">
        <v>2618</v>
      </c>
      <c r="BV2123" t="s">
        <v>90</v>
      </c>
      <c r="BY2123">
        <v>5320</v>
      </c>
      <c r="CA2123" t="s">
        <v>203</v>
      </c>
      <c r="CC2123" t="s">
        <v>374</v>
      </c>
      <c r="CD2123">
        <v>6220</v>
      </c>
      <c r="CE2123" t="s">
        <v>147</v>
      </c>
      <c r="CF2123" s="3">
        <v>45884</v>
      </c>
      <c r="CI2123">
        <v>1</v>
      </c>
      <c r="CJ2123">
        <v>1</v>
      </c>
      <c r="CK2123">
        <v>21</v>
      </c>
      <c r="CL2123" t="s">
        <v>90</v>
      </c>
    </row>
    <row r="2124" spans="1:90" x14ac:dyDescent="0.3">
      <c r="A2124" t="s">
        <v>72</v>
      </c>
      <c r="B2124" t="s">
        <v>73</v>
      </c>
      <c r="C2124" t="s">
        <v>74</v>
      </c>
      <c r="E2124" t="str">
        <f>"080067245217"</f>
        <v>080067245217</v>
      </c>
      <c r="F2124" s="3">
        <v>45883</v>
      </c>
      <c r="G2124">
        <v>202605</v>
      </c>
      <c r="H2124" t="s">
        <v>75</v>
      </c>
      <c r="I2124" t="s">
        <v>76</v>
      </c>
      <c r="J2124" t="s">
        <v>77</v>
      </c>
      <c r="K2124" t="s">
        <v>78</v>
      </c>
      <c r="L2124" t="s">
        <v>278</v>
      </c>
      <c r="M2124" t="s">
        <v>279</v>
      </c>
      <c r="N2124" t="s">
        <v>1421</v>
      </c>
      <c r="O2124" t="s">
        <v>82</v>
      </c>
      <c r="P2124" t="str">
        <f>"4170054810                    "</f>
        <v xml:space="preserve">4170054810                    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0</v>
      </c>
      <c r="AI2124">
        <v>0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Q2124">
        <v>23.09</v>
      </c>
      <c r="AR2124">
        <v>0</v>
      </c>
      <c r="AS2124">
        <v>0</v>
      </c>
      <c r="AT2124">
        <v>0</v>
      </c>
      <c r="AU2124">
        <v>0</v>
      </c>
      <c r="AV2124">
        <v>0</v>
      </c>
      <c r="AW2124">
        <v>0</v>
      </c>
      <c r="AX2124">
        <v>0</v>
      </c>
      <c r="AY2124">
        <v>0</v>
      </c>
      <c r="AZ2124">
        <v>0</v>
      </c>
      <c r="BA2124">
        <v>0</v>
      </c>
      <c r="BB2124">
        <v>0</v>
      </c>
      <c r="BC2124">
        <v>0</v>
      </c>
      <c r="BD2124">
        <v>0</v>
      </c>
      <c r="BE2124">
        <v>0</v>
      </c>
      <c r="BF2124">
        <v>0</v>
      </c>
      <c r="BG2124">
        <v>0</v>
      </c>
      <c r="BH2124">
        <v>1</v>
      </c>
      <c r="BI2124">
        <v>1</v>
      </c>
      <c r="BJ2124">
        <v>0.2</v>
      </c>
      <c r="BK2124">
        <v>1</v>
      </c>
      <c r="BL2124">
        <v>71.69</v>
      </c>
      <c r="BM2124">
        <v>10.75</v>
      </c>
      <c r="BN2124">
        <v>82.44</v>
      </c>
      <c r="BO2124">
        <v>82.44</v>
      </c>
      <c r="BQ2124" t="s">
        <v>1422</v>
      </c>
      <c r="BR2124" t="s">
        <v>84</v>
      </c>
      <c r="BS2124" s="3">
        <v>45884</v>
      </c>
      <c r="BT2124" s="4">
        <v>0.40555555555555556</v>
      </c>
      <c r="BU2124" t="s">
        <v>2689</v>
      </c>
      <c r="BV2124" t="s">
        <v>86</v>
      </c>
      <c r="BY2124">
        <v>1200</v>
      </c>
      <c r="CA2124" t="s">
        <v>1987</v>
      </c>
      <c r="CC2124" t="s">
        <v>279</v>
      </c>
      <c r="CD2124" s="5" t="s">
        <v>533</v>
      </c>
      <c r="CE2124" t="s">
        <v>109</v>
      </c>
      <c r="CF2124" s="3">
        <v>45884</v>
      </c>
      <c r="CI2124">
        <v>1</v>
      </c>
      <c r="CJ2124">
        <v>1</v>
      </c>
      <c r="CK2124">
        <v>21</v>
      </c>
      <c r="CL2124" t="s">
        <v>90</v>
      </c>
    </row>
    <row r="2125" spans="1:90" x14ac:dyDescent="0.3">
      <c r="A2125" t="s">
        <v>72</v>
      </c>
      <c r="B2125" t="s">
        <v>73</v>
      </c>
      <c r="C2125" t="s">
        <v>74</v>
      </c>
      <c r="E2125" t="str">
        <f>"080067245222"</f>
        <v>080067245222</v>
      </c>
      <c r="F2125" s="3">
        <v>45883</v>
      </c>
      <c r="G2125">
        <v>202605</v>
      </c>
      <c r="H2125" t="s">
        <v>75</v>
      </c>
      <c r="I2125" t="s">
        <v>76</v>
      </c>
      <c r="J2125" t="s">
        <v>77</v>
      </c>
      <c r="K2125" t="s">
        <v>78</v>
      </c>
      <c r="L2125" t="s">
        <v>400</v>
      </c>
      <c r="M2125" t="s">
        <v>401</v>
      </c>
      <c r="N2125" t="s">
        <v>2690</v>
      </c>
      <c r="O2125" t="s">
        <v>82</v>
      </c>
      <c r="P2125" t="str">
        <f>"4170054977                    "</f>
        <v xml:space="preserve">4170054977                    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0</v>
      </c>
      <c r="AI2125">
        <v>0</v>
      </c>
      <c r="AJ2125"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0</v>
      </c>
      <c r="AQ2125">
        <v>23.09</v>
      </c>
      <c r="AR2125">
        <v>0</v>
      </c>
      <c r="AS2125">
        <v>0</v>
      </c>
      <c r="AT2125">
        <v>0</v>
      </c>
      <c r="AU2125">
        <v>0</v>
      </c>
      <c r="AV2125">
        <v>0</v>
      </c>
      <c r="AW2125">
        <v>0</v>
      </c>
      <c r="AX2125">
        <v>0</v>
      </c>
      <c r="AY2125">
        <v>0</v>
      </c>
      <c r="AZ2125">
        <v>0</v>
      </c>
      <c r="BA2125">
        <v>0</v>
      </c>
      <c r="BB2125">
        <v>0</v>
      </c>
      <c r="BC2125">
        <v>0</v>
      </c>
      <c r="BD2125">
        <v>0</v>
      </c>
      <c r="BE2125">
        <v>0</v>
      </c>
      <c r="BF2125">
        <v>0</v>
      </c>
      <c r="BG2125">
        <v>0</v>
      </c>
      <c r="BH2125">
        <v>1</v>
      </c>
      <c r="BI2125">
        <v>1</v>
      </c>
      <c r="BJ2125">
        <v>1.1000000000000001</v>
      </c>
      <c r="BK2125">
        <v>1.5</v>
      </c>
      <c r="BL2125">
        <v>71.69</v>
      </c>
      <c r="BM2125">
        <v>10.75</v>
      </c>
      <c r="BN2125">
        <v>82.44</v>
      </c>
      <c r="BO2125">
        <v>82.44</v>
      </c>
      <c r="BQ2125" t="s">
        <v>2691</v>
      </c>
      <c r="BR2125" t="s">
        <v>84</v>
      </c>
      <c r="BS2125" s="3">
        <v>45884</v>
      </c>
      <c r="BT2125" s="4">
        <v>0.42499999999999999</v>
      </c>
      <c r="BU2125" t="s">
        <v>2692</v>
      </c>
      <c r="BV2125" t="s">
        <v>86</v>
      </c>
      <c r="BY2125">
        <v>5320</v>
      </c>
      <c r="CA2125" t="s">
        <v>405</v>
      </c>
      <c r="CC2125" t="s">
        <v>401</v>
      </c>
      <c r="CD2125">
        <v>6230</v>
      </c>
      <c r="CE2125" t="s">
        <v>147</v>
      </c>
      <c r="CF2125" s="3">
        <v>45884</v>
      </c>
      <c r="CI2125">
        <v>1</v>
      </c>
      <c r="CJ2125">
        <v>1</v>
      </c>
      <c r="CK2125">
        <v>21</v>
      </c>
      <c r="CL2125" t="s">
        <v>90</v>
      </c>
    </row>
    <row r="2126" spans="1:90" x14ac:dyDescent="0.3">
      <c r="A2126" t="s">
        <v>72</v>
      </c>
      <c r="B2126" t="s">
        <v>73</v>
      </c>
      <c r="C2126" t="s">
        <v>74</v>
      </c>
      <c r="E2126" t="str">
        <f>"080067245261"</f>
        <v>080067245261</v>
      </c>
      <c r="F2126" s="3">
        <v>45883</v>
      </c>
      <c r="G2126">
        <v>202605</v>
      </c>
      <c r="H2126" t="s">
        <v>75</v>
      </c>
      <c r="I2126" t="s">
        <v>76</v>
      </c>
      <c r="J2126" t="s">
        <v>77</v>
      </c>
      <c r="K2126" t="s">
        <v>78</v>
      </c>
      <c r="L2126" t="s">
        <v>217</v>
      </c>
      <c r="M2126" t="s">
        <v>218</v>
      </c>
      <c r="N2126" t="s">
        <v>252</v>
      </c>
      <c r="O2126" t="s">
        <v>82</v>
      </c>
      <c r="P2126" t="str">
        <f>"4170054870                    "</f>
        <v xml:space="preserve">4170054870                    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0</v>
      </c>
      <c r="AJ2126">
        <v>0</v>
      </c>
      <c r="AK2126">
        <v>0</v>
      </c>
      <c r="AL2126">
        <v>0</v>
      </c>
      <c r="AM2126">
        <v>0</v>
      </c>
      <c r="AN2126">
        <v>0</v>
      </c>
      <c r="AO2126">
        <v>0</v>
      </c>
      <c r="AP2126">
        <v>0</v>
      </c>
      <c r="AQ2126">
        <v>23.09</v>
      </c>
      <c r="AR2126">
        <v>0</v>
      </c>
      <c r="AS2126">
        <v>0</v>
      </c>
      <c r="AT2126">
        <v>0</v>
      </c>
      <c r="AU2126">
        <v>0</v>
      </c>
      <c r="AV2126">
        <v>0</v>
      </c>
      <c r="AW2126">
        <v>0</v>
      </c>
      <c r="AX2126">
        <v>0</v>
      </c>
      <c r="AY2126">
        <v>0</v>
      </c>
      <c r="AZ2126">
        <v>0</v>
      </c>
      <c r="BA2126">
        <v>0</v>
      </c>
      <c r="BB2126">
        <v>0</v>
      </c>
      <c r="BC2126">
        <v>0</v>
      </c>
      <c r="BD2126">
        <v>0</v>
      </c>
      <c r="BE2126">
        <v>0</v>
      </c>
      <c r="BF2126">
        <v>0</v>
      </c>
      <c r="BG2126">
        <v>0</v>
      </c>
      <c r="BH2126">
        <v>1</v>
      </c>
      <c r="BI2126">
        <v>1</v>
      </c>
      <c r="BJ2126">
        <v>0.2</v>
      </c>
      <c r="BK2126">
        <v>1</v>
      </c>
      <c r="BL2126">
        <v>71.69</v>
      </c>
      <c r="BM2126">
        <v>10.75</v>
      </c>
      <c r="BN2126">
        <v>82.44</v>
      </c>
      <c r="BO2126">
        <v>82.44</v>
      </c>
      <c r="BQ2126" t="s">
        <v>253</v>
      </c>
      <c r="BR2126" t="s">
        <v>84</v>
      </c>
      <c r="BS2126" s="3">
        <v>45884</v>
      </c>
      <c r="BT2126" s="4">
        <v>0.35</v>
      </c>
      <c r="BU2126" t="s">
        <v>2693</v>
      </c>
      <c r="BV2126" t="s">
        <v>86</v>
      </c>
      <c r="BY2126">
        <v>1200</v>
      </c>
      <c r="CA2126" t="s">
        <v>136</v>
      </c>
      <c r="CC2126" t="s">
        <v>218</v>
      </c>
      <c r="CD2126">
        <v>4060</v>
      </c>
      <c r="CE2126" t="s">
        <v>109</v>
      </c>
      <c r="CF2126" s="3">
        <v>45885</v>
      </c>
      <c r="CI2126">
        <v>1</v>
      </c>
      <c r="CJ2126">
        <v>1</v>
      </c>
      <c r="CK2126">
        <v>21</v>
      </c>
      <c r="CL2126" t="s">
        <v>90</v>
      </c>
    </row>
    <row r="2127" spans="1:90" x14ac:dyDescent="0.3">
      <c r="A2127" t="s">
        <v>72</v>
      </c>
      <c r="B2127" t="s">
        <v>73</v>
      </c>
      <c r="C2127" t="s">
        <v>74</v>
      </c>
      <c r="E2127" t="str">
        <f>"080067245268"</f>
        <v>080067245268</v>
      </c>
      <c r="F2127" s="3">
        <v>45883</v>
      </c>
      <c r="G2127">
        <v>202605</v>
      </c>
      <c r="H2127" t="s">
        <v>75</v>
      </c>
      <c r="I2127" t="s">
        <v>76</v>
      </c>
      <c r="J2127" t="s">
        <v>77</v>
      </c>
      <c r="K2127" t="s">
        <v>78</v>
      </c>
      <c r="L2127" t="s">
        <v>278</v>
      </c>
      <c r="M2127" t="s">
        <v>279</v>
      </c>
      <c r="N2127" t="s">
        <v>131</v>
      </c>
      <c r="O2127" t="s">
        <v>82</v>
      </c>
      <c r="P2127" t="str">
        <f>"4170054940                    "</f>
        <v xml:space="preserve">4170054940                    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0</v>
      </c>
      <c r="AQ2127">
        <v>23.09</v>
      </c>
      <c r="AR2127">
        <v>0</v>
      </c>
      <c r="AS2127">
        <v>0</v>
      </c>
      <c r="AT2127">
        <v>0</v>
      </c>
      <c r="AU2127">
        <v>0</v>
      </c>
      <c r="AV2127">
        <v>0</v>
      </c>
      <c r="AW2127">
        <v>0</v>
      </c>
      <c r="AX2127">
        <v>0</v>
      </c>
      <c r="AY2127">
        <v>0</v>
      </c>
      <c r="AZ2127">
        <v>0</v>
      </c>
      <c r="BA2127">
        <v>0</v>
      </c>
      <c r="BB2127">
        <v>0</v>
      </c>
      <c r="BC2127">
        <v>0</v>
      </c>
      <c r="BD2127">
        <v>0</v>
      </c>
      <c r="BE2127">
        <v>0</v>
      </c>
      <c r="BF2127">
        <v>0</v>
      </c>
      <c r="BG2127">
        <v>0</v>
      </c>
      <c r="BH2127">
        <v>1</v>
      </c>
      <c r="BI2127">
        <v>1</v>
      </c>
      <c r="BJ2127">
        <v>1.4</v>
      </c>
      <c r="BK2127">
        <v>1.5</v>
      </c>
      <c r="BL2127">
        <v>71.69</v>
      </c>
      <c r="BM2127">
        <v>10.75</v>
      </c>
      <c r="BN2127">
        <v>82.44</v>
      </c>
      <c r="BO2127">
        <v>82.44</v>
      </c>
      <c r="BQ2127" t="s">
        <v>132</v>
      </c>
      <c r="BR2127" t="s">
        <v>84</v>
      </c>
      <c r="BS2127" s="3">
        <v>45884</v>
      </c>
      <c r="BT2127" s="4">
        <v>0.43611111111111112</v>
      </c>
      <c r="BU2127" t="s">
        <v>2694</v>
      </c>
      <c r="BV2127" t="s">
        <v>86</v>
      </c>
      <c r="BY2127">
        <v>7000</v>
      </c>
      <c r="CA2127" t="s">
        <v>1987</v>
      </c>
      <c r="CC2127" t="s">
        <v>279</v>
      </c>
      <c r="CD2127" s="5" t="s">
        <v>533</v>
      </c>
      <c r="CE2127" t="s">
        <v>147</v>
      </c>
      <c r="CF2127" s="3">
        <v>45884</v>
      </c>
      <c r="CI2127">
        <v>1</v>
      </c>
      <c r="CJ2127">
        <v>1</v>
      </c>
      <c r="CK2127">
        <v>21</v>
      </c>
      <c r="CL2127" t="s">
        <v>90</v>
      </c>
    </row>
    <row r="2128" spans="1:90" x14ac:dyDescent="0.3">
      <c r="A2128" t="s">
        <v>72</v>
      </c>
      <c r="B2128" t="s">
        <v>73</v>
      </c>
      <c r="C2128" t="s">
        <v>74</v>
      </c>
      <c r="E2128" t="str">
        <f>"080067245315"</f>
        <v>080067245315</v>
      </c>
      <c r="F2128" s="3">
        <v>45883</v>
      </c>
      <c r="G2128">
        <v>202605</v>
      </c>
      <c r="H2128" t="s">
        <v>75</v>
      </c>
      <c r="I2128" t="s">
        <v>76</v>
      </c>
      <c r="J2128" t="s">
        <v>77</v>
      </c>
      <c r="K2128" t="s">
        <v>78</v>
      </c>
      <c r="L2128" t="s">
        <v>123</v>
      </c>
      <c r="M2128" t="s">
        <v>124</v>
      </c>
      <c r="N2128" t="s">
        <v>406</v>
      </c>
      <c r="O2128" t="s">
        <v>82</v>
      </c>
      <c r="P2128" t="str">
        <f>"4170054824                    "</f>
        <v xml:space="preserve">4170054824                    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0</v>
      </c>
      <c r="AI2128">
        <v>0</v>
      </c>
      <c r="AJ2128">
        <v>0</v>
      </c>
      <c r="AK2128">
        <v>0</v>
      </c>
      <c r="AL2128">
        <v>0</v>
      </c>
      <c r="AM2128">
        <v>0</v>
      </c>
      <c r="AN2128">
        <v>0</v>
      </c>
      <c r="AO2128">
        <v>0</v>
      </c>
      <c r="AP2128">
        <v>0</v>
      </c>
      <c r="AQ2128">
        <v>23.09</v>
      </c>
      <c r="AR2128">
        <v>0</v>
      </c>
      <c r="AS2128">
        <v>0</v>
      </c>
      <c r="AT2128">
        <v>0</v>
      </c>
      <c r="AU2128">
        <v>0</v>
      </c>
      <c r="AV2128">
        <v>0</v>
      </c>
      <c r="AW2128">
        <v>0</v>
      </c>
      <c r="AX2128">
        <v>0</v>
      </c>
      <c r="AY2128">
        <v>0</v>
      </c>
      <c r="AZ2128">
        <v>0</v>
      </c>
      <c r="BA2128">
        <v>0</v>
      </c>
      <c r="BB2128">
        <v>0</v>
      </c>
      <c r="BC2128">
        <v>0</v>
      </c>
      <c r="BD2128">
        <v>0</v>
      </c>
      <c r="BE2128">
        <v>0</v>
      </c>
      <c r="BF2128">
        <v>0</v>
      </c>
      <c r="BG2128">
        <v>0</v>
      </c>
      <c r="BH2128">
        <v>1</v>
      </c>
      <c r="BI2128">
        <v>1</v>
      </c>
      <c r="BJ2128">
        <v>0.2</v>
      </c>
      <c r="BK2128">
        <v>1</v>
      </c>
      <c r="BL2128">
        <v>71.69</v>
      </c>
      <c r="BM2128">
        <v>10.75</v>
      </c>
      <c r="BN2128">
        <v>82.44</v>
      </c>
      <c r="BO2128">
        <v>82.44</v>
      </c>
      <c r="BQ2128" t="s">
        <v>407</v>
      </c>
      <c r="BR2128" t="s">
        <v>84</v>
      </c>
      <c r="BS2128" s="3">
        <v>45884</v>
      </c>
      <c r="BT2128" s="4">
        <v>0.42916666666666664</v>
      </c>
      <c r="BU2128" t="s">
        <v>408</v>
      </c>
      <c r="BV2128" t="s">
        <v>86</v>
      </c>
      <c r="BY2128">
        <v>1200</v>
      </c>
      <c r="CA2128" t="s">
        <v>192</v>
      </c>
      <c r="CC2128" t="s">
        <v>124</v>
      </c>
      <c r="CD2128">
        <v>7441</v>
      </c>
      <c r="CE2128" t="s">
        <v>109</v>
      </c>
      <c r="CF2128" s="3">
        <v>45887</v>
      </c>
      <c r="CI2128">
        <v>1</v>
      </c>
      <c r="CJ2128">
        <v>1</v>
      </c>
      <c r="CK2128">
        <v>21</v>
      </c>
      <c r="CL2128" t="s">
        <v>90</v>
      </c>
    </row>
    <row r="2129" spans="1:90" x14ac:dyDescent="0.3">
      <c r="A2129" t="s">
        <v>72</v>
      </c>
      <c r="B2129" t="s">
        <v>73</v>
      </c>
      <c r="C2129" t="s">
        <v>74</v>
      </c>
      <c r="E2129" t="str">
        <f>"080067245328"</f>
        <v>080067245328</v>
      </c>
      <c r="F2129" s="3">
        <v>45883</v>
      </c>
      <c r="G2129">
        <v>202605</v>
      </c>
      <c r="H2129" t="s">
        <v>75</v>
      </c>
      <c r="I2129" t="s">
        <v>76</v>
      </c>
      <c r="J2129" t="s">
        <v>77</v>
      </c>
      <c r="K2129" t="s">
        <v>78</v>
      </c>
      <c r="L2129" t="s">
        <v>319</v>
      </c>
      <c r="M2129" t="s">
        <v>320</v>
      </c>
      <c r="N2129" t="s">
        <v>321</v>
      </c>
      <c r="O2129" t="s">
        <v>82</v>
      </c>
      <c r="P2129" t="str">
        <f>"4170055020                    "</f>
        <v xml:space="preserve">4170055020                    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0</v>
      </c>
      <c r="AI2129">
        <v>0</v>
      </c>
      <c r="AJ2129">
        <v>0</v>
      </c>
      <c r="AK2129">
        <v>0</v>
      </c>
      <c r="AL2129">
        <v>0</v>
      </c>
      <c r="AM2129">
        <v>0</v>
      </c>
      <c r="AN2129">
        <v>0</v>
      </c>
      <c r="AO2129">
        <v>0</v>
      </c>
      <c r="AP2129">
        <v>0</v>
      </c>
      <c r="AQ2129">
        <v>44.73</v>
      </c>
      <c r="AR2129">
        <v>0</v>
      </c>
      <c r="AS2129">
        <v>0</v>
      </c>
      <c r="AT2129">
        <v>0</v>
      </c>
      <c r="AU2129">
        <v>0</v>
      </c>
      <c r="AV2129">
        <v>0</v>
      </c>
      <c r="AW2129">
        <v>0</v>
      </c>
      <c r="AX2129">
        <v>0</v>
      </c>
      <c r="AY2129">
        <v>0</v>
      </c>
      <c r="AZ2129">
        <v>0</v>
      </c>
      <c r="BA2129">
        <v>0</v>
      </c>
      <c r="BB2129">
        <v>0</v>
      </c>
      <c r="BC2129">
        <v>0</v>
      </c>
      <c r="BD2129">
        <v>0</v>
      </c>
      <c r="BE2129">
        <v>0</v>
      </c>
      <c r="BF2129">
        <v>0</v>
      </c>
      <c r="BG2129">
        <v>0</v>
      </c>
      <c r="BH2129">
        <v>1</v>
      </c>
      <c r="BI2129">
        <v>1</v>
      </c>
      <c r="BJ2129">
        <v>0.6</v>
      </c>
      <c r="BK2129">
        <v>1</v>
      </c>
      <c r="BL2129">
        <v>138.88999999999999</v>
      </c>
      <c r="BM2129">
        <v>20.83</v>
      </c>
      <c r="BN2129">
        <v>159.72</v>
      </c>
      <c r="BO2129">
        <v>159.72</v>
      </c>
      <c r="BQ2129" t="s">
        <v>322</v>
      </c>
      <c r="BR2129" t="s">
        <v>84</v>
      </c>
      <c r="BS2129" s="3">
        <v>45884</v>
      </c>
      <c r="BT2129" s="4">
        <v>0.4465277777777778</v>
      </c>
      <c r="BU2129" t="s">
        <v>2213</v>
      </c>
      <c r="BV2129" t="s">
        <v>86</v>
      </c>
      <c r="BY2129">
        <v>3192</v>
      </c>
      <c r="CA2129" t="s">
        <v>324</v>
      </c>
      <c r="CC2129" t="s">
        <v>320</v>
      </c>
      <c r="CD2129">
        <v>2531</v>
      </c>
      <c r="CE2129" t="s">
        <v>147</v>
      </c>
      <c r="CF2129" s="3">
        <v>45887</v>
      </c>
      <c r="CI2129">
        <v>1</v>
      </c>
      <c r="CJ2129">
        <v>1</v>
      </c>
      <c r="CK2129">
        <v>23</v>
      </c>
      <c r="CL2129" t="s">
        <v>90</v>
      </c>
    </row>
    <row r="2130" spans="1:90" x14ac:dyDescent="0.3">
      <c r="A2130" t="s">
        <v>72</v>
      </c>
      <c r="B2130" t="s">
        <v>73</v>
      </c>
      <c r="C2130" t="s">
        <v>74</v>
      </c>
      <c r="E2130" t="str">
        <f>"080067245378"</f>
        <v>080067245378</v>
      </c>
      <c r="F2130" s="3">
        <v>45883</v>
      </c>
      <c r="G2130">
        <v>202605</v>
      </c>
      <c r="H2130" t="s">
        <v>75</v>
      </c>
      <c r="I2130" t="s">
        <v>76</v>
      </c>
      <c r="J2130" t="s">
        <v>77</v>
      </c>
      <c r="K2130" t="s">
        <v>78</v>
      </c>
      <c r="L2130" t="s">
        <v>1254</v>
      </c>
      <c r="M2130" t="s">
        <v>1255</v>
      </c>
      <c r="N2130" t="s">
        <v>1780</v>
      </c>
      <c r="O2130" t="s">
        <v>82</v>
      </c>
      <c r="P2130" t="str">
        <f>"4170054750                    "</f>
        <v xml:space="preserve">4170054750                    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0</v>
      </c>
      <c r="AL2130">
        <v>0</v>
      </c>
      <c r="AM2130">
        <v>0</v>
      </c>
      <c r="AN2130">
        <v>0</v>
      </c>
      <c r="AO2130">
        <v>0</v>
      </c>
      <c r="AP2130">
        <v>0</v>
      </c>
      <c r="AQ2130">
        <v>44.73</v>
      </c>
      <c r="AR2130">
        <v>0</v>
      </c>
      <c r="AS2130">
        <v>0</v>
      </c>
      <c r="AT2130">
        <v>0</v>
      </c>
      <c r="AU2130">
        <v>0</v>
      </c>
      <c r="AV2130">
        <v>0</v>
      </c>
      <c r="AW2130">
        <v>0</v>
      </c>
      <c r="AX2130">
        <v>0</v>
      </c>
      <c r="AY2130">
        <v>0</v>
      </c>
      <c r="AZ2130">
        <v>0</v>
      </c>
      <c r="BA2130">
        <v>0</v>
      </c>
      <c r="BB2130">
        <v>0</v>
      </c>
      <c r="BC2130">
        <v>0</v>
      </c>
      <c r="BD2130">
        <v>0</v>
      </c>
      <c r="BE2130">
        <v>0</v>
      </c>
      <c r="BF2130">
        <v>0</v>
      </c>
      <c r="BG2130">
        <v>0</v>
      </c>
      <c r="BH2130">
        <v>1</v>
      </c>
      <c r="BI2130">
        <v>1</v>
      </c>
      <c r="BJ2130">
        <v>1.1000000000000001</v>
      </c>
      <c r="BK2130">
        <v>1.5</v>
      </c>
      <c r="BL2130">
        <v>138.88999999999999</v>
      </c>
      <c r="BM2130">
        <v>20.83</v>
      </c>
      <c r="BN2130">
        <v>159.72</v>
      </c>
      <c r="BO2130">
        <v>159.72</v>
      </c>
      <c r="BQ2130" t="s">
        <v>1781</v>
      </c>
      <c r="BR2130" t="s">
        <v>84</v>
      </c>
      <c r="BS2130" s="3">
        <v>45887</v>
      </c>
      <c r="BT2130" s="4">
        <v>0.46666666666666667</v>
      </c>
      <c r="BU2130" t="s">
        <v>2631</v>
      </c>
      <c r="BV2130" t="s">
        <v>90</v>
      </c>
      <c r="BY2130">
        <v>5320</v>
      </c>
      <c r="CC2130" t="s">
        <v>1255</v>
      </c>
      <c r="CD2130">
        <v>3280</v>
      </c>
      <c r="CE2130" t="s">
        <v>147</v>
      </c>
      <c r="CF2130" s="3">
        <v>45888</v>
      </c>
      <c r="CI2130">
        <v>1</v>
      </c>
      <c r="CJ2130">
        <v>2</v>
      </c>
      <c r="CK2130">
        <v>23</v>
      </c>
      <c r="CL2130" t="s">
        <v>90</v>
      </c>
    </row>
    <row r="2131" spans="1:90" x14ac:dyDescent="0.3">
      <c r="A2131" t="s">
        <v>72</v>
      </c>
      <c r="B2131" t="s">
        <v>73</v>
      </c>
      <c r="C2131" t="s">
        <v>74</v>
      </c>
      <c r="E2131" t="str">
        <f>"080067245380"</f>
        <v>080067245380</v>
      </c>
      <c r="F2131" s="3">
        <v>45883</v>
      </c>
      <c r="G2131">
        <v>202605</v>
      </c>
      <c r="H2131" t="s">
        <v>75</v>
      </c>
      <c r="I2131" t="s">
        <v>76</v>
      </c>
      <c r="J2131" t="s">
        <v>77</v>
      </c>
      <c r="K2131" t="s">
        <v>78</v>
      </c>
      <c r="L2131" t="s">
        <v>520</v>
      </c>
      <c r="M2131" t="s">
        <v>521</v>
      </c>
      <c r="N2131" t="s">
        <v>522</v>
      </c>
      <c r="O2131" t="s">
        <v>82</v>
      </c>
      <c r="P2131" t="str">
        <f>"4170054805                    "</f>
        <v xml:space="preserve">4170054805                    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0</v>
      </c>
      <c r="AL2131">
        <v>0</v>
      </c>
      <c r="AM2131">
        <v>0</v>
      </c>
      <c r="AN2131">
        <v>0</v>
      </c>
      <c r="AO2131">
        <v>0</v>
      </c>
      <c r="AP2131">
        <v>0</v>
      </c>
      <c r="AQ2131">
        <v>44.73</v>
      </c>
      <c r="AR2131">
        <v>0</v>
      </c>
      <c r="AS2131">
        <v>0</v>
      </c>
      <c r="AT2131">
        <v>0</v>
      </c>
      <c r="AU2131">
        <v>0</v>
      </c>
      <c r="AV2131">
        <v>0</v>
      </c>
      <c r="AW2131">
        <v>0</v>
      </c>
      <c r="AX2131">
        <v>0</v>
      </c>
      <c r="AY2131">
        <v>0</v>
      </c>
      <c r="AZ2131">
        <v>0</v>
      </c>
      <c r="BA2131">
        <v>0</v>
      </c>
      <c r="BB2131">
        <v>0</v>
      </c>
      <c r="BC2131">
        <v>0</v>
      </c>
      <c r="BD2131">
        <v>0</v>
      </c>
      <c r="BE2131">
        <v>0</v>
      </c>
      <c r="BF2131">
        <v>0</v>
      </c>
      <c r="BG2131">
        <v>0</v>
      </c>
      <c r="BH2131">
        <v>1</v>
      </c>
      <c r="BI2131">
        <v>1</v>
      </c>
      <c r="BJ2131">
        <v>0.2</v>
      </c>
      <c r="BK2131">
        <v>1</v>
      </c>
      <c r="BL2131">
        <v>138.88999999999999</v>
      </c>
      <c r="BM2131">
        <v>20.83</v>
      </c>
      <c r="BN2131">
        <v>159.72</v>
      </c>
      <c r="BO2131">
        <v>159.72</v>
      </c>
      <c r="BQ2131" t="s">
        <v>523</v>
      </c>
      <c r="BR2131" t="s">
        <v>84</v>
      </c>
      <c r="BS2131" s="3">
        <v>45884</v>
      </c>
      <c r="BT2131" s="4">
        <v>0.4375</v>
      </c>
      <c r="BU2131" t="s">
        <v>2695</v>
      </c>
      <c r="BV2131" t="s">
        <v>86</v>
      </c>
      <c r="BY2131">
        <v>1200</v>
      </c>
      <c r="CA2131" t="s">
        <v>525</v>
      </c>
      <c r="CC2131" t="s">
        <v>521</v>
      </c>
      <c r="CD2131">
        <v>1871</v>
      </c>
      <c r="CE2131" t="s">
        <v>109</v>
      </c>
      <c r="CF2131" s="3">
        <v>45887</v>
      </c>
      <c r="CI2131">
        <v>1</v>
      </c>
      <c r="CJ2131">
        <v>1</v>
      </c>
      <c r="CK2131">
        <v>23</v>
      </c>
      <c r="CL2131" t="s">
        <v>90</v>
      </c>
    </row>
    <row r="2132" spans="1:90" x14ac:dyDescent="0.3">
      <c r="A2132" t="s">
        <v>72</v>
      </c>
      <c r="B2132" t="s">
        <v>73</v>
      </c>
      <c r="C2132" t="s">
        <v>74</v>
      </c>
      <c r="E2132" t="str">
        <f>"080067245427"</f>
        <v>080067245427</v>
      </c>
      <c r="F2132" s="3">
        <v>45883</v>
      </c>
      <c r="G2132">
        <v>202605</v>
      </c>
      <c r="H2132" t="s">
        <v>75</v>
      </c>
      <c r="I2132" t="s">
        <v>76</v>
      </c>
      <c r="J2132" t="s">
        <v>77</v>
      </c>
      <c r="K2132" t="s">
        <v>78</v>
      </c>
      <c r="L2132" t="s">
        <v>373</v>
      </c>
      <c r="M2132" t="s">
        <v>374</v>
      </c>
      <c r="N2132" t="s">
        <v>383</v>
      </c>
      <c r="O2132" t="s">
        <v>82</v>
      </c>
      <c r="P2132" t="str">
        <f>"4170054833                    "</f>
        <v xml:space="preserve">4170054833                    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0</v>
      </c>
      <c r="AL2132">
        <v>0</v>
      </c>
      <c r="AM2132">
        <v>0</v>
      </c>
      <c r="AN2132">
        <v>0</v>
      </c>
      <c r="AO2132">
        <v>0</v>
      </c>
      <c r="AP2132">
        <v>0</v>
      </c>
      <c r="AQ2132">
        <v>23.09</v>
      </c>
      <c r="AR2132">
        <v>0</v>
      </c>
      <c r="AS2132">
        <v>0</v>
      </c>
      <c r="AT2132">
        <v>0</v>
      </c>
      <c r="AU2132">
        <v>0</v>
      </c>
      <c r="AV2132">
        <v>0</v>
      </c>
      <c r="AW2132">
        <v>0</v>
      </c>
      <c r="AX2132">
        <v>0</v>
      </c>
      <c r="AY2132">
        <v>0</v>
      </c>
      <c r="AZ2132">
        <v>0</v>
      </c>
      <c r="BA2132">
        <v>0</v>
      </c>
      <c r="BB2132">
        <v>0</v>
      </c>
      <c r="BC2132">
        <v>0</v>
      </c>
      <c r="BD2132">
        <v>0</v>
      </c>
      <c r="BE2132">
        <v>0</v>
      </c>
      <c r="BF2132">
        <v>0</v>
      </c>
      <c r="BG2132">
        <v>0</v>
      </c>
      <c r="BH2132">
        <v>1</v>
      </c>
      <c r="BI2132">
        <v>1</v>
      </c>
      <c r="BJ2132">
        <v>0.2</v>
      </c>
      <c r="BK2132">
        <v>1</v>
      </c>
      <c r="BL2132">
        <v>71.69</v>
      </c>
      <c r="BM2132">
        <v>10.75</v>
      </c>
      <c r="BN2132">
        <v>82.44</v>
      </c>
      <c r="BO2132">
        <v>82.44</v>
      </c>
      <c r="BQ2132" t="s">
        <v>384</v>
      </c>
      <c r="BR2132" t="s">
        <v>84</v>
      </c>
      <c r="BS2132" s="3">
        <v>45884</v>
      </c>
      <c r="BT2132" s="4">
        <v>0.47847222222222224</v>
      </c>
      <c r="BU2132" t="s">
        <v>2618</v>
      </c>
      <c r="BV2132" t="s">
        <v>90</v>
      </c>
      <c r="BY2132">
        <v>1200</v>
      </c>
      <c r="CA2132" t="s">
        <v>203</v>
      </c>
      <c r="CC2132" t="s">
        <v>374</v>
      </c>
      <c r="CD2132">
        <v>6220</v>
      </c>
      <c r="CE2132" t="s">
        <v>109</v>
      </c>
      <c r="CF2132" s="3">
        <v>45884</v>
      </c>
      <c r="CI2132">
        <v>1</v>
      </c>
      <c r="CJ2132">
        <v>1</v>
      </c>
      <c r="CK2132">
        <v>21</v>
      </c>
      <c r="CL2132" t="s">
        <v>90</v>
      </c>
    </row>
    <row r="2133" spans="1:90" x14ac:dyDescent="0.3">
      <c r="A2133" t="s">
        <v>72</v>
      </c>
      <c r="B2133" t="s">
        <v>73</v>
      </c>
      <c r="C2133" t="s">
        <v>74</v>
      </c>
      <c r="E2133" t="str">
        <f>"080067245439"</f>
        <v>080067245439</v>
      </c>
      <c r="F2133" s="3">
        <v>45883</v>
      </c>
      <c r="G2133">
        <v>202605</v>
      </c>
      <c r="H2133" t="s">
        <v>75</v>
      </c>
      <c r="I2133" t="s">
        <v>76</v>
      </c>
      <c r="J2133" t="s">
        <v>77</v>
      </c>
      <c r="K2133" t="s">
        <v>78</v>
      </c>
      <c r="L2133" t="s">
        <v>162</v>
      </c>
      <c r="M2133" t="s">
        <v>163</v>
      </c>
      <c r="N2133" t="s">
        <v>902</v>
      </c>
      <c r="O2133" t="s">
        <v>82</v>
      </c>
      <c r="P2133" t="str">
        <f>"4170054746                    "</f>
        <v xml:space="preserve">4170054746                    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0</v>
      </c>
      <c r="AI2133">
        <v>0</v>
      </c>
      <c r="AJ2133">
        <v>0</v>
      </c>
      <c r="AK2133">
        <v>0</v>
      </c>
      <c r="AL2133">
        <v>0</v>
      </c>
      <c r="AM2133">
        <v>0</v>
      </c>
      <c r="AN2133">
        <v>0</v>
      </c>
      <c r="AO2133">
        <v>0</v>
      </c>
      <c r="AP2133">
        <v>0</v>
      </c>
      <c r="AQ2133">
        <v>23.09</v>
      </c>
      <c r="AR2133">
        <v>0</v>
      </c>
      <c r="AS2133">
        <v>0</v>
      </c>
      <c r="AT2133">
        <v>0</v>
      </c>
      <c r="AU2133">
        <v>0</v>
      </c>
      <c r="AV2133">
        <v>0</v>
      </c>
      <c r="AW2133">
        <v>0</v>
      </c>
      <c r="AX2133">
        <v>0</v>
      </c>
      <c r="AY2133">
        <v>0</v>
      </c>
      <c r="AZ2133">
        <v>0</v>
      </c>
      <c r="BA2133">
        <v>0</v>
      </c>
      <c r="BB2133">
        <v>0</v>
      </c>
      <c r="BC2133">
        <v>0</v>
      </c>
      <c r="BD2133">
        <v>0</v>
      </c>
      <c r="BE2133">
        <v>0</v>
      </c>
      <c r="BF2133">
        <v>0</v>
      </c>
      <c r="BG2133">
        <v>0</v>
      </c>
      <c r="BH2133">
        <v>1</v>
      </c>
      <c r="BI2133">
        <v>1</v>
      </c>
      <c r="BJ2133">
        <v>1.1000000000000001</v>
      </c>
      <c r="BK2133">
        <v>1.5</v>
      </c>
      <c r="BL2133">
        <v>71.69</v>
      </c>
      <c r="BM2133">
        <v>10.75</v>
      </c>
      <c r="BN2133">
        <v>82.44</v>
      </c>
      <c r="BO2133">
        <v>82.44</v>
      </c>
      <c r="BQ2133" t="s">
        <v>903</v>
      </c>
      <c r="BR2133" t="s">
        <v>84</v>
      </c>
      <c r="BS2133" s="3">
        <v>45884</v>
      </c>
      <c r="BT2133" s="4">
        <v>0.41666666666666669</v>
      </c>
      <c r="BU2133" t="s">
        <v>2661</v>
      </c>
      <c r="BV2133" t="s">
        <v>86</v>
      </c>
      <c r="BY2133">
        <v>5320</v>
      </c>
      <c r="CA2133" t="s">
        <v>919</v>
      </c>
      <c r="CC2133" t="s">
        <v>163</v>
      </c>
      <c r="CD2133">
        <v>3201</v>
      </c>
      <c r="CE2133" t="s">
        <v>147</v>
      </c>
      <c r="CF2133" s="3">
        <v>45885</v>
      </c>
      <c r="CI2133">
        <v>1</v>
      </c>
      <c r="CJ2133">
        <v>1</v>
      </c>
      <c r="CK2133">
        <v>21</v>
      </c>
      <c r="CL2133" t="s">
        <v>90</v>
      </c>
    </row>
    <row r="2134" spans="1:90" x14ac:dyDescent="0.3">
      <c r="A2134" t="s">
        <v>72</v>
      </c>
      <c r="B2134" t="s">
        <v>73</v>
      </c>
      <c r="C2134" t="s">
        <v>74</v>
      </c>
      <c r="E2134" t="str">
        <f>"080067245484"</f>
        <v>080067245484</v>
      </c>
      <c r="F2134" s="3">
        <v>45883</v>
      </c>
      <c r="G2134">
        <v>202605</v>
      </c>
      <c r="H2134" t="s">
        <v>75</v>
      </c>
      <c r="I2134" t="s">
        <v>76</v>
      </c>
      <c r="J2134" t="s">
        <v>77</v>
      </c>
      <c r="K2134" t="s">
        <v>78</v>
      </c>
      <c r="L2134" t="s">
        <v>123</v>
      </c>
      <c r="M2134" t="s">
        <v>124</v>
      </c>
      <c r="N2134" t="s">
        <v>1488</v>
      </c>
      <c r="O2134" t="s">
        <v>82</v>
      </c>
      <c r="P2134" t="str">
        <f>"4170054891                    "</f>
        <v xml:space="preserve">4170054891                    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0</v>
      </c>
      <c r="AI2134">
        <v>0</v>
      </c>
      <c r="AJ2134">
        <v>0</v>
      </c>
      <c r="AK2134">
        <v>0</v>
      </c>
      <c r="AL2134">
        <v>0</v>
      </c>
      <c r="AM2134">
        <v>0</v>
      </c>
      <c r="AN2134">
        <v>0</v>
      </c>
      <c r="AO2134">
        <v>0</v>
      </c>
      <c r="AP2134">
        <v>0</v>
      </c>
      <c r="AQ2134">
        <v>23.09</v>
      </c>
      <c r="AR2134">
        <v>0</v>
      </c>
      <c r="AS2134">
        <v>0</v>
      </c>
      <c r="AT2134">
        <v>0</v>
      </c>
      <c r="AU2134">
        <v>0</v>
      </c>
      <c r="AV2134">
        <v>0</v>
      </c>
      <c r="AW2134">
        <v>0</v>
      </c>
      <c r="AX2134">
        <v>0</v>
      </c>
      <c r="AY2134">
        <v>0</v>
      </c>
      <c r="AZ2134">
        <v>0</v>
      </c>
      <c r="BA2134">
        <v>0</v>
      </c>
      <c r="BB2134">
        <v>0</v>
      </c>
      <c r="BC2134">
        <v>0</v>
      </c>
      <c r="BD2134">
        <v>0</v>
      </c>
      <c r="BE2134">
        <v>0</v>
      </c>
      <c r="BF2134">
        <v>0</v>
      </c>
      <c r="BG2134">
        <v>0</v>
      </c>
      <c r="BH2134">
        <v>1</v>
      </c>
      <c r="BI2134">
        <v>1</v>
      </c>
      <c r="BJ2134">
        <v>0.2</v>
      </c>
      <c r="BK2134">
        <v>1</v>
      </c>
      <c r="BL2134">
        <v>71.69</v>
      </c>
      <c r="BM2134">
        <v>10.75</v>
      </c>
      <c r="BN2134">
        <v>82.44</v>
      </c>
      <c r="BO2134">
        <v>82.44</v>
      </c>
      <c r="BQ2134" t="s">
        <v>1489</v>
      </c>
      <c r="BR2134" t="s">
        <v>84</v>
      </c>
      <c r="BS2134" s="3">
        <v>45884</v>
      </c>
      <c r="BT2134" s="4">
        <v>0.43055555555555558</v>
      </c>
      <c r="BU2134" t="s">
        <v>1490</v>
      </c>
      <c r="BV2134" t="s">
        <v>86</v>
      </c>
      <c r="BY2134">
        <v>1200</v>
      </c>
      <c r="CA2134" t="s">
        <v>1111</v>
      </c>
      <c r="CC2134" t="s">
        <v>124</v>
      </c>
      <c r="CD2134">
        <v>7800</v>
      </c>
      <c r="CE2134" t="s">
        <v>109</v>
      </c>
      <c r="CF2134" s="3">
        <v>45887</v>
      </c>
      <c r="CI2134">
        <v>1</v>
      </c>
      <c r="CJ2134">
        <v>1</v>
      </c>
      <c r="CK2134">
        <v>21</v>
      </c>
      <c r="CL2134" t="s">
        <v>90</v>
      </c>
    </row>
    <row r="2135" spans="1:90" x14ac:dyDescent="0.3">
      <c r="A2135" t="s">
        <v>72</v>
      </c>
      <c r="B2135" t="s">
        <v>73</v>
      </c>
      <c r="C2135" t="s">
        <v>74</v>
      </c>
      <c r="E2135" t="str">
        <f>"080067245555"</f>
        <v>080067245555</v>
      </c>
      <c r="F2135" s="3">
        <v>45883</v>
      </c>
      <c r="G2135">
        <v>202605</v>
      </c>
      <c r="H2135" t="s">
        <v>75</v>
      </c>
      <c r="I2135" t="s">
        <v>76</v>
      </c>
      <c r="J2135" t="s">
        <v>77</v>
      </c>
      <c r="K2135" t="s">
        <v>78</v>
      </c>
      <c r="L2135" t="s">
        <v>278</v>
      </c>
      <c r="M2135" t="s">
        <v>279</v>
      </c>
      <c r="N2135" t="s">
        <v>749</v>
      </c>
      <c r="O2135" t="s">
        <v>82</v>
      </c>
      <c r="P2135" t="str">
        <f>"4170054936                    "</f>
        <v xml:space="preserve">4170054936                    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0</v>
      </c>
      <c r="AI2135">
        <v>0</v>
      </c>
      <c r="AJ2135">
        <v>0</v>
      </c>
      <c r="AK2135">
        <v>0</v>
      </c>
      <c r="AL2135">
        <v>0</v>
      </c>
      <c r="AM2135">
        <v>0</v>
      </c>
      <c r="AN2135">
        <v>0</v>
      </c>
      <c r="AO2135">
        <v>0</v>
      </c>
      <c r="AP2135">
        <v>0</v>
      </c>
      <c r="AQ2135">
        <v>23.09</v>
      </c>
      <c r="AR2135">
        <v>0</v>
      </c>
      <c r="AS2135">
        <v>0</v>
      </c>
      <c r="AT2135">
        <v>0</v>
      </c>
      <c r="AU2135">
        <v>0</v>
      </c>
      <c r="AV2135">
        <v>0</v>
      </c>
      <c r="AW2135">
        <v>0</v>
      </c>
      <c r="AX2135">
        <v>0</v>
      </c>
      <c r="AY2135">
        <v>0</v>
      </c>
      <c r="AZ2135">
        <v>0</v>
      </c>
      <c r="BA2135">
        <v>0</v>
      </c>
      <c r="BB2135">
        <v>0</v>
      </c>
      <c r="BC2135">
        <v>0</v>
      </c>
      <c r="BD2135">
        <v>0</v>
      </c>
      <c r="BE2135">
        <v>0</v>
      </c>
      <c r="BF2135">
        <v>0</v>
      </c>
      <c r="BG2135">
        <v>0</v>
      </c>
      <c r="BH2135">
        <v>1</v>
      </c>
      <c r="BI2135">
        <v>1</v>
      </c>
      <c r="BJ2135">
        <v>0.2</v>
      </c>
      <c r="BK2135">
        <v>1</v>
      </c>
      <c r="BL2135">
        <v>71.69</v>
      </c>
      <c r="BM2135">
        <v>10.75</v>
      </c>
      <c r="BN2135">
        <v>82.44</v>
      </c>
      <c r="BO2135">
        <v>82.44</v>
      </c>
      <c r="BQ2135" t="s">
        <v>750</v>
      </c>
      <c r="BR2135" t="s">
        <v>84</v>
      </c>
      <c r="BS2135" s="3">
        <v>45884</v>
      </c>
      <c r="BT2135" s="4">
        <v>0.47083333333333333</v>
      </c>
      <c r="BU2135" t="s">
        <v>991</v>
      </c>
      <c r="BV2135" t="s">
        <v>90</v>
      </c>
      <c r="BY2135">
        <v>1200</v>
      </c>
      <c r="CA2135" t="s">
        <v>283</v>
      </c>
      <c r="CC2135" t="s">
        <v>279</v>
      </c>
      <c r="CD2135" s="5" t="s">
        <v>1042</v>
      </c>
      <c r="CE2135" t="s">
        <v>109</v>
      </c>
      <c r="CF2135" s="3">
        <v>45884</v>
      </c>
      <c r="CI2135">
        <v>1</v>
      </c>
      <c r="CJ2135">
        <v>1</v>
      </c>
      <c r="CK2135">
        <v>21</v>
      </c>
      <c r="CL2135" t="s">
        <v>90</v>
      </c>
    </row>
    <row r="2136" spans="1:90" x14ac:dyDescent="0.3">
      <c r="A2136" t="s">
        <v>72</v>
      </c>
      <c r="B2136" t="s">
        <v>73</v>
      </c>
      <c r="C2136" t="s">
        <v>74</v>
      </c>
      <c r="E2136" t="str">
        <f>"080067245568"</f>
        <v>080067245568</v>
      </c>
      <c r="F2136" s="3">
        <v>45883</v>
      </c>
      <c r="G2136">
        <v>202605</v>
      </c>
      <c r="H2136" t="s">
        <v>75</v>
      </c>
      <c r="I2136" t="s">
        <v>76</v>
      </c>
      <c r="J2136" t="s">
        <v>77</v>
      </c>
      <c r="K2136" t="s">
        <v>78</v>
      </c>
      <c r="L2136" t="s">
        <v>278</v>
      </c>
      <c r="M2136" t="s">
        <v>279</v>
      </c>
      <c r="N2136" t="s">
        <v>2696</v>
      </c>
      <c r="O2136" t="s">
        <v>95</v>
      </c>
      <c r="P2136" t="str">
        <f>"4170054531                    "</f>
        <v xml:space="preserve">4170054531                    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0</v>
      </c>
      <c r="AI2136">
        <v>0</v>
      </c>
      <c r="AJ2136">
        <v>0</v>
      </c>
      <c r="AK2136">
        <v>0</v>
      </c>
      <c r="AL2136">
        <v>0</v>
      </c>
      <c r="AM2136">
        <v>0</v>
      </c>
      <c r="AN2136">
        <v>0</v>
      </c>
      <c r="AO2136">
        <v>0</v>
      </c>
      <c r="AP2136">
        <v>0</v>
      </c>
      <c r="AQ2136">
        <v>63.07</v>
      </c>
      <c r="AR2136">
        <v>0</v>
      </c>
      <c r="AS2136">
        <v>0</v>
      </c>
      <c r="AT2136">
        <v>0</v>
      </c>
      <c r="AU2136">
        <v>0</v>
      </c>
      <c r="AV2136">
        <v>0</v>
      </c>
      <c r="AW2136">
        <v>0</v>
      </c>
      <c r="AX2136">
        <v>0</v>
      </c>
      <c r="AY2136">
        <v>0</v>
      </c>
      <c r="AZ2136">
        <v>0</v>
      </c>
      <c r="BA2136">
        <v>0</v>
      </c>
      <c r="BB2136">
        <v>0</v>
      </c>
      <c r="BC2136">
        <v>0</v>
      </c>
      <c r="BD2136">
        <v>0</v>
      </c>
      <c r="BE2136">
        <v>0</v>
      </c>
      <c r="BF2136">
        <v>0</v>
      </c>
      <c r="BG2136">
        <v>0</v>
      </c>
      <c r="BH2136">
        <v>1</v>
      </c>
      <c r="BI2136">
        <v>25</v>
      </c>
      <c r="BJ2136">
        <v>14.5</v>
      </c>
      <c r="BK2136">
        <v>25</v>
      </c>
      <c r="BL2136">
        <v>201.72</v>
      </c>
      <c r="BM2136">
        <v>30.26</v>
      </c>
      <c r="BN2136">
        <v>231.98</v>
      </c>
      <c r="BO2136">
        <v>231.98</v>
      </c>
      <c r="BQ2136" t="s">
        <v>2697</v>
      </c>
      <c r="BR2136" t="s">
        <v>84</v>
      </c>
      <c r="BS2136" s="3">
        <v>45884</v>
      </c>
      <c r="BT2136" s="4">
        <v>0.3263888888888889</v>
      </c>
      <c r="BU2136" t="s">
        <v>2614</v>
      </c>
      <c r="BV2136" t="s">
        <v>86</v>
      </c>
      <c r="BY2136">
        <v>72540</v>
      </c>
      <c r="CA2136" t="s">
        <v>2615</v>
      </c>
      <c r="CC2136" t="s">
        <v>279</v>
      </c>
      <c r="CD2136" s="5" t="s">
        <v>883</v>
      </c>
      <c r="CE2136" t="s">
        <v>147</v>
      </c>
      <c r="CF2136" s="3">
        <v>45884</v>
      </c>
      <c r="CI2136">
        <v>1</v>
      </c>
      <c r="CJ2136">
        <v>1</v>
      </c>
      <c r="CK2136">
        <v>41</v>
      </c>
      <c r="CL2136" t="s">
        <v>90</v>
      </c>
    </row>
    <row r="2137" spans="1:90" x14ac:dyDescent="0.3">
      <c r="A2137" t="s">
        <v>72</v>
      </c>
      <c r="B2137" t="s">
        <v>73</v>
      </c>
      <c r="C2137" t="s">
        <v>74</v>
      </c>
      <c r="E2137" t="str">
        <f>"080067245578"</f>
        <v>080067245578</v>
      </c>
      <c r="F2137" s="3">
        <v>45883</v>
      </c>
      <c r="G2137">
        <v>202605</v>
      </c>
      <c r="H2137" t="s">
        <v>75</v>
      </c>
      <c r="I2137" t="s">
        <v>76</v>
      </c>
      <c r="J2137" t="s">
        <v>77</v>
      </c>
      <c r="K2137" t="s">
        <v>78</v>
      </c>
      <c r="L2137" t="s">
        <v>234</v>
      </c>
      <c r="M2137" t="s">
        <v>235</v>
      </c>
      <c r="N2137" t="s">
        <v>236</v>
      </c>
      <c r="O2137" t="s">
        <v>82</v>
      </c>
      <c r="P2137" t="str">
        <f>"4170054827                    "</f>
        <v xml:space="preserve">4170054827                    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0</v>
      </c>
      <c r="AI2137">
        <v>0</v>
      </c>
      <c r="AJ2137">
        <v>0</v>
      </c>
      <c r="AK2137">
        <v>0</v>
      </c>
      <c r="AL2137">
        <v>0</v>
      </c>
      <c r="AM2137">
        <v>0</v>
      </c>
      <c r="AN2137">
        <v>0</v>
      </c>
      <c r="AO2137">
        <v>0</v>
      </c>
      <c r="AP2137">
        <v>0</v>
      </c>
      <c r="AQ2137">
        <v>23.09</v>
      </c>
      <c r="AR2137">
        <v>0</v>
      </c>
      <c r="AS2137">
        <v>0</v>
      </c>
      <c r="AT2137">
        <v>0</v>
      </c>
      <c r="AU2137">
        <v>0</v>
      </c>
      <c r="AV2137">
        <v>0</v>
      </c>
      <c r="AW2137">
        <v>0</v>
      </c>
      <c r="AX2137">
        <v>0</v>
      </c>
      <c r="AY2137">
        <v>0</v>
      </c>
      <c r="AZ2137">
        <v>0</v>
      </c>
      <c r="BA2137">
        <v>0</v>
      </c>
      <c r="BB2137">
        <v>0</v>
      </c>
      <c r="BC2137">
        <v>0</v>
      </c>
      <c r="BD2137">
        <v>0</v>
      </c>
      <c r="BE2137">
        <v>0</v>
      </c>
      <c r="BF2137">
        <v>0</v>
      </c>
      <c r="BG2137">
        <v>0</v>
      </c>
      <c r="BH2137">
        <v>1</v>
      </c>
      <c r="BI2137">
        <v>1</v>
      </c>
      <c r="BJ2137">
        <v>0.2</v>
      </c>
      <c r="BK2137">
        <v>1</v>
      </c>
      <c r="BL2137">
        <v>71.69</v>
      </c>
      <c r="BM2137">
        <v>10.75</v>
      </c>
      <c r="BN2137">
        <v>82.44</v>
      </c>
      <c r="BO2137">
        <v>82.44</v>
      </c>
      <c r="BQ2137" t="s">
        <v>237</v>
      </c>
      <c r="BR2137" t="s">
        <v>84</v>
      </c>
      <c r="BS2137" s="3">
        <v>45884</v>
      </c>
      <c r="BT2137" s="4">
        <v>0.38333333333333336</v>
      </c>
      <c r="BU2137" t="s">
        <v>650</v>
      </c>
      <c r="BV2137" t="s">
        <v>86</v>
      </c>
      <c r="BY2137">
        <v>1200</v>
      </c>
      <c r="CA2137" t="s">
        <v>239</v>
      </c>
      <c r="CC2137" t="s">
        <v>235</v>
      </c>
      <c r="CD2137" s="5" t="s">
        <v>240</v>
      </c>
      <c r="CE2137" t="s">
        <v>109</v>
      </c>
      <c r="CF2137" s="3">
        <v>45884</v>
      </c>
      <c r="CI2137">
        <v>1</v>
      </c>
      <c r="CJ2137">
        <v>1</v>
      </c>
      <c r="CK2137">
        <v>21</v>
      </c>
      <c r="CL2137" t="s">
        <v>90</v>
      </c>
    </row>
    <row r="2138" spans="1:90" x14ac:dyDescent="0.3">
      <c r="A2138" t="s">
        <v>72</v>
      </c>
      <c r="B2138" t="s">
        <v>73</v>
      </c>
      <c r="C2138" t="s">
        <v>74</v>
      </c>
      <c r="E2138" t="str">
        <f>"080067245629"</f>
        <v>080067245629</v>
      </c>
      <c r="F2138" s="3">
        <v>45883</v>
      </c>
      <c r="G2138">
        <v>202605</v>
      </c>
      <c r="H2138" t="s">
        <v>75</v>
      </c>
      <c r="I2138" t="s">
        <v>76</v>
      </c>
      <c r="J2138" t="s">
        <v>77</v>
      </c>
      <c r="K2138" t="s">
        <v>78</v>
      </c>
      <c r="L2138" t="s">
        <v>278</v>
      </c>
      <c r="M2138" t="s">
        <v>279</v>
      </c>
      <c r="N2138" t="s">
        <v>749</v>
      </c>
      <c r="O2138" t="s">
        <v>82</v>
      </c>
      <c r="P2138" t="str">
        <f>"4170054735                    "</f>
        <v xml:space="preserve">4170054735                    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0</v>
      </c>
      <c r="AL2138">
        <v>0</v>
      </c>
      <c r="AM2138">
        <v>0</v>
      </c>
      <c r="AN2138">
        <v>0</v>
      </c>
      <c r="AO2138">
        <v>0</v>
      </c>
      <c r="AP2138">
        <v>0</v>
      </c>
      <c r="AQ2138">
        <v>23.09</v>
      </c>
      <c r="AR2138">
        <v>0</v>
      </c>
      <c r="AS2138">
        <v>0</v>
      </c>
      <c r="AT2138">
        <v>0</v>
      </c>
      <c r="AU2138">
        <v>0</v>
      </c>
      <c r="AV2138">
        <v>0</v>
      </c>
      <c r="AW2138">
        <v>0</v>
      </c>
      <c r="AX2138">
        <v>0</v>
      </c>
      <c r="AY2138">
        <v>0</v>
      </c>
      <c r="AZ2138">
        <v>0</v>
      </c>
      <c r="BA2138">
        <v>0</v>
      </c>
      <c r="BB2138">
        <v>0</v>
      </c>
      <c r="BC2138">
        <v>0</v>
      </c>
      <c r="BD2138">
        <v>0</v>
      </c>
      <c r="BE2138">
        <v>0</v>
      </c>
      <c r="BF2138">
        <v>0</v>
      </c>
      <c r="BG2138">
        <v>0</v>
      </c>
      <c r="BH2138">
        <v>1</v>
      </c>
      <c r="BI2138">
        <v>1</v>
      </c>
      <c r="BJ2138">
        <v>0.2</v>
      </c>
      <c r="BK2138">
        <v>1</v>
      </c>
      <c r="BL2138">
        <v>71.69</v>
      </c>
      <c r="BM2138">
        <v>10.75</v>
      </c>
      <c r="BN2138">
        <v>82.44</v>
      </c>
      <c r="BO2138">
        <v>82.44</v>
      </c>
      <c r="BQ2138" t="s">
        <v>750</v>
      </c>
      <c r="BR2138" t="s">
        <v>84</v>
      </c>
      <c r="BS2138" s="3">
        <v>45884</v>
      </c>
      <c r="BT2138" s="4">
        <v>0.42777777777777776</v>
      </c>
      <c r="BU2138" t="s">
        <v>2392</v>
      </c>
      <c r="BV2138" t="s">
        <v>86</v>
      </c>
      <c r="BY2138">
        <v>1200</v>
      </c>
      <c r="CA2138" t="s">
        <v>283</v>
      </c>
      <c r="CC2138" t="s">
        <v>279</v>
      </c>
      <c r="CD2138" s="5" t="s">
        <v>1042</v>
      </c>
      <c r="CE2138" t="s">
        <v>109</v>
      </c>
      <c r="CF2138" s="3">
        <v>45884</v>
      </c>
      <c r="CI2138">
        <v>1</v>
      </c>
      <c r="CJ2138">
        <v>1</v>
      </c>
      <c r="CK2138">
        <v>21</v>
      </c>
      <c r="CL2138" t="s">
        <v>90</v>
      </c>
    </row>
    <row r="2139" spans="1:90" x14ac:dyDescent="0.3">
      <c r="A2139" t="s">
        <v>72</v>
      </c>
      <c r="B2139" t="s">
        <v>73</v>
      </c>
      <c r="C2139" t="s">
        <v>74</v>
      </c>
      <c r="E2139" t="str">
        <f>"080067245674"</f>
        <v>080067245674</v>
      </c>
      <c r="F2139" s="3">
        <v>45883</v>
      </c>
      <c r="G2139">
        <v>202605</v>
      </c>
      <c r="H2139" t="s">
        <v>75</v>
      </c>
      <c r="I2139" t="s">
        <v>76</v>
      </c>
      <c r="J2139" t="s">
        <v>77</v>
      </c>
      <c r="K2139" t="s">
        <v>78</v>
      </c>
      <c r="L2139" t="s">
        <v>198</v>
      </c>
      <c r="M2139" t="s">
        <v>199</v>
      </c>
      <c r="N2139" t="s">
        <v>598</v>
      </c>
      <c r="O2139" t="s">
        <v>82</v>
      </c>
      <c r="P2139" t="str">
        <f>"4170054928                    "</f>
        <v xml:space="preserve">4170054928                    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0</v>
      </c>
      <c r="AI2139">
        <v>0</v>
      </c>
      <c r="AJ2139">
        <v>0</v>
      </c>
      <c r="AK2139">
        <v>0</v>
      </c>
      <c r="AL2139">
        <v>0</v>
      </c>
      <c r="AM2139">
        <v>0</v>
      </c>
      <c r="AN2139">
        <v>0</v>
      </c>
      <c r="AO2139">
        <v>0</v>
      </c>
      <c r="AP2139">
        <v>0</v>
      </c>
      <c r="AQ2139">
        <v>23.09</v>
      </c>
      <c r="AR2139">
        <v>0</v>
      </c>
      <c r="AS2139">
        <v>0</v>
      </c>
      <c r="AT2139">
        <v>0</v>
      </c>
      <c r="AU2139">
        <v>0</v>
      </c>
      <c r="AV2139">
        <v>0</v>
      </c>
      <c r="AW2139">
        <v>0</v>
      </c>
      <c r="AX2139">
        <v>0</v>
      </c>
      <c r="AY2139">
        <v>0</v>
      </c>
      <c r="AZ2139">
        <v>0</v>
      </c>
      <c r="BA2139">
        <v>0</v>
      </c>
      <c r="BB2139">
        <v>0</v>
      </c>
      <c r="BC2139">
        <v>0</v>
      </c>
      <c r="BD2139">
        <v>0</v>
      </c>
      <c r="BE2139">
        <v>0</v>
      </c>
      <c r="BF2139">
        <v>0</v>
      </c>
      <c r="BG2139">
        <v>0</v>
      </c>
      <c r="BH2139">
        <v>1</v>
      </c>
      <c r="BI2139">
        <v>1</v>
      </c>
      <c r="BJ2139">
        <v>0.2</v>
      </c>
      <c r="BK2139">
        <v>1</v>
      </c>
      <c r="BL2139">
        <v>71.69</v>
      </c>
      <c r="BM2139">
        <v>10.75</v>
      </c>
      <c r="BN2139">
        <v>82.44</v>
      </c>
      <c r="BO2139">
        <v>82.44</v>
      </c>
      <c r="BQ2139" t="s">
        <v>599</v>
      </c>
      <c r="BR2139" t="s">
        <v>84</v>
      </c>
      <c r="BS2139" s="3">
        <v>45884</v>
      </c>
      <c r="BT2139" s="4">
        <v>0.4</v>
      </c>
      <c r="BU2139" t="s">
        <v>1331</v>
      </c>
      <c r="BV2139" t="s">
        <v>86</v>
      </c>
      <c r="BY2139">
        <v>1200</v>
      </c>
      <c r="CA2139" t="s">
        <v>601</v>
      </c>
      <c r="CC2139" t="s">
        <v>199</v>
      </c>
      <c r="CD2139">
        <v>6001</v>
      </c>
      <c r="CE2139" t="s">
        <v>109</v>
      </c>
      <c r="CF2139" s="3">
        <v>45884</v>
      </c>
      <c r="CI2139">
        <v>1</v>
      </c>
      <c r="CJ2139">
        <v>1</v>
      </c>
      <c r="CK2139">
        <v>21</v>
      </c>
      <c r="CL2139" t="s">
        <v>90</v>
      </c>
    </row>
    <row r="2140" spans="1:90" x14ac:dyDescent="0.3">
      <c r="A2140" t="s">
        <v>72</v>
      </c>
      <c r="B2140" t="s">
        <v>73</v>
      </c>
      <c r="C2140" t="s">
        <v>74</v>
      </c>
      <c r="E2140" t="str">
        <f>"080067245727"</f>
        <v>080067245727</v>
      </c>
      <c r="F2140" s="3">
        <v>45883</v>
      </c>
      <c r="G2140">
        <v>202605</v>
      </c>
      <c r="H2140" t="s">
        <v>75</v>
      </c>
      <c r="I2140" t="s">
        <v>76</v>
      </c>
      <c r="J2140" t="s">
        <v>77</v>
      </c>
      <c r="K2140" t="s">
        <v>78</v>
      </c>
      <c r="L2140" t="s">
        <v>241</v>
      </c>
      <c r="M2140" t="s">
        <v>242</v>
      </c>
      <c r="N2140" t="s">
        <v>1566</v>
      </c>
      <c r="O2140" t="s">
        <v>82</v>
      </c>
      <c r="P2140" t="str">
        <f>"4170054839                    "</f>
        <v xml:space="preserve">4170054839                    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0</v>
      </c>
      <c r="AI2140">
        <v>0</v>
      </c>
      <c r="AJ2140">
        <v>0</v>
      </c>
      <c r="AK2140">
        <v>0</v>
      </c>
      <c r="AL2140">
        <v>0</v>
      </c>
      <c r="AM2140">
        <v>0</v>
      </c>
      <c r="AN2140">
        <v>0</v>
      </c>
      <c r="AO2140">
        <v>0</v>
      </c>
      <c r="AP2140">
        <v>0</v>
      </c>
      <c r="AQ2140">
        <v>18.03</v>
      </c>
      <c r="AR2140">
        <v>0</v>
      </c>
      <c r="AS2140">
        <v>0</v>
      </c>
      <c r="AT2140">
        <v>0</v>
      </c>
      <c r="AU2140">
        <v>0</v>
      </c>
      <c r="AV2140">
        <v>0</v>
      </c>
      <c r="AW2140">
        <v>0</v>
      </c>
      <c r="AX2140">
        <v>0</v>
      </c>
      <c r="AY2140">
        <v>0</v>
      </c>
      <c r="AZ2140">
        <v>0</v>
      </c>
      <c r="BA2140">
        <v>0</v>
      </c>
      <c r="BB2140">
        <v>0</v>
      </c>
      <c r="BC2140">
        <v>0</v>
      </c>
      <c r="BD2140">
        <v>0</v>
      </c>
      <c r="BE2140">
        <v>0</v>
      </c>
      <c r="BF2140">
        <v>0</v>
      </c>
      <c r="BG2140">
        <v>0</v>
      </c>
      <c r="BH2140">
        <v>1</v>
      </c>
      <c r="BI2140">
        <v>1</v>
      </c>
      <c r="BJ2140">
        <v>0.2</v>
      </c>
      <c r="BK2140">
        <v>1</v>
      </c>
      <c r="BL2140">
        <v>55.99</v>
      </c>
      <c r="BM2140">
        <v>8.4</v>
      </c>
      <c r="BN2140">
        <v>64.39</v>
      </c>
      <c r="BO2140">
        <v>64.39</v>
      </c>
      <c r="BQ2140" t="s">
        <v>1567</v>
      </c>
      <c r="BR2140" t="s">
        <v>84</v>
      </c>
      <c r="BS2140" s="3">
        <v>45884</v>
      </c>
      <c r="BT2140" s="4">
        <v>0.38819444444444445</v>
      </c>
      <c r="BU2140" t="s">
        <v>1568</v>
      </c>
      <c r="BV2140" t="s">
        <v>86</v>
      </c>
      <c r="BY2140">
        <v>1200</v>
      </c>
      <c r="CA2140" t="s">
        <v>720</v>
      </c>
      <c r="CC2140" t="s">
        <v>242</v>
      </c>
      <c r="CD2140">
        <v>1459</v>
      </c>
      <c r="CE2140" t="s">
        <v>109</v>
      </c>
      <c r="CF2140" s="3">
        <v>45884</v>
      </c>
      <c r="CI2140">
        <v>1</v>
      </c>
      <c r="CJ2140">
        <v>1</v>
      </c>
      <c r="CK2140">
        <v>22</v>
      </c>
      <c r="CL2140" t="s">
        <v>90</v>
      </c>
    </row>
    <row r="2141" spans="1:90" x14ac:dyDescent="0.3">
      <c r="A2141" t="s">
        <v>72</v>
      </c>
      <c r="B2141" t="s">
        <v>73</v>
      </c>
      <c r="C2141" t="s">
        <v>74</v>
      </c>
      <c r="E2141" t="str">
        <f>"080067245755"</f>
        <v>080067245755</v>
      </c>
      <c r="F2141" s="3">
        <v>45883</v>
      </c>
      <c r="G2141">
        <v>202605</v>
      </c>
      <c r="H2141" t="s">
        <v>75</v>
      </c>
      <c r="I2141" t="s">
        <v>76</v>
      </c>
      <c r="J2141" t="s">
        <v>77</v>
      </c>
      <c r="K2141" t="s">
        <v>78</v>
      </c>
      <c r="L2141" t="s">
        <v>278</v>
      </c>
      <c r="M2141" t="s">
        <v>279</v>
      </c>
      <c r="N2141" t="s">
        <v>749</v>
      </c>
      <c r="O2141" t="s">
        <v>82</v>
      </c>
      <c r="P2141" t="str">
        <f>"4170054961                    "</f>
        <v xml:space="preserve">4170054961                    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0</v>
      </c>
      <c r="AI2141">
        <v>0</v>
      </c>
      <c r="AJ2141">
        <v>0</v>
      </c>
      <c r="AK2141">
        <v>0</v>
      </c>
      <c r="AL2141">
        <v>0</v>
      </c>
      <c r="AM2141">
        <v>0</v>
      </c>
      <c r="AN2141">
        <v>0</v>
      </c>
      <c r="AO2141">
        <v>0</v>
      </c>
      <c r="AP2141">
        <v>0</v>
      </c>
      <c r="AQ2141">
        <v>23.09</v>
      </c>
      <c r="AR2141">
        <v>0</v>
      </c>
      <c r="AS2141">
        <v>0</v>
      </c>
      <c r="AT2141">
        <v>0</v>
      </c>
      <c r="AU2141">
        <v>0</v>
      </c>
      <c r="AV2141">
        <v>0</v>
      </c>
      <c r="AW2141">
        <v>0</v>
      </c>
      <c r="AX2141">
        <v>0</v>
      </c>
      <c r="AY2141">
        <v>0</v>
      </c>
      <c r="AZ2141">
        <v>0</v>
      </c>
      <c r="BA2141">
        <v>0</v>
      </c>
      <c r="BB2141">
        <v>0</v>
      </c>
      <c r="BC2141">
        <v>0</v>
      </c>
      <c r="BD2141">
        <v>0</v>
      </c>
      <c r="BE2141">
        <v>0</v>
      </c>
      <c r="BF2141">
        <v>0</v>
      </c>
      <c r="BG2141">
        <v>0</v>
      </c>
      <c r="BH2141">
        <v>1</v>
      </c>
      <c r="BI2141">
        <v>1</v>
      </c>
      <c r="BJ2141">
        <v>0.2</v>
      </c>
      <c r="BK2141">
        <v>1</v>
      </c>
      <c r="BL2141">
        <v>71.69</v>
      </c>
      <c r="BM2141">
        <v>10.75</v>
      </c>
      <c r="BN2141">
        <v>82.44</v>
      </c>
      <c r="BO2141">
        <v>82.44</v>
      </c>
      <c r="BQ2141" t="s">
        <v>750</v>
      </c>
      <c r="BR2141" t="s">
        <v>84</v>
      </c>
      <c r="BS2141" s="3">
        <v>45884</v>
      </c>
      <c r="BT2141" s="4">
        <v>0.42777777777777776</v>
      </c>
      <c r="BU2141" t="s">
        <v>2698</v>
      </c>
      <c r="BV2141" t="s">
        <v>86</v>
      </c>
      <c r="BY2141">
        <v>1200</v>
      </c>
      <c r="CC2141" t="s">
        <v>279</v>
      </c>
      <c r="CD2141" s="5" t="s">
        <v>753</v>
      </c>
      <c r="CE2141" t="s">
        <v>109</v>
      </c>
      <c r="CF2141" s="3">
        <v>45884</v>
      </c>
      <c r="CI2141">
        <v>1</v>
      </c>
      <c r="CJ2141">
        <v>1</v>
      </c>
      <c r="CK2141">
        <v>21</v>
      </c>
      <c r="CL2141" t="s">
        <v>90</v>
      </c>
    </row>
    <row r="2142" spans="1:90" x14ac:dyDescent="0.3">
      <c r="A2142" t="s">
        <v>72</v>
      </c>
      <c r="B2142" t="s">
        <v>73</v>
      </c>
      <c r="C2142" t="s">
        <v>74</v>
      </c>
      <c r="E2142" t="str">
        <f>"080067245793"</f>
        <v>080067245793</v>
      </c>
      <c r="F2142" s="3">
        <v>45883</v>
      </c>
      <c r="G2142">
        <v>202605</v>
      </c>
      <c r="H2142" t="s">
        <v>75</v>
      </c>
      <c r="I2142" t="s">
        <v>76</v>
      </c>
      <c r="J2142" t="s">
        <v>77</v>
      </c>
      <c r="K2142" t="s">
        <v>78</v>
      </c>
      <c r="L2142" t="s">
        <v>123</v>
      </c>
      <c r="M2142" t="s">
        <v>124</v>
      </c>
      <c r="N2142" t="s">
        <v>406</v>
      </c>
      <c r="O2142" t="s">
        <v>82</v>
      </c>
      <c r="P2142" t="str">
        <f>"4170054797                    "</f>
        <v xml:space="preserve">4170054797                    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0</v>
      </c>
      <c r="AI2142">
        <v>0</v>
      </c>
      <c r="AJ2142"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Q2142">
        <v>23.09</v>
      </c>
      <c r="AR2142">
        <v>0</v>
      </c>
      <c r="AS2142">
        <v>0</v>
      </c>
      <c r="AT2142">
        <v>0</v>
      </c>
      <c r="AU2142">
        <v>0</v>
      </c>
      <c r="AV2142">
        <v>0</v>
      </c>
      <c r="AW2142">
        <v>0</v>
      </c>
      <c r="AX2142">
        <v>0</v>
      </c>
      <c r="AY2142">
        <v>0</v>
      </c>
      <c r="AZ2142">
        <v>0</v>
      </c>
      <c r="BA2142">
        <v>0</v>
      </c>
      <c r="BB2142">
        <v>0</v>
      </c>
      <c r="BC2142">
        <v>0</v>
      </c>
      <c r="BD2142">
        <v>0</v>
      </c>
      <c r="BE2142">
        <v>0</v>
      </c>
      <c r="BF2142">
        <v>0</v>
      </c>
      <c r="BG2142">
        <v>0</v>
      </c>
      <c r="BH2142">
        <v>1</v>
      </c>
      <c r="BI2142">
        <v>1</v>
      </c>
      <c r="BJ2142">
        <v>0.2</v>
      </c>
      <c r="BK2142">
        <v>1</v>
      </c>
      <c r="BL2142">
        <v>71.69</v>
      </c>
      <c r="BM2142">
        <v>10.75</v>
      </c>
      <c r="BN2142">
        <v>82.44</v>
      </c>
      <c r="BO2142">
        <v>82.44</v>
      </c>
      <c r="BQ2142" t="s">
        <v>407</v>
      </c>
      <c r="BR2142" t="s">
        <v>84</v>
      </c>
      <c r="BS2142" s="3">
        <v>45884</v>
      </c>
      <c r="BT2142" s="4">
        <v>0.42916666666666664</v>
      </c>
      <c r="BU2142" t="s">
        <v>408</v>
      </c>
      <c r="BV2142" t="s">
        <v>86</v>
      </c>
      <c r="BY2142">
        <v>1200</v>
      </c>
      <c r="CA2142" t="s">
        <v>192</v>
      </c>
      <c r="CC2142" t="s">
        <v>124</v>
      </c>
      <c r="CD2142">
        <v>7441</v>
      </c>
      <c r="CE2142" t="s">
        <v>109</v>
      </c>
      <c r="CF2142" s="3">
        <v>45887</v>
      </c>
      <c r="CI2142">
        <v>1</v>
      </c>
      <c r="CJ2142">
        <v>1</v>
      </c>
      <c r="CK2142">
        <v>21</v>
      </c>
      <c r="CL2142" t="s">
        <v>90</v>
      </c>
    </row>
    <row r="2143" spans="1:90" x14ac:dyDescent="0.3">
      <c r="A2143" t="s">
        <v>72</v>
      </c>
      <c r="B2143" t="s">
        <v>73</v>
      </c>
      <c r="C2143" t="s">
        <v>74</v>
      </c>
      <c r="E2143" t="str">
        <f>"080067245842"</f>
        <v>080067245842</v>
      </c>
      <c r="F2143" s="3">
        <v>45883</v>
      </c>
      <c r="G2143">
        <v>202605</v>
      </c>
      <c r="H2143" t="s">
        <v>75</v>
      </c>
      <c r="I2143" t="s">
        <v>76</v>
      </c>
      <c r="J2143" t="s">
        <v>77</v>
      </c>
      <c r="K2143" t="s">
        <v>78</v>
      </c>
      <c r="L2143" t="s">
        <v>513</v>
      </c>
      <c r="M2143" t="s">
        <v>514</v>
      </c>
      <c r="N2143" t="s">
        <v>709</v>
      </c>
      <c r="O2143" t="s">
        <v>82</v>
      </c>
      <c r="P2143" t="str">
        <f>"4170054809                    "</f>
        <v xml:space="preserve">4170054809                    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0</v>
      </c>
      <c r="AI2143">
        <v>0</v>
      </c>
      <c r="AJ2143">
        <v>0</v>
      </c>
      <c r="AK2143">
        <v>0</v>
      </c>
      <c r="AL2143">
        <v>0</v>
      </c>
      <c r="AM2143">
        <v>0</v>
      </c>
      <c r="AN2143">
        <v>0</v>
      </c>
      <c r="AO2143">
        <v>0</v>
      </c>
      <c r="AP2143">
        <v>0</v>
      </c>
      <c r="AQ2143">
        <v>44.73</v>
      </c>
      <c r="AR2143">
        <v>0</v>
      </c>
      <c r="AS2143">
        <v>0</v>
      </c>
      <c r="AT2143">
        <v>0</v>
      </c>
      <c r="AU2143">
        <v>0</v>
      </c>
      <c r="AV2143">
        <v>0</v>
      </c>
      <c r="AW2143">
        <v>0</v>
      </c>
      <c r="AX2143">
        <v>0</v>
      </c>
      <c r="AY2143">
        <v>0</v>
      </c>
      <c r="AZ2143">
        <v>0</v>
      </c>
      <c r="BA2143">
        <v>0</v>
      </c>
      <c r="BB2143">
        <v>0</v>
      </c>
      <c r="BC2143">
        <v>0</v>
      </c>
      <c r="BD2143">
        <v>0</v>
      </c>
      <c r="BE2143">
        <v>0</v>
      </c>
      <c r="BF2143">
        <v>0</v>
      </c>
      <c r="BG2143">
        <v>0</v>
      </c>
      <c r="BH2143">
        <v>1</v>
      </c>
      <c r="BI2143">
        <v>1</v>
      </c>
      <c r="BJ2143">
        <v>0.2</v>
      </c>
      <c r="BK2143">
        <v>1</v>
      </c>
      <c r="BL2143">
        <v>138.88999999999999</v>
      </c>
      <c r="BM2143">
        <v>20.83</v>
      </c>
      <c r="BN2143">
        <v>159.72</v>
      </c>
      <c r="BO2143">
        <v>159.72</v>
      </c>
      <c r="BQ2143" t="s">
        <v>710</v>
      </c>
      <c r="BR2143" t="s">
        <v>84</v>
      </c>
      <c r="BS2143" s="3">
        <v>45884</v>
      </c>
      <c r="BT2143" s="4">
        <v>0.42777777777777776</v>
      </c>
      <c r="BU2143" t="s">
        <v>1657</v>
      </c>
      <c r="BV2143" t="s">
        <v>86</v>
      </c>
      <c r="BY2143">
        <v>1200</v>
      </c>
      <c r="CA2143" t="s">
        <v>712</v>
      </c>
      <c r="CC2143" t="s">
        <v>514</v>
      </c>
      <c r="CD2143" s="5" t="s">
        <v>519</v>
      </c>
      <c r="CE2143" t="s">
        <v>109</v>
      </c>
      <c r="CF2143" s="3">
        <v>45887</v>
      </c>
      <c r="CI2143">
        <v>1</v>
      </c>
      <c r="CJ2143">
        <v>1</v>
      </c>
      <c r="CK2143">
        <v>23</v>
      </c>
      <c r="CL2143" t="s">
        <v>90</v>
      </c>
    </row>
    <row r="2144" spans="1:90" x14ac:dyDescent="0.3">
      <c r="A2144" t="s">
        <v>72</v>
      </c>
      <c r="B2144" t="s">
        <v>73</v>
      </c>
      <c r="C2144" t="s">
        <v>74</v>
      </c>
      <c r="E2144" t="str">
        <f>"080067245863"</f>
        <v>080067245863</v>
      </c>
      <c r="F2144" s="3">
        <v>45883</v>
      </c>
      <c r="G2144">
        <v>202605</v>
      </c>
      <c r="H2144" t="s">
        <v>75</v>
      </c>
      <c r="I2144" t="s">
        <v>76</v>
      </c>
      <c r="J2144" t="s">
        <v>77</v>
      </c>
      <c r="K2144" t="s">
        <v>78</v>
      </c>
      <c r="L2144" t="s">
        <v>162</v>
      </c>
      <c r="M2144" t="s">
        <v>163</v>
      </c>
      <c r="N2144" t="s">
        <v>246</v>
      </c>
      <c r="O2144" t="s">
        <v>82</v>
      </c>
      <c r="P2144" t="str">
        <f>"4170054804                    "</f>
        <v xml:space="preserve">4170054804                    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0</v>
      </c>
      <c r="AI2144">
        <v>0</v>
      </c>
      <c r="AJ2144">
        <v>0</v>
      </c>
      <c r="AK2144">
        <v>0</v>
      </c>
      <c r="AL2144">
        <v>0</v>
      </c>
      <c r="AM2144">
        <v>0</v>
      </c>
      <c r="AN2144">
        <v>0</v>
      </c>
      <c r="AO2144">
        <v>0</v>
      </c>
      <c r="AP2144">
        <v>0</v>
      </c>
      <c r="AQ2144">
        <v>23.09</v>
      </c>
      <c r="AR2144">
        <v>0</v>
      </c>
      <c r="AS2144">
        <v>0</v>
      </c>
      <c r="AT2144">
        <v>0</v>
      </c>
      <c r="AU2144">
        <v>0</v>
      </c>
      <c r="AV2144">
        <v>0</v>
      </c>
      <c r="AW2144">
        <v>0</v>
      </c>
      <c r="AX2144">
        <v>0</v>
      </c>
      <c r="AY2144">
        <v>0</v>
      </c>
      <c r="AZ2144">
        <v>0</v>
      </c>
      <c r="BA2144">
        <v>0</v>
      </c>
      <c r="BB2144">
        <v>0</v>
      </c>
      <c r="BC2144">
        <v>0</v>
      </c>
      <c r="BD2144">
        <v>0</v>
      </c>
      <c r="BE2144">
        <v>0</v>
      </c>
      <c r="BF2144">
        <v>0</v>
      </c>
      <c r="BG2144">
        <v>0</v>
      </c>
      <c r="BH2144">
        <v>1</v>
      </c>
      <c r="BI2144">
        <v>1</v>
      </c>
      <c r="BJ2144">
        <v>0.2</v>
      </c>
      <c r="BK2144">
        <v>1</v>
      </c>
      <c r="BL2144">
        <v>71.69</v>
      </c>
      <c r="BM2144">
        <v>10.75</v>
      </c>
      <c r="BN2144">
        <v>82.44</v>
      </c>
      <c r="BO2144">
        <v>82.44</v>
      </c>
      <c r="BQ2144" t="s">
        <v>247</v>
      </c>
      <c r="BR2144" t="s">
        <v>84</v>
      </c>
      <c r="BS2144" s="3">
        <v>45884</v>
      </c>
      <c r="BT2144" s="4">
        <v>0.41666666666666669</v>
      </c>
      <c r="BU2144" t="s">
        <v>485</v>
      </c>
      <c r="BV2144" t="s">
        <v>86</v>
      </c>
      <c r="BY2144">
        <v>1200</v>
      </c>
      <c r="CC2144" t="s">
        <v>163</v>
      </c>
      <c r="CD2144">
        <v>3201</v>
      </c>
      <c r="CE2144" t="s">
        <v>109</v>
      </c>
      <c r="CF2144" s="3">
        <v>45885</v>
      </c>
      <c r="CI2144">
        <v>1</v>
      </c>
      <c r="CJ2144">
        <v>1</v>
      </c>
      <c r="CK2144">
        <v>21</v>
      </c>
      <c r="CL2144" t="s">
        <v>90</v>
      </c>
    </row>
    <row r="2145" spans="1:90" x14ac:dyDescent="0.3">
      <c r="A2145" t="s">
        <v>72</v>
      </c>
      <c r="B2145" t="s">
        <v>73</v>
      </c>
      <c r="C2145" t="s">
        <v>74</v>
      </c>
      <c r="E2145" t="str">
        <f>"080067245896"</f>
        <v>080067245896</v>
      </c>
      <c r="F2145" s="3">
        <v>45883</v>
      </c>
      <c r="G2145">
        <v>202605</v>
      </c>
      <c r="H2145" t="s">
        <v>75</v>
      </c>
      <c r="I2145" t="s">
        <v>76</v>
      </c>
      <c r="J2145" t="s">
        <v>77</v>
      </c>
      <c r="K2145" t="s">
        <v>78</v>
      </c>
      <c r="L2145" t="s">
        <v>123</v>
      </c>
      <c r="M2145" t="s">
        <v>124</v>
      </c>
      <c r="N2145" t="s">
        <v>406</v>
      </c>
      <c r="O2145" t="s">
        <v>82</v>
      </c>
      <c r="P2145" t="str">
        <f>"4170054906                    "</f>
        <v xml:space="preserve">4170054906                    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0</v>
      </c>
      <c r="AI2145">
        <v>0</v>
      </c>
      <c r="AJ2145">
        <v>0</v>
      </c>
      <c r="AK2145">
        <v>0</v>
      </c>
      <c r="AL2145">
        <v>0</v>
      </c>
      <c r="AM2145">
        <v>0</v>
      </c>
      <c r="AN2145">
        <v>0</v>
      </c>
      <c r="AO2145">
        <v>0</v>
      </c>
      <c r="AP2145">
        <v>0</v>
      </c>
      <c r="AQ2145">
        <v>23.09</v>
      </c>
      <c r="AR2145">
        <v>0</v>
      </c>
      <c r="AS2145">
        <v>0</v>
      </c>
      <c r="AT2145">
        <v>0</v>
      </c>
      <c r="AU2145">
        <v>0</v>
      </c>
      <c r="AV2145">
        <v>0</v>
      </c>
      <c r="AW2145">
        <v>0</v>
      </c>
      <c r="AX2145">
        <v>0</v>
      </c>
      <c r="AY2145">
        <v>0</v>
      </c>
      <c r="AZ2145">
        <v>0</v>
      </c>
      <c r="BA2145">
        <v>0</v>
      </c>
      <c r="BB2145">
        <v>0</v>
      </c>
      <c r="BC2145">
        <v>0</v>
      </c>
      <c r="BD2145">
        <v>0</v>
      </c>
      <c r="BE2145">
        <v>0</v>
      </c>
      <c r="BF2145">
        <v>0</v>
      </c>
      <c r="BG2145">
        <v>0</v>
      </c>
      <c r="BH2145">
        <v>1</v>
      </c>
      <c r="BI2145">
        <v>1</v>
      </c>
      <c r="BJ2145">
        <v>0.2</v>
      </c>
      <c r="BK2145">
        <v>1</v>
      </c>
      <c r="BL2145">
        <v>71.69</v>
      </c>
      <c r="BM2145">
        <v>10.75</v>
      </c>
      <c r="BN2145">
        <v>82.44</v>
      </c>
      <c r="BO2145">
        <v>82.44</v>
      </c>
      <c r="BQ2145" t="s">
        <v>407</v>
      </c>
      <c r="BR2145" t="s">
        <v>84</v>
      </c>
      <c r="BS2145" s="3">
        <v>45884</v>
      </c>
      <c r="BT2145" s="4">
        <v>0.42916666666666664</v>
      </c>
      <c r="BU2145" t="s">
        <v>408</v>
      </c>
      <c r="BV2145" t="s">
        <v>86</v>
      </c>
      <c r="BY2145">
        <v>1200</v>
      </c>
      <c r="CA2145" t="s">
        <v>192</v>
      </c>
      <c r="CC2145" t="s">
        <v>124</v>
      </c>
      <c r="CD2145">
        <v>7441</v>
      </c>
      <c r="CE2145" t="s">
        <v>109</v>
      </c>
      <c r="CF2145" s="3">
        <v>45887</v>
      </c>
      <c r="CI2145">
        <v>1</v>
      </c>
      <c r="CJ2145">
        <v>1</v>
      </c>
      <c r="CK2145">
        <v>21</v>
      </c>
      <c r="CL2145" t="s">
        <v>90</v>
      </c>
    </row>
    <row r="2146" spans="1:90" x14ac:dyDescent="0.3">
      <c r="A2146" t="s">
        <v>72</v>
      </c>
      <c r="B2146" t="s">
        <v>73</v>
      </c>
      <c r="C2146" t="s">
        <v>74</v>
      </c>
      <c r="E2146" t="str">
        <f>"080067245918"</f>
        <v>080067245918</v>
      </c>
      <c r="F2146" s="3">
        <v>45883</v>
      </c>
      <c r="G2146">
        <v>202605</v>
      </c>
      <c r="H2146" t="s">
        <v>75</v>
      </c>
      <c r="I2146" t="s">
        <v>76</v>
      </c>
      <c r="J2146" t="s">
        <v>77</v>
      </c>
      <c r="K2146" t="s">
        <v>78</v>
      </c>
      <c r="L2146" t="s">
        <v>1254</v>
      </c>
      <c r="M2146" t="s">
        <v>1255</v>
      </c>
      <c r="N2146" t="s">
        <v>1256</v>
      </c>
      <c r="O2146" t="s">
        <v>82</v>
      </c>
      <c r="P2146" t="str">
        <f>"4170054733                    "</f>
        <v xml:space="preserve">4170054733                    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0</v>
      </c>
      <c r="AI2146">
        <v>0</v>
      </c>
      <c r="AJ2146"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0</v>
      </c>
      <c r="AQ2146">
        <v>44.73</v>
      </c>
      <c r="AR2146">
        <v>0</v>
      </c>
      <c r="AS2146">
        <v>0</v>
      </c>
      <c r="AT2146">
        <v>0</v>
      </c>
      <c r="AU2146">
        <v>0</v>
      </c>
      <c r="AV2146">
        <v>0</v>
      </c>
      <c r="AW2146">
        <v>0</v>
      </c>
      <c r="AX2146">
        <v>0</v>
      </c>
      <c r="AY2146">
        <v>0</v>
      </c>
      <c r="AZ2146">
        <v>0</v>
      </c>
      <c r="BA2146">
        <v>0</v>
      </c>
      <c r="BB2146">
        <v>0</v>
      </c>
      <c r="BC2146">
        <v>0</v>
      </c>
      <c r="BD2146">
        <v>0</v>
      </c>
      <c r="BE2146">
        <v>0</v>
      </c>
      <c r="BF2146">
        <v>0</v>
      </c>
      <c r="BG2146">
        <v>0</v>
      </c>
      <c r="BH2146">
        <v>1</v>
      </c>
      <c r="BI2146">
        <v>1</v>
      </c>
      <c r="BJ2146">
        <v>0.2</v>
      </c>
      <c r="BK2146">
        <v>1</v>
      </c>
      <c r="BL2146">
        <v>138.88999999999999</v>
      </c>
      <c r="BM2146">
        <v>20.83</v>
      </c>
      <c r="BN2146">
        <v>159.72</v>
      </c>
      <c r="BO2146">
        <v>159.72</v>
      </c>
      <c r="BQ2146" t="s">
        <v>1257</v>
      </c>
      <c r="BR2146" t="s">
        <v>84</v>
      </c>
      <c r="BS2146" s="3">
        <v>45884</v>
      </c>
      <c r="BT2146" s="4">
        <v>0.41666666666666669</v>
      </c>
      <c r="BU2146" t="s">
        <v>2699</v>
      </c>
      <c r="BV2146" t="s">
        <v>86</v>
      </c>
      <c r="BY2146">
        <v>1200</v>
      </c>
      <c r="CA2146" t="s">
        <v>1259</v>
      </c>
      <c r="CC2146" t="s">
        <v>1255</v>
      </c>
      <c r="CD2146">
        <v>3290</v>
      </c>
      <c r="CE2146" t="s">
        <v>109</v>
      </c>
      <c r="CF2146" s="3">
        <v>45885</v>
      </c>
      <c r="CI2146">
        <v>1</v>
      </c>
      <c r="CJ2146">
        <v>1</v>
      </c>
      <c r="CK2146">
        <v>23</v>
      </c>
      <c r="CL2146" t="s">
        <v>90</v>
      </c>
    </row>
    <row r="2147" spans="1:90" x14ac:dyDescent="0.3">
      <c r="A2147" t="s">
        <v>72</v>
      </c>
      <c r="B2147" t="s">
        <v>73</v>
      </c>
      <c r="C2147" t="s">
        <v>74</v>
      </c>
      <c r="E2147" t="str">
        <f>"080067245965"</f>
        <v>080067245965</v>
      </c>
      <c r="F2147" s="3">
        <v>45883</v>
      </c>
      <c r="G2147">
        <v>202605</v>
      </c>
      <c r="H2147" t="s">
        <v>75</v>
      </c>
      <c r="I2147" t="s">
        <v>76</v>
      </c>
      <c r="J2147" t="s">
        <v>77</v>
      </c>
      <c r="K2147" t="s">
        <v>78</v>
      </c>
      <c r="L2147" t="s">
        <v>1142</v>
      </c>
      <c r="M2147" t="s">
        <v>1143</v>
      </c>
      <c r="N2147" t="s">
        <v>1144</v>
      </c>
      <c r="O2147" t="s">
        <v>82</v>
      </c>
      <c r="P2147" t="str">
        <f>"4170054951                    "</f>
        <v xml:space="preserve">4170054951                    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0</v>
      </c>
      <c r="AI2147">
        <v>0</v>
      </c>
      <c r="AJ2147"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0</v>
      </c>
      <c r="AQ2147">
        <v>44.73</v>
      </c>
      <c r="AR2147">
        <v>0</v>
      </c>
      <c r="AS2147">
        <v>0</v>
      </c>
      <c r="AT2147">
        <v>0</v>
      </c>
      <c r="AU2147">
        <v>0</v>
      </c>
      <c r="AV2147">
        <v>0</v>
      </c>
      <c r="AW2147">
        <v>0</v>
      </c>
      <c r="AX2147">
        <v>0</v>
      </c>
      <c r="AY2147">
        <v>0</v>
      </c>
      <c r="AZ2147">
        <v>0</v>
      </c>
      <c r="BA2147">
        <v>0</v>
      </c>
      <c r="BB2147">
        <v>0</v>
      </c>
      <c r="BC2147">
        <v>0</v>
      </c>
      <c r="BD2147">
        <v>0</v>
      </c>
      <c r="BE2147">
        <v>0</v>
      </c>
      <c r="BF2147">
        <v>0</v>
      </c>
      <c r="BG2147">
        <v>0</v>
      </c>
      <c r="BH2147">
        <v>1</v>
      </c>
      <c r="BI2147">
        <v>1</v>
      </c>
      <c r="BJ2147">
        <v>0.2</v>
      </c>
      <c r="BK2147">
        <v>1</v>
      </c>
      <c r="BL2147">
        <v>138.88999999999999</v>
      </c>
      <c r="BM2147">
        <v>20.83</v>
      </c>
      <c r="BN2147">
        <v>159.72</v>
      </c>
      <c r="BO2147">
        <v>159.72</v>
      </c>
      <c r="BQ2147" t="s">
        <v>1145</v>
      </c>
      <c r="BR2147" t="s">
        <v>84</v>
      </c>
      <c r="BS2147" s="3">
        <v>45884</v>
      </c>
      <c r="BT2147" s="4">
        <v>0.5229166666666667</v>
      </c>
      <c r="BU2147" t="s">
        <v>2700</v>
      </c>
      <c r="BV2147" t="s">
        <v>86</v>
      </c>
      <c r="BY2147">
        <v>1200</v>
      </c>
      <c r="CA2147" t="s">
        <v>1147</v>
      </c>
      <c r="CC2147" t="s">
        <v>1143</v>
      </c>
      <c r="CD2147">
        <v>6300</v>
      </c>
      <c r="CE2147" t="s">
        <v>109</v>
      </c>
      <c r="CF2147" s="3">
        <v>45884</v>
      </c>
      <c r="CI2147">
        <v>2</v>
      </c>
      <c r="CJ2147">
        <v>1</v>
      </c>
      <c r="CK2147">
        <v>23</v>
      </c>
      <c r="CL2147" t="s">
        <v>90</v>
      </c>
    </row>
    <row r="2148" spans="1:90" x14ac:dyDescent="0.3">
      <c r="A2148" t="s">
        <v>72</v>
      </c>
      <c r="B2148" t="s">
        <v>73</v>
      </c>
      <c r="C2148" t="s">
        <v>74</v>
      </c>
      <c r="E2148" t="str">
        <f>"080067245997"</f>
        <v>080067245997</v>
      </c>
      <c r="F2148" s="3">
        <v>45883</v>
      </c>
      <c r="G2148">
        <v>202605</v>
      </c>
      <c r="H2148" t="s">
        <v>75</v>
      </c>
      <c r="I2148" t="s">
        <v>76</v>
      </c>
      <c r="J2148" t="s">
        <v>77</v>
      </c>
      <c r="K2148" t="s">
        <v>78</v>
      </c>
      <c r="L2148" t="s">
        <v>198</v>
      </c>
      <c r="M2148" t="s">
        <v>199</v>
      </c>
      <c r="N2148" t="s">
        <v>598</v>
      </c>
      <c r="O2148" t="s">
        <v>82</v>
      </c>
      <c r="P2148" t="str">
        <f>"4170054881                    "</f>
        <v xml:space="preserve">4170054881                    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0</v>
      </c>
      <c r="AI2148">
        <v>0</v>
      </c>
      <c r="AJ2148"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0</v>
      </c>
      <c r="AQ2148">
        <v>23.09</v>
      </c>
      <c r="AR2148">
        <v>0</v>
      </c>
      <c r="AS2148">
        <v>0</v>
      </c>
      <c r="AT2148">
        <v>0</v>
      </c>
      <c r="AU2148">
        <v>0</v>
      </c>
      <c r="AV2148">
        <v>0</v>
      </c>
      <c r="AW2148">
        <v>0</v>
      </c>
      <c r="AX2148">
        <v>0</v>
      </c>
      <c r="AY2148">
        <v>0</v>
      </c>
      <c r="AZ2148">
        <v>0</v>
      </c>
      <c r="BA2148">
        <v>0</v>
      </c>
      <c r="BB2148">
        <v>0</v>
      </c>
      <c r="BC2148">
        <v>0</v>
      </c>
      <c r="BD2148">
        <v>0</v>
      </c>
      <c r="BE2148">
        <v>0</v>
      </c>
      <c r="BF2148">
        <v>0</v>
      </c>
      <c r="BG2148">
        <v>0</v>
      </c>
      <c r="BH2148">
        <v>1</v>
      </c>
      <c r="BI2148">
        <v>1</v>
      </c>
      <c r="BJ2148">
        <v>0.2</v>
      </c>
      <c r="BK2148">
        <v>1</v>
      </c>
      <c r="BL2148">
        <v>71.69</v>
      </c>
      <c r="BM2148">
        <v>10.75</v>
      </c>
      <c r="BN2148">
        <v>82.44</v>
      </c>
      <c r="BO2148">
        <v>82.44</v>
      </c>
      <c r="BQ2148" t="s">
        <v>599</v>
      </c>
      <c r="BR2148" t="s">
        <v>84</v>
      </c>
      <c r="BS2148" s="3">
        <v>45884</v>
      </c>
      <c r="BT2148" s="4">
        <v>0.40069444444444446</v>
      </c>
      <c r="BU2148" t="s">
        <v>1539</v>
      </c>
      <c r="BV2148" t="s">
        <v>86</v>
      </c>
      <c r="BY2148">
        <v>1200</v>
      </c>
      <c r="CA2148" t="s">
        <v>601</v>
      </c>
      <c r="CC2148" t="s">
        <v>199</v>
      </c>
      <c r="CD2148">
        <v>6001</v>
      </c>
      <c r="CE2148" t="s">
        <v>109</v>
      </c>
      <c r="CF2148" s="3">
        <v>45884</v>
      </c>
      <c r="CI2148">
        <v>1</v>
      </c>
      <c r="CJ2148">
        <v>1</v>
      </c>
      <c r="CK2148">
        <v>21</v>
      </c>
      <c r="CL2148" t="s">
        <v>90</v>
      </c>
    </row>
    <row r="2149" spans="1:90" x14ac:dyDescent="0.3">
      <c r="A2149" t="s">
        <v>72</v>
      </c>
      <c r="B2149" t="s">
        <v>73</v>
      </c>
      <c r="C2149" t="s">
        <v>74</v>
      </c>
      <c r="E2149" t="str">
        <f>"080067246016"</f>
        <v>080067246016</v>
      </c>
      <c r="F2149" s="3">
        <v>45883</v>
      </c>
      <c r="G2149">
        <v>202605</v>
      </c>
      <c r="H2149" t="s">
        <v>75</v>
      </c>
      <c r="I2149" t="s">
        <v>76</v>
      </c>
      <c r="J2149" t="s">
        <v>77</v>
      </c>
      <c r="K2149" t="s">
        <v>78</v>
      </c>
      <c r="L2149" t="s">
        <v>123</v>
      </c>
      <c r="M2149" t="s">
        <v>124</v>
      </c>
      <c r="N2149" t="s">
        <v>406</v>
      </c>
      <c r="O2149" t="s">
        <v>82</v>
      </c>
      <c r="P2149" t="str">
        <f>"4170054887                    "</f>
        <v xml:space="preserve">4170054887                    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0</v>
      </c>
      <c r="AI2149">
        <v>0</v>
      </c>
      <c r="AJ2149">
        <v>0</v>
      </c>
      <c r="AK2149">
        <v>0</v>
      </c>
      <c r="AL2149">
        <v>0</v>
      </c>
      <c r="AM2149">
        <v>0</v>
      </c>
      <c r="AN2149">
        <v>0</v>
      </c>
      <c r="AO2149">
        <v>0</v>
      </c>
      <c r="AP2149">
        <v>0</v>
      </c>
      <c r="AQ2149">
        <v>23.09</v>
      </c>
      <c r="AR2149">
        <v>0</v>
      </c>
      <c r="AS2149">
        <v>0</v>
      </c>
      <c r="AT2149">
        <v>0</v>
      </c>
      <c r="AU2149">
        <v>0</v>
      </c>
      <c r="AV2149">
        <v>0</v>
      </c>
      <c r="AW2149">
        <v>0</v>
      </c>
      <c r="AX2149">
        <v>0</v>
      </c>
      <c r="AY2149">
        <v>0</v>
      </c>
      <c r="AZ2149">
        <v>0</v>
      </c>
      <c r="BA2149">
        <v>0</v>
      </c>
      <c r="BB2149">
        <v>0</v>
      </c>
      <c r="BC2149">
        <v>0</v>
      </c>
      <c r="BD2149">
        <v>0</v>
      </c>
      <c r="BE2149">
        <v>0</v>
      </c>
      <c r="BF2149">
        <v>0</v>
      </c>
      <c r="BG2149">
        <v>0</v>
      </c>
      <c r="BH2149">
        <v>1</v>
      </c>
      <c r="BI2149">
        <v>1</v>
      </c>
      <c r="BJ2149">
        <v>0.2</v>
      </c>
      <c r="BK2149">
        <v>1</v>
      </c>
      <c r="BL2149">
        <v>71.69</v>
      </c>
      <c r="BM2149">
        <v>10.75</v>
      </c>
      <c r="BN2149">
        <v>82.44</v>
      </c>
      <c r="BO2149">
        <v>82.44</v>
      </c>
      <c r="BQ2149" t="s">
        <v>407</v>
      </c>
      <c r="BR2149" t="s">
        <v>84</v>
      </c>
      <c r="BS2149" s="3">
        <v>45884</v>
      </c>
      <c r="BT2149" s="4">
        <v>0.42916666666666664</v>
      </c>
      <c r="BU2149" t="s">
        <v>408</v>
      </c>
      <c r="BV2149" t="s">
        <v>86</v>
      </c>
      <c r="BY2149">
        <v>1200</v>
      </c>
      <c r="CA2149" t="s">
        <v>192</v>
      </c>
      <c r="CC2149" t="s">
        <v>124</v>
      </c>
      <c r="CD2149">
        <v>7441</v>
      </c>
      <c r="CE2149" t="s">
        <v>109</v>
      </c>
      <c r="CF2149" s="3">
        <v>45887</v>
      </c>
      <c r="CI2149">
        <v>1</v>
      </c>
      <c r="CJ2149">
        <v>1</v>
      </c>
      <c r="CK2149">
        <v>21</v>
      </c>
      <c r="CL2149" t="s">
        <v>90</v>
      </c>
    </row>
    <row r="2150" spans="1:90" x14ac:dyDescent="0.3">
      <c r="A2150" t="s">
        <v>72</v>
      </c>
      <c r="B2150" t="s">
        <v>73</v>
      </c>
      <c r="C2150" t="s">
        <v>74</v>
      </c>
      <c r="E2150" t="str">
        <f>"080067246072"</f>
        <v>080067246072</v>
      </c>
      <c r="F2150" s="3">
        <v>45883</v>
      </c>
      <c r="G2150">
        <v>202605</v>
      </c>
      <c r="H2150" t="s">
        <v>75</v>
      </c>
      <c r="I2150" t="s">
        <v>76</v>
      </c>
      <c r="J2150" t="s">
        <v>77</v>
      </c>
      <c r="K2150" t="s">
        <v>78</v>
      </c>
      <c r="L2150" t="s">
        <v>123</v>
      </c>
      <c r="M2150" t="s">
        <v>124</v>
      </c>
      <c r="N2150" t="s">
        <v>534</v>
      </c>
      <c r="O2150" t="s">
        <v>82</v>
      </c>
      <c r="P2150" t="str">
        <f>"4170054893                    "</f>
        <v xml:space="preserve">4170054893                    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0</v>
      </c>
      <c r="AI2150">
        <v>0</v>
      </c>
      <c r="AJ2150">
        <v>0</v>
      </c>
      <c r="AK2150">
        <v>0</v>
      </c>
      <c r="AL2150">
        <v>0</v>
      </c>
      <c r="AM2150">
        <v>0</v>
      </c>
      <c r="AN2150">
        <v>0</v>
      </c>
      <c r="AO2150">
        <v>0</v>
      </c>
      <c r="AP2150">
        <v>0</v>
      </c>
      <c r="AQ2150">
        <v>23.09</v>
      </c>
      <c r="AR2150">
        <v>0</v>
      </c>
      <c r="AS2150">
        <v>0</v>
      </c>
      <c r="AT2150">
        <v>0</v>
      </c>
      <c r="AU2150">
        <v>0</v>
      </c>
      <c r="AV2150">
        <v>0</v>
      </c>
      <c r="AW2150">
        <v>0</v>
      </c>
      <c r="AX2150">
        <v>0</v>
      </c>
      <c r="AY2150">
        <v>0</v>
      </c>
      <c r="AZ2150">
        <v>0</v>
      </c>
      <c r="BA2150">
        <v>0</v>
      </c>
      <c r="BB2150">
        <v>0</v>
      </c>
      <c r="BC2150">
        <v>0</v>
      </c>
      <c r="BD2150">
        <v>0</v>
      </c>
      <c r="BE2150">
        <v>0</v>
      </c>
      <c r="BF2150">
        <v>0</v>
      </c>
      <c r="BG2150">
        <v>0</v>
      </c>
      <c r="BH2150">
        <v>1</v>
      </c>
      <c r="BI2150">
        <v>1</v>
      </c>
      <c r="BJ2150">
        <v>0.2</v>
      </c>
      <c r="BK2150">
        <v>1</v>
      </c>
      <c r="BL2150">
        <v>71.69</v>
      </c>
      <c r="BM2150">
        <v>10.75</v>
      </c>
      <c r="BN2150">
        <v>82.44</v>
      </c>
      <c r="BO2150">
        <v>82.44</v>
      </c>
      <c r="BQ2150" t="s">
        <v>535</v>
      </c>
      <c r="BR2150" t="s">
        <v>84</v>
      </c>
      <c r="BS2150" s="3">
        <v>45884</v>
      </c>
      <c r="BT2150" s="4">
        <v>0.41319444444444442</v>
      </c>
      <c r="BU2150" t="s">
        <v>2683</v>
      </c>
      <c r="BV2150" t="s">
        <v>86</v>
      </c>
      <c r="BY2150">
        <v>1200</v>
      </c>
      <c r="CA2150" t="s">
        <v>1238</v>
      </c>
      <c r="CC2150" t="s">
        <v>124</v>
      </c>
      <c r="CD2150">
        <v>7480</v>
      </c>
      <c r="CE2150" t="s">
        <v>109</v>
      </c>
      <c r="CF2150" s="3">
        <v>45887</v>
      </c>
      <c r="CI2150">
        <v>1</v>
      </c>
      <c r="CJ2150">
        <v>1</v>
      </c>
      <c r="CK2150">
        <v>21</v>
      </c>
      <c r="CL2150" t="s">
        <v>90</v>
      </c>
    </row>
    <row r="2151" spans="1:90" x14ac:dyDescent="0.3">
      <c r="A2151" t="s">
        <v>72</v>
      </c>
      <c r="B2151" t="s">
        <v>73</v>
      </c>
      <c r="C2151" t="s">
        <v>74</v>
      </c>
      <c r="E2151" t="str">
        <f>"080067246441"</f>
        <v>080067246441</v>
      </c>
      <c r="F2151" s="3">
        <v>45883</v>
      </c>
      <c r="G2151">
        <v>202605</v>
      </c>
      <c r="H2151" t="s">
        <v>75</v>
      </c>
      <c r="I2151" t="s">
        <v>76</v>
      </c>
      <c r="J2151" t="s">
        <v>77</v>
      </c>
      <c r="K2151" t="s">
        <v>78</v>
      </c>
      <c r="L2151" t="s">
        <v>217</v>
      </c>
      <c r="M2151" t="s">
        <v>218</v>
      </c>
      <c r="N2151" t="s">
        <v>219</v>
      </c>
      <c r="O2151" t="s">
        <v>82</v>
      </c>
      <c r="P2151" t="str">
        <f>"4170055006                    "</f>
        <v xml:space="preserve">4170055006                    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0</v>
      </c>
      <c r="AI2151">
        <v>0</v>
      </c>
      <c r="AJ2151">
        <v>0</v>
      </c>
      <c r="AK2151">
        <v>0</v>
      </c>
      <c r="AL2151">
        <v>0</v>
      </c>
      <c r="AM2151">
        <v>0</v>
      </c>
      <c r="AN2151">
        <v>0</v>
      </c>
      <c r="AO2151">
        <v>0</v>
      </c>
      <c r="AP2151">
        <v>0</v>
      </c>
      <c r="AQ2151">
        <v>40.380000000000003</v>
      </c>
      <c r="AR2151">
        <v>0</v>
      </c>
      <c r="AS2151">
        <v>0</v>
      </c>
      <c r="AT2151">
        <v>0</v>
      </c>
      <c r="AU2151">
        <v>0</v>
      </c>
      <c r="AV2151">
        <v>0</v>
      </c>
      <c r="AW2151">
        <v>0</v>
      </c>
      <c r="AX2151">
        <v>0</v>
      </c>
      <c r="AY2151">
        <v>0</v>
      </c>
      <c r="AZ2151">
        <v>0</v>
      </c>
      <c r="BA2151">
        <v>0</v>
      </c>
      <c r="BB2151">
        <v>0</v>
      </c>
      <c r="BC2151">
        <v>0</v>
      </c>
      <c r="BD2151">
        <v>0</v>
      </c>
      <c r="BE2151">
        <v>0</v>
      </c>
      <c r="BF2151">
        <v>0</v>
      </c>
      <c r="BG2151">
        <v>0</v>
      </c>
      <c r="BH2151">
        <v>1</v>
      </c>
      <c r="BI2151">
        <v>1</v>
      </c>
      <c r="BJ2151">
        <v>3.4</v>
      </c>
      <c r="BK2151">
        <v>3.5</v>
      </c>
      <c r="BL2151">
        <v>125.4</v>
      </c>
      <c r="BM2151">
        <v>18.809999999999999</v>
      </c>
      <c r="BN2151">
        <v>144.21</v>
      </c>
      <c r="BO2151">
        <v>144.21</v>
      </c>
      <c r="BQ2151" t="s">
        <v>220</v>
      </c>
      <c r="BR2151" t="s">
        <v>84</v>
      </c>
      <c r="BS2151" s="3">
        <v>45884</v>
      </c>
      <c r="BT2151" s="4">
        <v>0.3215277777777778</v>
      </c>
      <c r="BU2151" t="s">
        <v>2366</v>
      </c>
      <c r="BV2151" t="s">
        <v>86</v>
      </c>
      <c r="BY2151">
        <v>16965</v>
      </c>
      <c r="CA2151" t="s">
        <v>566</v>
      </c>
      <c r="CC2151" t="s">
        <v>218</v>
      </c>
      <c r="CD2151">
        <v>4051</v>
      </c>
      <c r="CE2151" t="s">
        <v>147</v>
      </c>
      <c r="CF2151" s="3">
        <v>45884</v>
      </c>
      <c r="CI2151">
        <v>1</v>
      </c>
      <c r="CJ2151">
        <v>1</v>
      </c>
      <c r="CK2151">
        <v>21</v>
      </c>
      <c r="CL2151" t="s">
        <v>90</v>
      </c>
    </row>
    <row r="2152" spans="1:90" x14ac:dyDescent="0.3">
      <c r="A2152" t="s">
        <v>72</v>
      </c>
      <c r="B2152" t="s">
        <v>73</v>
      </c>
      <c r="C2152" t="s">
        <v>74</v>
      </c>
      <c r="E2152" t="str">
        <f>"080067246490"</f>
        <v>080067246490</v>
      </c>
      <c r="F2152" s="3">
        <v>45883</v>
      </c>
      <c r="G2152">
        <v>202605</v>
      </c>
      <c r="H2152" t="s">
        <v>75</v>
      </c>
      <c r="I2152" t="s">
        <v>76</v>
      </c>
      <c r="J2152" t="s">
        <v>77</v>
      </c>
      <c r="K2152" t="s">
        <v>78</v>
      </c>
      <c r="L2152" t="s">
        <v>118</v>
      </c>
      <c r="M2152" t="s">
        <v>118</v>
      </c>
      <c r="N2152" t="s">
        <v>833</v>
      </c>
      <c r="O2152" t="s">
        <v>82</v>
      </c>
      <c r="P2152" t="str">
        <f>"4170054844                    "</f>
        <v xml:space="preserve">4170054844                    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0</v>
      </c>
      <c r="AI2152">
        <v>0</v>
      </c>
      <c r="AJ2152"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0</v>
      </c>
      <c r="AQ2152">
        <v>206.3</v>
      </c>
      <c r="AR2152">
        <v>0</v>
      </c>
      <c r="AS2152">
        <v>0</v>
      </c>
      <c r="AT2152">
        <v>0</v>
      </c>
      <c r="AU2152">
        <v>0</v>
      </c>
      <c r="AV2152">
        <v>0</v>
      </c>
      <c r="AW2152">
        <v>0</v>
      </c>
      <c r="AX2152">
        <v>0</v>
      </c>
      <c r="AY2152">
        <v>0</v>
      </c>
      <c r="AZ2152">
        <v>0</v>
      </c>
      <c r="BA2152">
        <v>0</v>
      </c>
      <c r="BB2152">
        <v>0</v>
      </c>
      <c r="BC2152">
        <v>0</v>
      </c>
      <c r="BD2152">
        <v>0</v>
      </c>
      <c r="BE2152">
        <v>0</v>
      </c>
      <c r="BF2152">
        <v>0</v>
      </c>
      <c r="BG2152">
        <v>0</v>
      </c>
      <c r="BH2152">
        <v>1</v>
      </c>
      <c r="BI2152">
        <v>10</v>
      </c>
      <c r="BJ2152">
        <v>8.9</v>
      </c>
      <c r="BK2152">
        <v>10</v>
      </c>
      <c r="BL2152">
        <v>640.62</v>
      </c>
      <c r="BM2152">
        <v>96.09</v>
      </c>
      <c r="BN2152">
        <v>736.71</v>
      </c>
      <c r="BO2152">
        <v>736.71</v>
      </c>
      <c r="BQ2152" t="s">
        <v>834</v>
      </c>
      <c r="BR2152" t="s">
        <v>84</v>
      </c>
      <c r="BS2152" s="3">
        <v>45884</v>
      </c>
      <c r="BT2152" s="4">
        <v>0.53749999999999998</v>
      </c>
      <c r="BU2152" t="s">
        <v>835</v>
      </c>
      <c r="BV2152" t="s">
        <v>86</v>
      </c>
      <c r="BY2152">
        <v>44640</v>
      </c>
      <c r="CA2152" t="s">
        <v>122</v>
      </c>
      <c r="CC2152" t="s">
        <v>118</v>
      </c>
      <c r="CD2152">
        <v>7646</v>
      </c>
      <c r="CE2152" t="s">
        <v>147</v>
      </c>
      <c r="CF2152" s="3">
        <v>45887</v>
      </c>
      <c r="CI2152">
        <v>1</v>
      </c>
      <c r="CJ2152">
        <v>1</v>
      </c>
      <c r="CK2152">
        <v>23</v>
      </c>
      <c r="CL2152" t="s">
        <v>90</v>
      </c>
    </row>
    <row r="2153" spans="1:90" x14ac:dyDescent="0.3">
      <c r="A2153" t="s">
        <v>72</v>
      </c>
      <c r="B2153" t="s">
        <v>73</v>
      </c>
      <c r="C2153" t="s">
        <v>74</v>
      </c>
      <c r="E2153" t="str">
        <f>"080067246538"</f>
        <v>080067246538</v>
      </c>
      <c r="F2153" s="3">
        <v>45883</v>
      </c>
      <c r="G2153">
        <v>202605</v>
      </c>
      <c r="H2153" t="s">
        <v>75</v>
      </c>
      <c r="I2153" t="s">
        <v>76</v>
      </c>
      <c r="J2153" t="s">
        <v>77</v>
      </c>
      <c r="K2153" t="s">
        <v>78</v>
      </c>
      <c r="L2153" t="s">
        <v>198</v>
      </c>
      <c r="M2153" t="s">
        <v>199</v>
      </c>
      <c r="N2153" t="s">
        <v>410</v>
      </c>
      <c r="O2153" t="s">
        <v>82</v>
      </c>
      <c r="P2153" t="str">
        <f>"4170054987                    "</f>
        <v xml:space="preserve">4170054987                    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0</v>
      </c>
      <c r="AI2153">
        <v>0</v>
      </c>
      <c r="AJ2153"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0</v>
      </c>
      <c r="AQ2153">
        <v>109.58</v>
      </c>
      <c r="AR2153">
        <v>0</v>
      </c>
      <c r="AS2153">
        <v>0</v>
      </c>
      <c r="AT2153">
        <v>0</v>
      </c>
      <c r="AU2153">
        <v>0</v>
      </c>
      <c r="AV2153">
        <v>0</v>
      </c>
      <c r="AW2153">
        <v>0</v>
      </c>
      <c r="AX2153">
        <v>0</v>
      </c>
      <c r="AY2153">
        <v>0</v>
      </c>
      <c r="AZ2153">
        <v>0</v>
      </c>
      <c r="BA2153">
        <v>0</v>
      </c>
      <c r="BB2153">
        <v>0</v>
      </c>
      <c r="BC2153">
        <v>0</v>
      </c>
      <c r="BD2153">
        <v>0</v>
      </c>
      <c r="BE2153">
        <v>0</v>
      </c>
      <c r="BF2153">
        <v>0</v>
      </c>
      <c r="BG2153">
        <v>0</v>
      </c>
      <c r="BH2153">
        <v>1</v>
      </c>
      <c r="BI2153">
        <v>4</v>
      </c>
      <c r="BJ2153">
        <v>9.5</v>
      </c>
      <c r="BK2153">
        <v>9.5</v>
      </c>
      <c r="BL2153">
        <v>340.28</v>
      </c>
      <c r="BM2153">
        <v>51.04</v>
      </c>
      <c r="BN2153">
        <v>391.32</v>
      </c>
      <c r="BO2153">
        <v>391.32</v>
      </c>
      <c r="BQ2153" t="s">
        <v>411</v>
      </c>
      <c r="BR2153" t="s">
        <v>84</v>
      </c>
      <c r="BS2153" s="3">
        <v>45884</v>
      </c>
      <c r="BT2153" s="4">
        <v>0.43680555555555556</v>
      </c>
      <c r="BU2153" t="s">
        <v>1411</v>
      </c>
      <c r="BV2153" t="s">
        <v>86</v>
      </c>
      <c r="BY2153">
        <v>47520</v>
      </c>
      <c r="CA2153" t="s">
        <v>413</v>
      </c>
      <c r="CC2153" t="s">
        <v>199</v>
      </c>
      <c r="CD2153">
        <v>6001</v>
      </c>
      <c r="CE2153" t="s">
        <v>117</v>
      </c>
      <c r="CF2153" s="3">
        <v>45884</v>
      </c>
      <c r="CI2153">
        <v>1</v>
      </c>
      <c r="CJ2153">
        <v>1</v>
      </c>
      <c r="CK2153">
        <v>21</v>
      </c>
      <c r="CL2153" t="s">
        <v>90</v>
      </c>
    </row>
    <row r="2154" spans="1:90" x14ac:dyDescent="0.3">
      <c r="A2154" t="s">
        <v>72</v>
      </c>
      <c r="B2154" t="s">
        <v>73</v>
      </c>
      <c r="C2154" t="s">
        <v>74</v>
      </c>
      <c r="E2154" t="str">
        <f>"080067246571"</f>
        <v>080067246571</v>
      </c>
      <c r="F2154" s="3">
        <v>45883</v>
      </c>
      <c r="G2154">
        <v>202605</v>
      </c>
      <c r="H2154" t="s">
        <v>75</v>
      </c>
      <c r="I2154" t="s">
        <v>76</v>
      </c>
      <c r="J2154" t="s">
        <v>77</v>
      </c>
      <c r="K2154" t="s">
        <v>78</v>
      </c>
      <c r="L2154" t="s">
        <v>162</v>
      </c>
      <c r="M2154" t="s">
        <v>163</v>
      </c>
      <c r="N2154" t="s">
        <v>811</v>
      </c>
      <c r="O2154" t="s">
        <v>82</v>
      </c>
      <c r="P2154" t="str">
        <f>"4170054965                    "</f>
        <v xml:space="preserve">4170054965                    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0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Q2154">
        <v>46.15</v>
      </c>
      <c r="AR2154">
        <v>0</v>
      </c>
      <c r="AS2154">
        <v>0</v>
      </c>
      <c r="AT2154">
        <v>0</v>
      </c>
      <c r="AU2154">
        <v>0</v>
      </c>
      <c r="AV2154">
        <v>0</v>
      </c>
      <c r="AW2154">
        <v>0</v>
      </c>
      <c r="AX2154">
        <v>0</v>
      </c>
      <c r="AY2154">
        <v>0</v>
      </c>
      <c r="AZ2154">
        <v>0</v>
      </c>
      <c r="BA2154">
        <v>0</v>
      </c>
      <c r="BB2154">
        <v>0</v>
      </c>
      <c r="BC2154">
        <v>0</v>
      </c>
      <c r="BD2154">
        <v>0</v>
      </c>
      <c r="BE2154">
        <v>0</v>
      </c>
      <c r="BF2154">
        <v>0</v>
      </c>
      <c r="BG2154">
        <v>0</v>
      </c>
      <c r="BH2154">
        <v>1</v>
      </c>
      <c r="BI2154">
        <v>4</v>
      </c>
      <c r="BJ2154">
        <v>2.2000000000000002</v>
      </c>
      <c r="BK2154">
        <v>4</v>
      </c>
      <c r="BL2154">
        <v>143.31</v>
      </c>
      <c r="BM2154">
        <v>21.5</v>
      </c>
      <c r="BN2154">
        <v>164.81</v>
      </c>
      <c r="BO2154">
        <v>164.81</v>
      </c>
      <c r="BQ2154" t="s">
        <v>812</v>
      </c>
      <c r="BR2154" t="s">
        <v>84</v>
      </c>
      <c r="BS2154" s="3">
        <v>45884</v>
      </c>
      <c r="BT2154" s="4">
        <v>0.41666666666666669</v>
      </c>
      <c r="BU2154" t="s">
        <v>813</v>
      </c>
      <c r="BV2154" t="s">
        <v>86</v>
      </c>
      <c r="BY2154">
        <v>10752</v>
      </c>
      <c r="CA2154" t="s">
        <v>814</v>
      </c>
      <c r="CC2154" t="s">
        <v>163</v>
      </c>
      <c r="CD2154">
        <v>3201</v>
      </c>
      <c r="CE2154" t="s">
        <v>117</v>
      </c>
      <c r="CF2154" s="3">
        <v>45885</v>
      </c>
      <c r="CI2154">
        <v>1</v>
      </c>
      <c r="CJ2154">
        <v>1</v>
      </c>
      <c r="CK2154">
        <v>21</v>
      </c>
      <c r="CL2154" t="s">
        <v>90</v>
      </c>
    </row>
    <row r="2155" spans="1:90" x14ac:dyDescent="0.3">
      <c r="A2155" t="s">
        <v>72</v>
      </c>
      <c r="B2155" t="s">
        <v>73</v>
      </c>
      <c r="C2155" t="s">
        <v>74</v>
      </c>
      <c r="E2155" t="str">
        <f>"080067246602"</f>
        <v>080067246602</v>
      </c>
      <c r="F2155" s="3">
        <v>45883</v>
      </c>
      <c r="G2155">
        <v>202605</v>
      </c>
      <c r="H2155" t="s">
        <v>75</v>
      </c>
      <c r="I2155" t="s">
        <v>76</v>
      </c>
      <c r="J2155" t="s">
        <v>77</v>
      </c>
      <c r="K2155" t="s">
        <v>78</v>
      </c>
      <c r="L2155" t="s">
        <v>400</v>
      </c>
      <c r="M2155" t="s">
        <v>401</v>
      </c>
      <c r="N2155" t="s">
        <v>788</v>
      </c>
      <c r="O2155" t="s">
        <v>82</v>
      </c>
      <c r="P2155" t="str">
        <f>"4170054889                    "</f>
        <v xml:space="preserve">4170054889                    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0</v>
      </c>
      <c r="AI2155">
        <v>0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0</v>
      </c>
      <c r="AQ2155">
        <v>40.380000000000003</v>
      </c>
      <c r="AR2155">
        <v>0</v>
      </c>
      <c r="AS2155">
        <v>0</v>
      </c>
      <c r="AT2155">
        <v>0</v>
      </c>
      <c r="AU2155">
        <v>0</v>
      </c>
      <c r="AV2155">
        <v>0</v>
      </c>
      <c r="AW2155">
        <v>0</v>
      </c>
      <c r="AX2155">
        <v>0</v>
      </c>
      <c r="AY2155">
        <v>0</v>
      </c>
      <c r="AZ2155">
        <v>0</v>
      </c>
      <c r="BA2155">
        <v>0</v>
      </c>
      <c r="BB2155">
        <v>0</v>
      </c>
      <c r="BC2155">
        <v>0</v>
      </c>
      <c r="BD2155">
        <v>0</v>
      </c>
      <c r="BE2155">
        <v>0</v>
      </c>
      <c r="BF2155">
        <v>0</v>
      </c>
      <c r="BG2155">
        <v>0</v>
      </c>
      <c r="BH2155">
        <v>1</v>
      </c>
      <c r="BI2155">
        <v>3</v>
      </c>
      <c r="BJ2155">
        <v>3.4</v>
      </c>
      <c r="BK2155">
        <v>3.5</v>
      </c>
      <c r="BL2155">
        <v>125.4</v>
      </c>
      <c r="BM2155">
        <v>18.809999999999999</v>
      </c>
      <c r="BN2155">
        <v>144.21</v>
      </c>
      <c r="BO2155">
        <v>144.21</v>
      </c>
      <c r="BQ2155" t="s">
        <v>789</v>
      </c>
      <c r="BR2155" t="s">
        <v>84</v>
      </c>
      <c r="BS2155" s="3">
        <v>45884</v>
      </c>
      <c r="BT2155" s="4">
        <v>0.39513888888888887</v>
      </c>
      <c r="BU2155" t="s">
        <v>1926</v>
      </c>
      <c r="BV2155" t="s">
        <v>86</v>
      </c>
      <c r="BY2155">
        <v>16965</v>
      </c>
      <c r="CA2155" t="s">
        <v>405</v>
      </c>
      <c r="CC2155" t="s">
        <v>401</v>
      </c>
      <c r="CD2155">
        <v>6230</v>
      </c>
      <c r="CE2155" t="s">
        <v>147</v>
      </c>
      <c r="CF2155" s="3">
        <v>45884</v>
      </c>
      <c r="CI2155">
        <v>1</v>
      </c>
      <c r="CJ2155">
        <v>1</v>
      </c>
      <c r="CK2155">
        <v>21</v>
      </c>
      <c r="CL2155" t="s">
        <v>90</v>
      </c>
    </row>
    <row r="2156" spans="1:90" x14ac:dyDescent="0.3">
      <c r="A2156" t="s">
        <v>72</v>
      </c>
      <c r="B2156" t="s">
        <v>73</v>
      </c>
      <c r="C2156" t="s">
        <v>74</v>
      </c>
      <c r="E2156" t="str">
        <f>"080067246626"</f>
        <v>080067246626</v>
      </c>
      <c r="F2156" s="3">
        <v>45883</v>
      </c>
      <c r="G2156">
        <v>202605</v>
      </c>
      <c r="H2156" t="s">
        <v>75</v>
      </c>
      <c r="I2156" t="s">
        <v>76</v>
      </c>
      <c r="J2156" t="s">
        <v>77</v>
      </c>
      <c r="K2156" t="s">
        <v>78</v>
      </c>
      <c r="L2156" t="s">
        <v>118</v>
      </c>
      <c r="M2156" t="s">
        <v>118</v>
      </c>
      <c r="N2156" t="s">
        <v>1965</v>
      </c>
      <c r="O2156" t="s">
        <v>82</v>
      </c>
      <c r="P2156" t="str">
        <f>"4170054859                    "</f>
        <v xml:space="preserve">4170054859                    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0</v>
      </c>
      <c r="AQ2156">
        <v>44.73</v>
      </c>
      <c r="AR2156">
        <v>0</v>
      </c>
      <c r="AS2156">
        <v>0</v>
      </c>
      <c r="AT2156">
        <v>0</v>
      </c>
      <c r="AU2156">
        <v>0</v>
      </c>
      <c r="AV2156">
        <v>0</v>
      </c>
      <c r="AW2156">
        <v>0</v>
      </c>
      <c r="AX2156">
        <v>0</v>
      </c>
      <c r="AY2156">
        <v>0</v>
      </c>
      <c r="AZ2156">
        <v>0</v>
      </c>
      <c r="BA2156">
        <v>0</v>
      </c>
      <c r="BB2156">
        <v>0</v>
      </c>
      <c r="BC2156">
        <v>0</v>
      </c>
      <c r="BD2156">
        <v>0</v>
      </c>
      <c r="BE2156">
        <v>0</v>
      </c>
      <c r="BF2156">
        <v>0</v>
      </c>
      <c r="BG2156">
        <v>0</v>
      </c>
      <c r="BH2156">
        <v>1</v>
      </c>
      <c r="BI2156">
        <v>1</v>
      </c>
      <c r="BJ2156">
        <v>1.1000000000000001</v>
      </c>
      <c r="BK2156">
        <v>1.5</v>
      </c>
      <c r="BL2156">
        <v>138.88999999999999</v>
      </c>
      <c r="BM2156">
        <v>20.83</v>
      </c>
      <c r="BN2156">
        <v>159.72</v>
      </c>
      <c r="BO2156">
        <v>159.72</v>
      </c>
      <c r="BQ2156" t="s">
        <v>1966</v>
      </c>
      <c r="BR2156" t="s">
        <v>84</v>
      </c>
      <c r="BS2156" s="3">
        <v>45884</v>
      </c>
      <c r="BT2156" s="4">
        <v>0.52916666666666667</v>
      </c>
      <c r="BU2156" t="s">
        <v>615</v>
      </c>
      <c r="BV2156" t="s">
        <v>86</v>
      </c>
      <c r="BY2156">
        <v>5320</v>
      </c>
      <c r="CA2156" t="s">
        <v>122</v>
      </c>
      <c r="CC2156" t="s">
        <v>118</v>
      </c>
      <c r="CD2156">
        <v>7646</v>
      </c>
      <c r="CE2156" t="s">
        <v>147</v>
      </c>
      <c r="CF2156" s="3">
        <v>45887</v>
      </c>
      <c r="CI2156">
        <v>1</v>
      </c>
      <c r="CJ2156">
        <v>1</v>
      </c>
      <c r="CK2156">
        <v>23</v>
      </c>
      <c r="CL2156" t="s">
        <v>90</v>
      </c>
    </row>
    <row r="2157" spans="1:90" x14ac:dyDescent="0.3">
      <c r="A2157" t="s">
        <v>72</v>
      </c>
      <c r="B2157" t="s">
        <v>73</v>
      </c>
      <c r="C2157" t="s">
        <v>74</v>
      </c>
      <c r="E2157" t="str">
        <f>"080067246664"</f>
        <v>080067246664</v>
      </c>
      <c r="F2157" s="3">
        <v>45883</v>
      </c>
      <c r="G2157">
        <v>202605</v>
      </c>
      <c r="H2157" t="s">
        <v>75</v>
      </c>
      <c r="I2157" t="s">
        <v>76</v>
      </c>
      <c r="J2157" t="s">
        <v>77</v>
      </c>
      <c r="K2157" t="s">
        <v>78</v>
      </c>
      <c r="L2157" t="s">
        <v>278</v>
      </c>
      <c r="M2157" t="s">
        <v>279</v>
      </c>
      <c r="N2157" t="s">
        <v>285</v>
      </c>
      <c r="O2157" t="s">
        <v>82</v>
      </c>
      <c r="P2157" t="str">
        <f>"4170054904                    "</f>
        <v xml:space="preserve">4170054904                    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0</v>
      </c>
      <c r="AI2157">
        <v>0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0</v>
      </c>
      <c r="AQ2157">
        <v>23.09</v>
      </c>
      <c r="AR2157">
        <v>0</v>
      </c>
      <c r="AS2157">
        <v>0</v>
      </c>
      <c r="AT2157">
        <v>0</v>
      </c>
      <c r="AU2157">
        <v>0</v>
      </c>
      <c r="AV2157">
        <v>0</v>
      </c>
      <c r="AW2157">
        <v>0</v>
      </c>
      <c r="AX2157">
        <v>0</v>
      </c>
      <c r="AY2157">
        <v>0</v>
      </c>
      <c r="AZ2157">
        <v>0</v>
      </c>
      <c r="BA2157">
        <v>0</v>
      </c>
      <c r="BB2157">
        <v>0</v>
      </c>
      <c r="BC2157">
        <v>0</v>
      </c>
      <c r="BD2157">
        <v>0</v>
      </c>
      <c r="BE2157">
        <v>0</v>
      </c>
      <c r="BF2157">
        <v>0</v>
      </c>
      <c r="BG2157">
        <v>0</v>
      </c>
      <c r="BH2157">
        <v>1</v>
      </c>
      <c r="BI2157">
        <v>1</v>
      </c>
      <c r="BJ2157">
        <v>1.1000000000000001</v>
      </c>
      <c r="BK2157">
        <v>1.5</v>
      </c>
      <c r="BL2157">
        <v>71.69</v>
      </c>
      <c r="BM2157">
        <v>10.75</v>
      </c>
      <c r="BN2157">
        <v>82.44</v>
      </c>
      <c r="BO2157">
        <v>82.44</v>
      </c>
      <c r="BQ2157" t="s">
        <v>286</v>
      </c>
      <c r="BR2157" t="s">
        <v>84</v>
      </c>
      <c r="BS2157" s="3">
        <v>45884</v>
      </c>
      <c r="BT2157" s="4">
        <v>0.36736111111111114</v>
      </c>
      <c r="BU2157" t="s">
        <v>287</v>
      </c>
      <c r="BV2157" t="s">
        <v>86</v>
      </c>
      <c r="BY2157">
        <v>5320</v>
      </c>
      <c r="CA2157" t="s">
        <v>288</v>
      </c>
      <c r="CC2157" t="s">
        <v>279</v>
      </c>
      <c r="CD2157" s="5" t="s">
        <v>289</v>
      </c>
      <c r="CE2157" t="s">
        <v>147</v>
      </c>
      <c r="CF2157" s="3">
        <v>45884</v>
      </c>
      <c r="CI2157">
        <v>1</v>
      </c>
      <c r="CJ2157">
        <v>1</v>
      </c>
      <c r="CK2157">
        <v>21</v>
      </c>
      <c r="CL2157" t="s">
        <v>90</v>
      </c>
    </row>
    <row r="2158" spans="1:90" x14ac:dyDescent="0.3">
      <c r="A2158" t="s">
        <v>72</v>
      </c>
      <c r="B2158" t="s">
        <v>73</v>
      </c>
      <c r="C2158" t="s">
        <v>74</v>
      </c>
      <c r="E2158" t="str">
        <f>"080067246694"</f>
        <v>080067246694</v>
      </c>
      <c r="F2158" s="3">
        <v>45883</v>
      </c>
      <c r="G2158">
        <v>202605</v>
      </c>
      <c r="H2158" t="s">
        <v>75</v>
      </c>
      <c r="I2158" t="s">
        <v>76</v>
      </c>
      <c r="J2158" t="s">
        <v>77</v>
      </c>
      <c r="K2158" t="s">
        <v>78</v>
      </c>
      <c r="L2158" t="s">
        <v>325</v>
      </c>
      <c r="M2158" t="s">
        <v>326</v>
      </c>
      <c r="N2158" t="s">
        <v>1434</v>
      </c>
      <c r="O2158" t="s">
        <v>82</v>
      </c>
      <c r="P2158" t="str">
        <f>"4170055001                    "</f>
        <v xml:space="preserve">4170055001                    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0</v>
      </c>
      <c r="AL2158">
        <v>0</v>
      </c>
      <c r="AM2158">
        <v>0</v>
      </c>
      <c r="AN2158">
        <v>0</v>
      </c>
      <c r="AO2158">
        <v>0</v>
      </c>
      <c r="AP2158">
        <v>0</v>
      </c>
      <c r="AQ2158">
        <v>18.03</v>
      </c>
      <c r="AR2158">
        <v>0</v>
      </c>
      <c r="AS2158">
        <v>0</v>
      </c>
      <c r="AT2158">
        <v>0</v>
      </c>
      <c r="AU2158">
        <v>0</v>
      </c>
      <c r="AV2158">
        <v>0</v>
      </c>
      <c r="AW2158">
        <v>0</v>
      </c>
      <c r="AX2158">
        <v>0</v>
      </c>
      <c r="AY2158">
        <v>0</v>
      </c>
      <c r="AZ2158">
        <v>0</v>
      </c>
      <c r="BA2158">
        <v>0</v>
      </c>
      <c r="BB2158">
        <v>0</v>
      </c>
      <c r="BC2158">
        <v>0</v>
      </c>
      <c r="BD2158">
        <v>0</v>
      </c>
      <c r="BE2158">
        <v>0</v>
      </c>
      <c r="BF2158">
        <v>0</v>
      </c>
      <c r="BG2158">
        <v>0</v>
      </c>
      <c r="BH2158">
        <v>1</v>
      </c>
      <c r="BI2158">
        <v>1</v>
      </c>
      <c r="BJ2158">
        <v>1.1000000000000001</v>
      </c>
      <c r="BK2158">
        <v>2</v>
      </c>
      <c r="BL2158">
        <v>55.99</v>
      </c>
      <c r="BM2158">
        <v>8.4</v>
      </c>
      <c r="BN2158">
        <v>64.39</v>
      </c>
      <c r="BO2158">
        <v>64.39</v>
      </c>
      <c r="BQ2158" t="s">
        <v>1435</v>
      </c>
      <c r="BR2158" t="s">
        <v>84</v>
      </c>
      <c r="BS2158" s="3">
        <v>45884</v>
      </c>
      <c r="BT2158" s="4">
        <v>0.35069444444444442</v>
      </c>
      <c r="BU2158" t="s">
        <v>2665</v>
      </c>
      <c r="BV2158" t="s">
        <v>86</v>
      </c>
      <c r="BY2158">
        <v>5320</v>
      </c>
      <c r="CA2158" t="s">
        <v>461</v>
      </c>
      <c r="CC2158" t="s">
        <v>326</v>
      </c>
      <c r="CD2158">
        <v>2094</v>
      </c>
      <c r="CE2158" t="s">
        <v>147</v>
      </c>
      <c r="CF2158" s="3">
        <v>45885</v>
      </c>
      <c r="CI2158">
        <v>1</v>
      </c>
      <c r="CJ2158">
        <v>1</v>
      </c>
      <c r="CK2158">
        <v>22</v>
      </c>
      <c r="CL2158" t="s">
        <v>90</v>
      </c>
    </row>
    <row r="2159" spans="1:90" x14ac:dyDescent="0.3">
      <c r="A2159" t="s">
        <v>72</v>
      </c>
      <c r="B2159" t="s">
        <v>73</v>
      </c>
      <c r="C2159" t="s">
        <v>74</v>
      </c>
      <c r="E2159" t="str">
        <f>"080067246721"</f>
        <v>080067246721</v>
      </c>
      <c r="F2159" s="3">
        <v>45883</v>
      </c>
      <c r="G2159">
        <v>202605</v>
      </c>
      <c r="H2159" t="s">
        <v>75</v>
      </c>
      <c r="I2159" t="s">
        <v>76</v>
      </c>
      <c r="J2159" t="s">
        <v>77</v>
      </c>
      <c r="K2159" t="s">
        <v>78</v>
      </c>
      <c r="L2159" t="s">
        <v>319</v>
      </c>
      <c r="M2159" t="s">
        <v>320</v>
      </c>
      <c r="N2159" t="s">
        <v>321</v>
      </c>
      <c r="O2159" t="s">
        <v>82</v>
      </c>
      <c r="P2159" t="str">
        <f>"4170054918                    "</f>
        <v xml:space="preserve">4170054918                    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0</v>
      </c>
      <c r="AL2159">
        <v>0</v>
      </c>
      <c r="AM2159">
        <v>0</v>
      </c>
      <c r="AN2159">
        <v>0</v>
      </c>
      <c r="AO2159">
        <v>0</v>
      </c>
      <c r="AP2159">
        <v>0</v>
      </c>
      <c r="AQ2159">
        <v>186.11</v>
      </c>
      <c r="AR2159">
        <v>0</v>
      </c>
      <c r="AS2159">
        <v>0</v>
      </c>
      <c r="AT2159">
        <v>0</v>
      </c>
      <c r="AU2159">
        <v>0</v>
      </c>
      <c r="AV2159">
        <v>0</v>
      </c>
      <c r="AW2159">
        <v>0</v>
      </c>
      <c r="AX2159">
        <v>0</v>
      </c>
      <c r="AY2159">
        <v>0</v>
      </c>
      <c r="AZ2159">
        <v>0</v>
      </c>
      <c r="BA2159">
        <v>0</v>
      </c>
      <c r="BB2159">
        <v>0</v>
      </c>
      <c r="BC2159">
        <v>0</v>
      </c>
      <c r="BD2159">
        <v>0</v>
      </c>
      <c r="BE2159">
        <v>0</v>
      </c>
      <c r="BF2159">
        <v>0</v>
      </c>
      <c r="BG2159">
        <v>0</v>
      </c>
      <c r="BH2159">
        <v>1</v>
      </c>
      <c r="BI2159">
        <v>9</v>
      </c>
      <c r="BJ2159">
        <v>3.8</v>
      </c>
      <c r="BK2159">
        <v>9</v>
      </c>
      <c r="BL2159">
        <v>577.91</v>
      </c>
      <c r="BM2159">
        <v>86.69</v>
      </c>
      <c r="BN2159">
        <v>664.6</v>
      </c>
      <c r="BO2159">
        <v>664.6</v>
      </c>
      <c r="BQ2159" t="s">
        <v>322</v>
      </c>
      <c r="BR2159" t="s">
        <v>84</v>
      </c>
      <c r="BS2159" s="3">
        <v>45884</v>
      </c>
      <c r="BT2159" s="4">
        <v>0.44444444444444442</v>
      </c>
      <c r="BU2159" t="s">
        <v>1094</v>
      </c>
      <c r="BV2159" t="s">
        <v>86</v>
      </c>
      <c r="BY2159">
        <v>19227</v>
      </c>
      <c r="CA2159" t="s">
        <v>324</v>
      </c>
      <c r="CC2159" t="s">
        <v>320</v>
      </c>
      <c r="CD2159">
        <v>2531</v>
      </c>
      <c r="CE2159" t="s">
        <v>147</v>
      </c>
      <c r="CF2159" s="3">
        <v>45887</v>
      </c>
      <c r="CI2159">
        <v>1</v>
      </c>
      <c r="CJ2159">
        <v>1</v>
      </c>
      <c r="CK2159">
        <v>23</v>
      </c>
      <c r="CL2159" t="s">
        <v>90</v>
      </c>
    </row>
    <row r="2160" spans="1:90" x14ac:dyDescent="0.3">
      <c r="A2160" t="s">
        <v>72</v>
      </c>
      <c r="B2160" t="s">
        <v>73</v>
      </c>
      <c r="C2160" t="s">
        <v>74</v>
      </c>
      <c r="E2160" t="str">
        <f>"080067246747"</f>
        <v>080067246747</v>
      </c>
      <c r="F2160" s="3">
        <v>45883</v>
      </c>
      <c r="G2160">
        <v>202605</v>
      </c>
      <c r="H2160" t="s">
        <v>75</v>
      </c>
      <c r="I2160" t="s">
        <v>76</v>
      </c>
      <c r="J2160" t="s">
        <v>77</v>
      </c>
      <c r="K2160" t="s">
        <v>78</v>
      </c>
      <c r="L2160" t="s">
        <v>162</v>
      </c>
      <c r="M2160" t="s">
        <v>163</v>
      </c>
      <c r="N2160" t="s">
        <v>2486</v>
      </c>
      <c r="O2160" t="s">
        <v>82</v>
      </c>
      <c r="P2160" t="str">
        <f>"4170054907                    "</f>
        <v xml:space="preserve">4170054907                    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0</v>
      </c>
      <c r="AI2160">
        <v>0</v>
      </c>
      <c r="AJ2160">
        <v>0</v>
      </c>
      <c r="AK2160">
        <v>0</v>
      </c>
      <c r="AL2160">
        <v>0</v>
      </c>
      <c r="AM2160">
        <v>0</v>
      </c>
      <c r="AN2160">
        <v>0</v>
      </c>
      <c r="AO2160">
        <v>0</v>
      </c>
      <c r="AP2160">
        <v>0</v>
      </c>
      <c r="AQ2160">
        <v>34.619999999999997</v>
      </c>
      <c r="AR2160">
        <v>0</v>
      </c>
      <c r="AS2160">
        <v>0</v>
      </c>
      <c r="AT2160">
        <v>0</v>
      </c>
      <c r="AU2160">
        <v>0</v>
      </c>
      <c r="AV2160">
        <v>0</v>
      </c>
      <c r="AW2160">
        <v>0</v>
      </c>
      <c r="AX2160">
        <v>0</v>
      </c>
      <c r="AY2160">
        <v>0</v>
      </c>
      <c r="AZ2160">
        <v>0</v>
      </c>
      <c r="BA2160">
        <v>0</v>
      </c>
      <c r="BB2160">
        <v>0</v>
      </c>
      <c r="BC2160">
        <v>0</v>
      </c>
      <c r="BD2160">
        <v>0</v>
      </c>
      <c r="BE2160">
        <v>0</v>
      </c>
      <c r="BF2160">
        <v>0</v>
      </c>
      <c r="BG2160">
        <v>0</v>
      </c>
      <c r="BH2160">
        <v>1</v>
      </c>
      <c r="BI2160">
        <v>3</v>
      </c>
      <c r="BJ2160">
        <v>0.9</v>
      </c>
      <c r="BK2160">
        <v>3</v>
      </c>
      <c r="BL2160">
        <v>107.5</v>
      </c>
      <c r="BM2160">
        <v>16.13</v>
      </c>
      <c r="BN2160">
        <v>123.63</v>
      </c>
      <c r="BO2160">
        <v>123.63</v>
      </c>
      <c r="BQ2160" t="s">
        <v>2487</v>
      </c>
      <c r="BR2160" t="s">
        <v>84</v>
      </c>
      <c r="BS2160" s="3">
        <v>45884</v>
      </c>
      <c r="BT2160" s="4">
        <v>0.41666666666666669</v>
      </c>
      <c r="BU2160" t="s">
        <v>2456</v>
      </c>
      <c r="BV2160" t="s">
        <v>86</v>
      </c>
      <c r="BY2160">
        <v>4275</v>
      </c>
      <c r="CC2160" t="s">
        <v>163</v>
      </c>
      <c r="CD2160">
        <v>3201</v>
      </c>
      <c r="CE2160" t="s">
        <v>147</v>
      </c>
      <c r="CF2160" s="3">
        <v>45885</v>
      </c>
      <c r="CI2160">
        <v>1</v>
      </c>
      <c r="CJ2160">
        <v>1</v>
      </c>
      <c r="CK2160">
        <v>21</v>
      </c>
      <c r="CL2160" t="s">
        <v>90</v>
      </c>
    </row>
    <row r="2161" spans="1:90" x14ac:dyDescent="0.3">
      <c r="A2161" t="s">
        <v>72</v>
      </c>
      <c r="B2161" t="s">
        <v>73</v>
      </c>
      <c r="C2161" t="s">
        <v>74</v>
      </c>
      <c r="E2161" t="str">
        <f>"080067246789"</f>
        <v>080067246789</v>
      </c>
      <c r="F2161" s="3">
        <v>45883</v>
      </c>
      <c r="G2161">
        <v>202605</v>
      </c>
      <c r="H2161" t="s">
        <v>75</v>
      </c>
      <c r="I2161" t="s">
        <v>76</v>
      </c>
      <c r="J2161" t="s">
        <v>77</v>
      </c>
      <c r="K2161" t="s">
        <v>78</v>
      </c>
      <c r="L2161" t="s">
        <v>349</v>
      </c>
      <c r="M2161" t="s">
        <v>350</v>
      </c>
      <c r="N2161" t="s">
        <v>476</v>
      </c>
      <c r="O2161" t="s">
        <v>82</v>
      </c>
      <c r="P2161" t="str">
        <f>"4170054926                    "</f>
        <v xml:space="preserve">4170054926                    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0</v>
      </c>
      <c r="AI2161">
        <v>0</v>
      </c>
      <c r="AJ2161">
        <v>0</v>
      </c>
      <c r="AK2161">
        <v>0</v>
      </c>
      <c r="AL2161">
        <v>0</v>
      </c>
      <c r="AM2161">
        <v>0</v>
      </c>
      <c r="AN2161">
        <v>0</v>
      </c>
      <c r="AO2161">
        <v>0</v>
      </c>
      <c r="AP2161">
        <v>0</v>
      </c>
      <c r="AQ2161">
        <v>64.92</v>
      </c>
      <c r="AR2161">
        <v>0</v>
      </c>
      <c r="AS2161">
        <v>0</v>
      </c>
      <c r="AT2161">
        <v>0</v>
      </c>
      <c r="AU2161">
        <v>0</v>
      </c>
      <c r="AV2161">
        <v>0</v>
      </c>
      <c r="AW2161">
        <v>16.739999999999998</v>
      </c>
      <c r="AX2161">
        <v>0</v>
      </c>
      <c r="AY2161">
        <v>0</v>
      </c>
      <c r="AZ2161">
        <v>0</v>
      </c>
      <c r="BA2161">
        <v>0</v>
      </c>
      <c r="BB2161">
        <v>0</v>
      </c>
      <c r="BC2161">
        <v>0</v>
      </c>
      <c r="BD2161">
        <v>0</v>
      </c>
      <c r="BE2161">
        <v>0</v>
      </c>
      <c r="BF2161">
        <v>0</v>
      </c>
      <c r="BG2161">
        <v>0</v>
      </c>
      <c r="BH2161">
        <v>1</v>
      </c>
      <c r="BI2161">
        <v>3</v>
      </c>
      <c r="BJ2161">
        <v>0.6</v>
      </c>
      <c r="BK2161">
        <v>3</v>
      </c>
      <c r="BL2161">
        <v>218.34</v>
      </c>
      <c r="BM2161">
        <v>32.75</v>
      </c>
      <c r="BN2161">
        <v>251.09</v>
      </c>
      <c r="BO2161">
        <v>251.09</v>
      </c>
      <c r="BQ2161" t="s">
        <v>477</v>
      </c>
      <c r="BR2161" t="s">
        <v>84</v>
      </c>
      <c r="BS2161" s="3">
        <v>45884</v>
      </c>
      <c r="BT2161" s="4">
        <v>0.52083333333333337</v>
      </c>
      <c r="BU2161" t="s">
        <v>631</v>
      </c>
      <c r="BV2161" t="s">
        <v>86</v>
      </c>
      <c r="BY2161">
        <v>3192</v>
      </c>
      <c r="BZ2161" t="s">
        <v>30</v>
      </c>
      <c r="CC2161" t="s">
        <v>350</v>
      </c>
      <c r="CD2161" s="5" t="s">
        <v>479</v>
      </c>
      <c r="CE2161" t="s">
        <v>147</v>
      </c>
      <c r="CF2161" s="3">
        <v>45887</v>
      </c>
      <c r="CI2161">
        <v>1</v>
      </c>
      <c r="CJ2161">
        <v>1</v>
      </c>
      <c r="CK2161">
        <v>23</v>
      </c>
      <c r="CL2161" t="s">
        <v>90</v>
      </c>
    </row>
    <row r="2162" spans="1:90" x14ac:dyDescent="0.3">
      <c r="A2162" t="s">
        <v>72</v>
      </c>
      <c r="B2162" t="s">
        <v>73</v>
      </c>
      <c r="C2162" t="s">
        <v>74</v>
      </c>
      <c r="E2162" t="str">
        <f>"080067246845"</f>
        <v>080067246845</v>
      </c>
      <c r="F2162" s="3">
        <v>45883</v>
      </c>
      <c r="G2162">
        <v>202605</v>
      </c>
      <c r="H2162" t="s">
        <v>75</v>
      </c>
      <c r="I2162" t="s">
        <v>76</v>
      </c>
      <c r="J2162" t="s">
        <v>77</v>
      </c>
      <c r="K2162" t="s">
        <v>78</v>
      </c>
      <c r="L2162" t="s">
        <v>162</v>
      </c>
      <c r="M2162" t="s">
        <v>163</v>
      </c>
      <c r="N2162" t="s">
        <v>246</v>
      </c>
      <c r="O2162" t="s">
        <v>82</v>
      </c>
      <c r="P2162" t="str">
        <f>"4170054969                    "</f>
        <v xml:space="preserve">4170054969                    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Q2162">
        <v>23.09</v>
      </c>
      <c r="AR2162">
        <v>0</v>
      </c>
      <c r="AS2162">
        <v>0</v>
      </c>
      <c r="AT2162">
        <v>0</v>
      </c>
      <c r="AU2162">
        <v>0</v>
      </c>
      <c r="AV2162">
        <v>0</v>
      </c>
      <c r="AW2162">
        <v>0</v>
      </c>
      <c r="AX2162">
        <v>0</v>
      </c>
      <c r="AY2162">
        <v>0</v>
      </c>
      <c r="AZ2162">
        <v>0</v>
      </c>
      <c r="BA2162">
        <v>0</v>
      </c>
      <c r="BB2162">
        <v>0</v>
      </c>
      <c r="BC2162">
        <v>0</v>
      </c>
      <c r="BD2162">
        <v>0</v>
      </c>
      <c r="BE2162">
        <v>0</v>
      </c>
      <c r="BF2162">
        <v>0</v>
      </c>
      <c r="BG2162">
        <v>0</v>
      </c>
      <c r="BH2162">
        <v>1</v>
      </c>
      <c r="BI2162">
        <v>1</v>
      </c>
      <c r="BJ2162">
        <v>0.6</v>
      </c>
      <c r="BK2162">
        <v>1</v>
      </c>
      <c r="BL2162">
        <v>71.69</v>
      </c>
      <c r="BM2162">
        <v>10.75</v>
      </c>
      <c r="BN2162">
        <v>82.44</v>
      </c>
      <c r="BO2162">
        <v>82.44</v>
      </c>
      <c r="BQ2162" t="s">
        <v>247</v>
      </c>
      <c r="BR2162" t="s">
        <v>84</v>
      </c>
      <c r="BS2162" s="3">
        <v>45884</v>
      </c>
      <c r="BT2162" s="4">
        <v>0.41666666666666669</v>
      </c>
      <c r="BU2162" t="s">
        <v>485</v>
      </c>
      <c r="BV2162" t="s">
        <v>86</v>
      </c>
      <c r="BY2162">
        <v>3192</v>
      </c>
      <c r="CC2162" t="s">
        <v>163</v>
      </c>
      <c r="CD2162">
        <v>3201</v>
      </c>
      <c r="CE2162" t="s">
        <v>147</v>
      </c>
      <c r="CF2162" s="3">
        <v>45885</v>
      </c>
      <c r="CI2162">
        <v>1</v>
      </c>
      <c r="CJ2162">
        <v>1</v>
      </c>
      <c r="CK2162">
        <v>21</v>
      </c>
      <c r="CL2162" t="s">
        <v>90</v>
      </c>
    </row>
    <row r="2163" spans="1:90" x14ac:dyDescent="0.3">
      <c r="A2163" t="s">
        <v>72</v>
      </c>
      <c r="B2163" t="s">
        <v>73</v>
      </c>
      <c r="C2163" t="s">
        <v>74</v>
      </c>
      <c r="E2163" t="str">
        <f>"080067246890"</f>
        <v>080067246890</v>
      </c>
      <c r="F2163" s="3">
        <v>45883</v>
      </c>
      <c r="G2163">
        <v>202605</v>
      </c>
      <c r="H2163" t="s">
        <v>75</v>
      </c>
      <c r="I2163" t="s">
        <v>76</v>
      </c>
      <c r="J2163" t="s">
        <v>77</v>
      </c>
      <c r="K2163" t="s">
        <v>78</v>
      </c>
      <c r="L2163" t="s">
        <v>1880</v>
      </c>
      <c r="M2163" t="s">
        <v>1881</v>
      </c>
      <c r="N2163" t="s">
        <v>1882</v>
      </c>
      <c r="O2163" t="s">
        <v>82</v>
      </c>
      <c r="P2163" t="str">
        <f>"4170054960                    "</f>
        <v xml:space="preserve">4170054960                    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0</v>
      </c>
      <c r="AL2163">
        <v>0</v>
      </c>
      <c r="AM2163">
        <v>0</v>
      </c>
      <c r="AN2163">
        <v>0</v>
      </c>
      <c r="AO2163">
        <v>0</v>
      </c>
      <c r="AP2163">
        <v>0</v>
      </c>
      <c r="AQ2163">
        <v>48.27</v>
      </c>
      <c r="AR2163">
        <v>0</v>
      </c>
      <c r="AS2163">
        <v>0</v>
      </c>
      <c r="AT2163">
        <v>0</v>
      </c>
      <c r="AU2163">
        <v>0</v>
      </c>
      <c r="AV2163">
        <v>0</v>
      </c>
      <c r="AW2163">
        <v>0</v>
      </c>
      <c r="AX2163">
        <v>0</v>
      </c>
      <c r="AY2163">
        <v>0</v>
      </c>
      <c r="AZ2163">
        <v>0</v>
      </c>
      <c r="BA2163">
        <v>0</v>
      </c>
      <c r="BB2163">
        <v>0</v>
      </c>
      <c r="BC2163">
        <v>0</v>
      </c>
      <c r="BD2163">
        <v>0</v>
      </c>
      <c r="BE2163">
        <v>0</v>
      </c>
      <c r="BF2163">
        <v>0</v>
      </c>
      <c r="BG2163">
        <v>0</v>
      </c>
      <c r="BH2163">
        <v>1</v>
      </c>
      <c r="BI2163">
        <v>2</v>
      </c>
      <c r="BJ2163">
        <v>2.7</v>
      </c>
      <c r="BK2163">
        <v>3</v>
      </c>
      <c r="BL2163">
        <v>149.9</v>
      </c>
      <c r="BM2163">
        <v>22.49</v>
      </c>
      <c r="BN2163">
        <v>172.39</v>
      </c>
      <c r="BO2163">
        <v>172.39</v>
      </c>
      <c r="BQ2163" t="s">
        <v>1883</v>
      </c>
      <c r="BR2163" t="s">
        <v>84</v>
      </c>
      <c r="BS2163" s="3">
        <v>45884</v>
      </c>
      <c r="BT2163" s="4">
        <v>0.38958333333333334</v>
      </c>
      <c r="BU2163" t="s">
        <v>2373</v>
      </c>
      <c r="BV2163" t="s">
        <v>86</v>
      </c>
      <c r="BY2163">
        <v>13376</v>
      </c>
      <c r="CA2163" t="s">
        <v>1125</v>
      </c>
      <c r="CC2163" t="s">
        <v>1881</v>
      </c>
      <c r="CD2163">
        <v>1438</v>
      </c>
      <c r="CE2163" t="s">
        <v>147</v>
      </c>
      <c r="CF2163" s="3">
        <v>45885</v>
      </c>
      <c r="CI2163">
        <v>1</v>
      </c>
      <c r="CJ2163">
        <v>1</v>
      </c>
      <c r="CK2163">
        <v>24</v>
      </c>
      <c r="CL2163" t="s">
        <v>90</v>
      </c>
    </row>
    <row r="2164" spans="1:90" x14ac:dyDescent="0.3">
      <c r="A2164" t="s">
        <v>72</v>
      </c>
      <c r="B2164" t="s">
        <v>73</v>
      </c>
      <c r="C2164" t="s">
        <v>74</v>
      </c>
      <c r="E2164" t="str">
        <f>"080067246914"</f>
        <v>080067246914</v>
      </c>
      <c r="F2164" s="3">
        <v>45883</v>
      </c>
      <c r="G2164">
        <v>202605</v>
      </c>
      <c r="H2164" t="s">
        <v>75</v>
      </c>
      <c r="I2164" t="s">
        <v>76</v>
      </c>
      <c r="J2164" t="s">
        <v>77</v>
      </c>
      <c r="K2164" t="s">
        <v>78</v>
      </c>
      <c r="L2164" t="s">
        <v>123</v>
      </c>
      <c r="M2164" t="s">
        <v>124</v>
      </c>
      <c r="N2164" t="s">
        <v>1115</v>
      </c>
      <c r="O2164" t="s">
        <v>82</v>
      </c>
      <c r="P2164" t="str">
        <f>"4170055008                    "</f>
        <v xml:space="preserve">4170055008                    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0</v>
      </c>
      <c r="AI2164">
        <v>0</v>
      </c>
      <c r="AJ2164">
        <v>0</v>
      </c>
      <c r="AK2164">
        <v>0</v>
      </c>
      <c r="AL2164">
        <v>0</v>
      </c>
      <c r="AM2164">
        <v>0</v>
      </c>
      <c r="AN2164">
        <v>0</v>
      </c>
      <c r="AO2164">
        <v>0</v>
      </c>
      <c r="AP2164">
        <v>0</v>
      </c>
      <c r="AQ2164">
        <v>23.09</v>
      </c>
      <c r="AR2164">
        <v>0</v>
      </c>
      <c r="AS2164">
        <v>0</v>
      </c>
      <c r="AT2164">
        <v>0</v>
      </c>
      <c r="AU2164">
        <v>0</v>
      </c>
      <c r="AV2164">
        <v>0</v>
      </c>
      <c r="AW2164">
        <v>0</v>
      </c>
      <c r="AX2164">
        <v>0</v>
      </c>
      <c r="AY2164">
        <v>0</v>
      </c>
      <c r="AZ2164">
        <v>0</v>
      </c>
      <c r="BA2164">
        <v>0</v>
      </c>
      <c r="BB2164">
        <v>0</v>
      </c>
      <c r="BC2164">
        <v>0</v>
      </c>
      <c r="BD2164">
        <v>0</v>
      </c>
      <c r="BE2164">
        <v>0</v>
      </c>
      <c r="BF2164">
        <v>0</v>
      </c>
      <c r="BG2164">
        <v>0</v>
      </c>
      <c r="BH2164">
        <v>1</v>
      </c>
      <c r="BI2164">
        <v>1</v>
      </c>
      <c r="BJ2164">
        <v>0.2</v>
      </c>
      <c r="BK2164">
        <v>1</v>
      </c>
      <c r="BL2164">
        <v>71.69</v>
      </c>
      <c r="BM2164">
        <v>10.75</v>
      </c>
      <c r="BN2164">
        <v>82.44</v>
      </c>
      <c r="BO2164">
        <v>82.44</v>
      </c>
      <c r="BQ2164" t="s">
        <v>1116</v>
      </c>
      <c r="BR2164" t="s">
        <v>84</v>
      </c>
      <c r="BS2164" s="3">
        <v>45884</v>
      </c>
      <c r="BT2164" s="4">
        <v>0.40347222222222223</v>
      </c>
      <c r="BU2164" t="s">
        <v>2649</v>
      </c>
      <c r="BV2164" t="s">
        <v>86</v>
      </c>
      <c r="BY2164">
        <v>1200</v>
      </c>
      <c r="CA2164" t="s">
        <v>192</v>
      </c>
      <c r="CC2164" t="s">
        <v>124</v>
      </c>
      <c r="CD2164">
        <v>7441</v>
      </c>
      <c r="CE2164" t="s">
        <v>109</v>
      </c>
      <c r="CF2164" s="3">
        <v>45887</v>
      </c>
      <c r="CI2164">
        <v>1</v>
      </c>
      <c r="CJ2164">
        <v>1</v>
      </c>
      <c r="CK2164">
        <v>21</v>
      </c>
      <c r="CL2164" t="s">
        <v>90</v>
      </c>
    </row>
    <row r="2165" spans="1:90" x14ac:dyDescent="0.3">
      <c r="A2165" t="s">
        <v>72</v>
      </c>
      <c r="B2165" t="s">
        <v>73</v>
      </c>
      <c r="C2165" t="s">
        <v>74</v>
      </c>
      <c r="E2165" t="str">
        <f>"080067246935"</f>
        <v>080067246935</v>
      </c>
      <c r="F2165" s="3">
        <v>45883</v>
      </c>
      <c r="G2165">
        <v>202605</v>
      </c>
      <c r="H2165" t="s">
        <v>75</v>
      </c>
      <c r="I2165" t="s">
        <v>76</v>
      </c>
      <c r="J2165" t="s">
        <v>77</v>
      </c>
      <c r="K2165" t="s">
        <v>78</v>
      </c>
      <c r="L2165" t="s">
        <v>118</v>
      </c>
      <c r="M2165" t="s">
        <v>118</v>
      </c>
      <c r="N2165" t="s">
        <v>466</v>
      </c>
      <c r="O2165" t="s">
        <v>82</v>
      </c>
      <c r="P2165" t="str">
        <f>"4170054942                    "</f>
        <v xml:space="preserve">4170054942                    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0</v>
      </c>
      <c r="AI2165">
        <v>0</v>
      </c>
      <c r="AJ2165">
        <v>0</v>
      </c>
      <c r="AK2165">
        <v>0</v>
      </c>
      <c r="AL2165">
        <v>0</v>
      </c>
      <c r="AM2165">
        <v>0</v>
      </c>
      <c r="AN2165">
        <v>0</v>
      </c>
      <c r="AO2165">
        <v>0</v>
      </c>
      <c r="AP2165">
        <v>0</v>
      </c>
      <c r="AQ2165">
        <v>145.71</v>
      </c>
      <c r="AR2165">
        <v>0</v>
      </c>
      <c r="AS2165">
        <v>0</v>
      </c>
      <c r="AT2165">
        <v>0</v>
      </c>
      <c r="AU2165">
        <v>0</v>
      </c>
      <c r="AV2165">
        <v>0</v>
      </c>
      <c r="AW2165">
        <v>0</v>
      </c>
      <c r="AX2165">
        <v>0</v>
      </c>
      <c r="AY2165">
        <v>0</v>
      </c>
      <c r="AZ2165">
        <v>0</v>
      </c>
      <c r="BA2165">
        <v>0</v>
      </c>
      <c r="BB2165">
        <v>0</v>
      </c>
      <c r="BC2165">
        <v>0</v>
      </c>
      <c r="BD2165">
        <v>0</v>
      </c>
      <c r="BE2165">
        <v>0</v>
      </c>
      <c r="BF2165">
        <v>0</v>
      </c>
      <c r="BG2165">
        <v>0</v>
      </c>
      <c r="BH2165">
        <v>1</v>
      </c>
      <c r="BI2165">
        <v>7</v>
      </c>
      <c r="BJ2165">
        <v>3.4</v>
      </c>
      <c r="BK2165">
        <v>7</v>
      </c>
      <c r="BL2165">
        <v>452.47</v>
      </c>
      <c r="BM2165">
        <v>67.87</v>
      </c>
      <c r="BN2165">
        <v>520.34</v>
      </c>
      <c r="BO2165">
        <v>520.34</v>
      </c>
      <c r="BQ2165" t="s">
        <v>467</v>
      </c>
      <c r="BR2165" t="s">
        <v>84</v>
      </c>
      <c r="BS2165" s="3">
        <v>45884</v>
      </c>
      <c r="BT2165" s="4">
        <v>0.5395833333333333</v>
      </c>
      <c r="BU2165" t="s">
        <v>468</v>
      </c>
      <c r="BV2165" t="s">
        <v>86</v>
      </c>
      <c r="BY2165">
        <v>16965</v>
      </c>
      <c r="CA2165" t="s">
        <v>122</v>
      </c>
      <c r="CC2165" t="s">
        <v>118</v>
      </c>
      <c r="CD2165">
        <v>7646</v>
      </c>
      <c r="CE2165" t="s">
        <v>147</v>
      </c>
      <c r="CF2165" s="3">
        <v>45887</v>
      </c>
      <c r="CI2165">
        <v>1</v>
      </c>
      <c r="CJ2165">
        <v>1</v>
      </c>
      <c r="CK2165">
        <v>23</v>
      </c>
      <c r="CL2165" t="s">
        <v>90</v>
      </c>
    </row>
    <row r="2166" spans="1:90" x14ac:dyDescent="0.3">
      <c r="A2166" t="s">
        <v>72</v>
      </c>
      <c r="B2166" t="s">
        <v>73</v>
      </c>
      <c r="C2166" t="s">
        <v>74</v>
      </c>
      <c r="E2166" t="str">
        <f>"080067246938"</f>
        <v>080067246938</v>
      </c>
      <c r="F2166" s="3">
        <v>45883</v>
      </c>
      <c r="G2166">
        <v>202605</v>
      </c>
      <c r="H2166" t="s">
        <v>75</v>
      </c>
      <c r="I2166" t="s">
        <v>76</v>
      </c>
      <c r="J2166" t="s">
        <v>77</v>
      </c>
      <c r="K2166" t="s">
        <v>78</v>
      </c>
      <c r="L2166" t="s">
        <v>241</v>
      </c>
      <c r="M2166" t="s">
        <v>242</v>
      </c>
      <c r="N2166" t="s">
        <v>893</v>
      </c>
      <c r="O2166" t="s">
        <v>82</v>
      </c>
      <c r="P2166" t="str">
        <f>"4170055039                    "</f>
        <v xml:space="preserve">4170055039                    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0</v>
      </c>
      <c r="AQ2166">
        <v>18.03</v>
      </c>
      <c r="AR2166">
        <v>0</v>
      </c>
      <c r="AS2166">
        <v>0</v>
      </c>
      <c r="AT2166">
        <v>0</v>
      </c>
      <c r="AU2166">
        <v>0</v>
      </c>
      <c r="AV2166">
        <v>0</v>
      </c>
      <c r="AW2166">
        <v>0</v>
      </c>
      <c r="AX2166">
        <v>0</v>
      </c>
      <c r="AY2166">
        <v>0</v>
      </c>
      <c r="AZ2166">
        <v>0</v>
      </c>
      <c r="BA2166">
        <v>0</v>
      </c>
      <c r="BB2166">
        <v>0</v>
      </c>
      <c r="BC2166">
        <v>0</v>
      </c>
      <c r="BD2166">
        <v>0</v>
      </c>
      <c r="BE2166">
        <v>0</v>
      </c>
      <c r="BF2166">
        <v>0</v>
      </c>
      <c r="BG2166">
        <v>0</v>
      </c>
      <c r="BH2166">
        <v>1</v>
      </c>
      <c r="BI2166">
        <v>1</v>
      </c>
      <c r="BJ2166">
        <v>0.2</v>
      </c>
      <c r="BK2166">
        <v>1</v>
      </c>
      <c r="BL2166">
        <v>55.99</v>
      </c>
      <c r="BM2166">
        <v>8.4</v>
      </c>
      <c r="BN2166">
        <v>64.39</v>
      </c>
      <c r="BO2166">
        <v>64.39</v>
      </c>
      <c r="BQ2166" t="s">
        <v>894</v>
      </c>
      <c r="BR2166" t="s">
        <v>84</v>
      </c>
      <c r="BS2166" s="3">
        <v>45884</v>
      </c>
      <c r="BT2166" s="4">
        <v>0.4</v>
      </c>
      <c r="BU2166" t="s">
        <v>827</v>
      </c>
      <c r="BV2166" t="s">
        <v>86</v>
      </c>
      <c r="BY2166">
        <v>1200</v>
      </c>
      <c r="CA2166" t="s">
        <v>623</v>
      </c>
      <c r="CC2166" t="s">
        <v>242</v>
      </c>
      <c r="CD2166">
        <v>1459</v>
      </c>
      <c r="CE2166" t="s">
        <v>109</v>
      </c>
      <c r="CF2166" s="3">
        <v>45884</v>
      </c>
      <c r="CI2166">
        <v>1</v>
      </c>
      <c r="CJ2166">
        <v>1</v>
      </c>
      <c r="CK2166">
        <v>22</v>
      </c>
      <c r="CL2166" t="s">
        <v>90</v>
      </c>
    </row>
    <row r="2167" spans="1:90" x14ac:dyDescent="0.3">
      <c r="A2167" t="s">
        <v>72</v>
      </c>
      <c r="B2167" t="s">
        <v>73</v>
      </c>
      <c r="C2167" t="s">
        <v>74</v>
      </c>
      <c r="E2167" t="str">
        <f>"080067246997"</f>
        <v>080067246997</v>
      </c>
      <c r="F2167" s="3">
        <v>45883</v>
      </c>
      <c r="G2167">
        <v>202605</v>
      </c>
      <c r="H2167" t="s">
        <v>75</v>
      </c>
      <c r="I2167" t="s">
        <v>76</v>
      </c>
      <c r="J2167" t="s">
        <v>77</v>
      </c>
      <c r="K2167" t="s">
        <v>78</v>
      </c>
      <c r="L2167" t="s">
        <v>319</v>
      </c>
      <c r="M2167" t="s">
        <v>320</v>
      </c>
      <c r="N2167" t="s">
        <v>321</v>
      </c>
      <c r="O2167" t="s">
        <v>82</v>
      </c>
      <c r="P2167" t="str">
        <f>"4170054952                    "</f>
        <v xml:space="preserve">4170054952                    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0</v>
      </c>
      <c r="AI2167">
        <v>0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0</v>
      </c>
      <c r="AP2167">
        <v>0</v>
      </c>
      <c r="AQ2167">
        <v>44.73</v>
      </c>
      <c r="AR2167">
        <v>0</v>
      </c>
      <c r="AS2167">
        <v>0</v>
      </c>
      <c r="AT2167">
        <v>0</v>
      </c>
      <c r="AU2167">
        <v>0</v>
      </c>
      <c r="AV2167">
        <v>0</v>
      </c>
      <c r="AW2167">
        <v>0</v>
      </c>
      <c r="AX2167">
        <v>0</v>
      </c>
      <c r="AY2167">
        <v>0</v>
      </c>
      <c r="AZ2167">
        <v>0</v>
      </c>
      <c r="BA2167">
        <v>0</v>
      </c>
      <c r="BB2167">
        <v>0</v>
      </c>
      <c r="BC2167">
        <v>0</v>
      </c>
      <c r="BD2167">
        <v>0</v>
      </c>
      <c r="BE2167">
        <v>0</v>
      </c>
      <c r="BF2167">
        <v>0</v>
      </c>
      <c r="BG2167">
        <v>0</v>
      </c>
      <c r="BH2167">
        <v>1</v>
      </c>
      <c r="BI2167">
        <v>1</v>
      </c>
      <c r="BJ2167">
        <v>0.2</v>
      </c>
      <c r="BK2167">
        <v>1</v>
      </c>
      <c r="BL2167">
        <v>138.88999999999999</v>
      </c>
      <c r="BM2167">
        <v>20.83</v>
      </c>
      <c r="BN2167">
        <v>159.72</v>
      </c>
      <c r="BO2167">
        <v>159.72</v>
      </c>
      <c r="BQ2167" t="s">
        <v>322</v>
      </c>
      <c r="BR2167" t="s">
        <v>84</v>
      </c>
      <c r="BS2167" s="3">
        <v>45884</v>
      </c>
      <c r="BT2167" s="4">
        <v>0.44444444444444442</v>
      </c>
      <c r="BU2167" t="s">
        <v>2701</v>
      </c>
      <c r="BV2167" t="s">
        <v>86</v>
      </c>
      <c r="BY2167">
        <v>1200</v>
      </c>
      <c r="CA2167" t="s">
        <v>324</v>
      </c>
      <c r="CC2167" t="s">
        <v>320</v>
      </c>
      <c r="CD2167">
        <v>2531</v>
      </c>
      <c r="CE2167" t="s">
        <v>109</v>
      </c>
      <c r="CF2167" s="3">
        <v>45887</v>
      </c>
      <c r="CI2167">
        <v>1</v>
      </c>
      <c r="CJ2167">
        <v>1</v>
      </c>
      <c r="CK2167">
        <v>23</v>
      </c>
      <c r="CL2167" t="s">
        <v>90</v>
      </c>
    </row>
    <row r="2168" spans="1:90" x14ac:dyDescent="0.3">
      <c r="A2168" t="s">
        <v>72</v>
      </c>
      <c r="B2168" t="s">
        <v>73</v>
      </c>
      <c r="C2168" t="s">
        <v>74</v>
      </c>
      <c r="E2168" t="str">
        <f>"080067247005"</f>
        <v>080067247005</v>
      </c>
      <c r="F2168" s="3">
        <v>45883</v>
      </c>
      <c r="G2168">
        <v>202605</v>
      </c>
      <c r="H2168" t="s">
        <v>75</v>
      </c>
      <c r="I2168" t="s">
        <v>76</v>
      </c>
      <c r="J2168" t="s">
        <v>77</v>
      </c>
      <c r="K2168" t="s">
        <v>78</v>
      </c>
      <c r="L2168" t="s">
        <v>373</v>
      </c>
      <c r="M2168" t="s">
        <v>374</v>
      </c>
      <c r="N2168" t="s">
        <v>1084</v>
      </c>
      <c r="O2168" t="s">
        <v>82</v>
      </c>
      <c r="P2168" t="str">
        <f>"4170054851                    "</f>
        <v xml:space="preserve">4170054851                    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0</v>
      </c>
      <c r="AQ2168">
        <v>103.82</v>
      </c>
      <c r="AR2168">
        <v>0</v>
      </c>
      <c r="AS2168">
        <v>0</v>
      </c>
      <c r="AT2168">
        <v>0</v>
      </c>
      <c r="AU2168">
        <v>0</v>
      </c>
      <c r="AV2168">
        <v>0</v>
      </c>
      <c r="AW2168">
        <v>0</v>
      </c>
      <c r="AX2168">
        <v>0</v>
      </c>
      <c r="AY2168">
        <v>0</v>
      </c>
      <c r="AZ2168">
        <v>0</v>
      </c>
      <c r="BA2168">
        <v>0</v>
      </c>
      <c r="BB2168">
        <v>0</v>
      </c>
      <c r="BC2168">
        <v>0</v>
      </c>
      <c r="BD2168">
        <v>0</v>
      </c>
      <c r="BE2168">
        <v>0</v>
      </c>
      <c r="BF2168">
        <v>0</v>
      </c>
      <c r="BG2168">
        <v>0</v>
      </c>
      <c r="BH2168">
        <v>1</v>
      </c>
      <c r="BI2168">
        <v>9</v>
      </c>
      <c r="BJ2168">
        <v>3.7</v>
      </c>
      <c r="BK2168">
        <v>9</v>
      </c>
      <c r="BL2168">
        <v>322.38</v>
      </c>
      <c r="BM2168">
        <v>48.36</v>
      </c>
      <c r="BN2168">
        <v>370.74</v>
      </c>
      <c r="BO2168">
        <v>370.74</v>
      </c>
      <c r="BQ2168" t="s">
        <v>1085</v>
      </c>
      <c r="BR2168" t="s">
        <v>84</v>
      </c>
      <c r="BS2168" s="3">
        <v>45884</v>
      </c>
      <c r="BT2168" s="4">
        <v>0.42638888888888887</v>
      </c>
      <c r="BU2168" t="s">
        <v>1312</v>
      </c>
      <c r="BV2168" t="s">
        <v>86</v>
      </c>
      <c r="BY2168">
        <v>18480</v>
      </c>
      <c r="CA2168" t="s">
        <v>203</v>
      </c>
      <c r="CC2168" t="s">
        <v>374</v>
      </c>
      <c r="CD2168">
        <v>6220</v>
      </c>
      <c r="CE2168" t="s">
        <v>117</v>
      </c>
      <c r="CF2168" s="3">
        <v>45884</v>
      </c>
      <c r="CI2168">
        <v>1</v>
      </c>
      <c r="CJ2168">
        <v>1</v>
      </c>
      <c r="CK2168">
        <v>21</v>
      </c>
      <c r="CL2168" t="s">
        <v>90</v>
      </c>
    </row>
    <row r="2169" spans="1:90" x14ac:dyDescent="0.3">
      <c r="A2169" t="s">
        <v>72</v>
      </c>
      <c r="B2169" t="s">
        <v>73</v>
      </c>
      <c r="C2169" t="s">
        <v>74</v>
      </c>
      <c r="E2169" t="str">
        <f>"080067247018"</f>
        <v>080067247018</v>
      </c>
      <c r="F2169" s="3">
        <v>45883</v>
      </c>
      <c r="G2169">
        <v>202605</v>
      </c>
      <c r="H2169" t="s">
        <v>75</v>
      </c>
      <c r="I2169" t="s">
        <v>76</v>
      </c>
      <c r="J2169" t="s">
        <v>77</v>
      </c>
      <c r="K2169" t="s">
        <v>78</v>
      </c>
      <c r="L2169" t="s">
        <v>162</v>
      </c>
      <c r="M2169" t="s">
        <v>163</v>
      </c>
      <c r="N2169" t="s">
        <v>246</v>
      </c>
      <c r="O2169" t="s">
        <v>82</v>
      </c>
      <c r="P2169" t="str">
        <f>"4170054794                    "</f>
        <v xml:space="preserve">4170054794                    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>
        <v>23.09</v>
      </c>
      <c r="AR2169">
        <v>0</v>
      </c>
      <c r="AS2169">
        <v>0</v>
      </c>
      <c r="AT2169">
        <v>0</v>
      </c>
      <c r="AU2169">
        <v>0</v>
      </c>
      <c r="AV2169">
        <v>0</v>
      </c>
      <c r="AW2169">
        <v>0</v>
      </c>
      <c r="AX2169">
        <v>0</v>
      </c>
      <c r="AY2169">
        <v>0</v>
      </c>
      <c r="AZ2169">
        <v>0</v>
      </c>
      <c r="BA2169">
        <v>0</v>
      </c>
      <c r="BB2169">
        <v>0</v>
      </c>
      <c r="BC2169">
        <v>0</v>
      </c>
      <c r="BD2169">
        <v>0</v>
      </c>
      <c r="BE2169">
        <v>0</v>
      </c>
      <c r="BF2169">
        <v>0</v>
      </c>
      <c r="BG2169">
        <v>0</v>
      </c>
      <c r="BH2169">
        <v>1</v>
      </c>
      <c r="BI2169">
        <v>1</v>
      </c>
      <c r="BJ2169">
        <v>0.2</v>
      </c>
      <c r="BK2169">
        <v>1</v>
      </c>
      <c r="BL2169">
        <v>71.69</v>
      </c>
      <c r="BM2169">
        <v>10.75</v>
      </c>
      <c r="BN2169">
        <v>82.44</v>
      </c>
      <c r="BO2169">
        <v>82.44</v>
      </c>
      <c r="BQ2169" t="s">
        <v>247</v>
      </c>
      <c r="BR2169" t="s">
        <v>84</v>
      </c>
      <c r="BS2169" s="3">
        <v>45884</v>
      </c>
      <c r="BT2169" s="4">
        <v>0.41666666666666669</v>
      </c>
      <c r="BU2169" t="s">
        <v>485</v>
      </c>
      <c r="BV2169" t="s">
        <v>86</v>
      </c>
      <c r="BY2169">
        <v>1200</v>
      </c>
      <c r="CC2169" t="s">
        <v>163</v>
      </c>
      <c r="CD2169">
        <v>3201</v>
      </c>
      <c r="CE2169" t="s">
        <v>109</v>
      </c>
      <c r="CF2169" s="3">
        <v>45885</v>
      </c>
      <c r="CI2169">
        <v>1</v>
      </c>
      <c r="CJ2169">
        <v>1</v>
      </c>
      <c r="CK2169">
        <v>21</v>
      </c>
      <c r="CL2169" t="s">
        <v>90</v>
      </c>
    </row>
    <row r="2170" spans="1:90" x14ac:dyDescent="0.3">
      <c r="A2170" t="s">
        <v>72</v>
      </c>
      <c r="B2170" t="s">
        <v>73</v>
      </c>
      <c r="C2170" t="s">
        <v>74</v>
      </c>
      <c r="E2170" t="str">
        <f>"080067247051"</f>
        <v>080067247051</v>
      </c>
      <c r="F2170" s="3">
        <v>45883</v>
      </c>
      <c r="G2170">
        <v>202605</v>
      </c>
      <c r="H2170" t="s">
        <v>75</v>
      </c>
      <c r="I2170" t="s">
        <v>76</v>
      </c>
      <c r="J2170" t="s">
        <v>77</v>
      </c>
      <c r="K2170" t="s">
        <v>78</v>
      </c>
      <c r="L2170" t="s">
        <v>198</v>
      </c>
      <c r="M2170" t="s">
        <v>199</v>
      </c>
      <c r="N2170" t="s">
        <v>667</v>
      </c>
      <c r="O2170" t="s">
        <v>82</v>
      </c>
      <c r="P2170" t="str">
        <f>"4170054793                    "</f>
        <v xml:space="preserve">4170054793                    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0</v>
      </c>
      <c r="AJ2170">
        <v>0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0</v>
      </c>
      <c r="AQ2170">
        <v>23.09</v>
      </c>
      <c r="AR2170">
        <v>0</v>
      </c>
      <c r="AS2170">
        <v>0</v>
      </c>
      <c r="AT2170">
        <v>0</v>
      </c>
      <c r="AU2170">
        <v>0</v>
      </c>
      <c r="AV2170">
        <v>0</v>
      </c>
      <c r="AW2170">
        <v>0</v>
      </c>
      <c r="AX2170">
        <v>0</v>
      </c>
      <c r="AY2170">
        <v>0</v>
      </c>
      <c r="AZ2170">
        <v>0</v>
      </c>
      <c r="BA2170">
        <v>0</v>
      </c>
      <c r="BB2170">
        <v>0</v>
      </c>
      <c r="BC2170">
        <v>0</v>
      </c>
      <c r="BD2170">
        <v>0</v>
      </c>
      <c r="BE2170">
        <v>0</v>
      </c>
      <c r="BF2170">
        <v>0</v>
      </c>
      <c r="BG2170">
        <v>0</v>
      </c>
      <c r="BH2170">
        <v>1</v>
      </c>
      <c r="BI2170">
        <v>1</v>
      </c>
      <c r="BJ2170">
        <v>0.2</v>
      </c>
      <c r="BK2170">
        <v>1</v>
      </c>
      <c r="BL2170">
        <v>71.69</v>
      </c>
      <c r="BM2170">
        <v>10.75</v>
      </c>
      <c r="BN2170">
        <v>82.44</v>
      </c>
      <c r="BO2170">
        <v>82.44</v>
      </c>
      <c r="BQ2170" t="s">
        <v>668</v>
      </c>
      <c r="BR2170" t="s">
        <v>84</v>
      </c>
      <c r="BS2170" s="3">
        <v>45884</v>
      </c>
      <c r="BT2170" s="4">
        <v>0.37708333333333333</v>
      </c>
      <c r="BU2170" t="s">
        <v>1902</v>
      </c>
      <c r="BV2170" t="s">
        <v>86</v>
      </c>
      <c r="BY2170">
        <v>1200</v>
      </c>
      <c r="CA2170" t="s">
        <v>433</v>
      </c>
      <c r="CC2170" t="s">
        <v>199</v>
      </c>
      <c r="CD2170">
        <v>6001</v>
      </c>
      <c r="CE2170" t="s">
        <v>109</v>
      </c>
      <c r="CF2170" s="3">
        <v>45884</v>
      </c>
      <c r="CI2170">
        <v>1</v>
      </c>
      <c r="CJ2170">
        <v>1</v>
      </c>
      <c r="CK2170">
        <v>21</v>
      </c>
      <c r="CL2170" t="s">
        <v>90</v>
      </c>
    </row>
    <row r="2171" spans="1:90" x14ac:dyDescent="0.3">
      <c r="A2171" t="s">
        <v>72</v>
      </c>
      <c r="B2171" t="s">
        <v>73</v>
      </c>
      <c r="C2171" t="s">
        <v>74</v>
      </c>
      <c r="E2171" t="str">
        <f>"080067247060"</f>
        <v>080067247060</v>
      </c>
      <c r="F2171" s="3">
        <v>45883</v>
      </c>
      <c r="G2171">
        <v>202605</v>
      </c>
      <c r="H2171" t="s">
        <v>75</v>
      </c>
      <c r="I2171" t="s">
        <v>76</v>
      </c>
      <c r="J2171" t="s">
        <v>77</v>
      </c>
      <c r="K2171" t="s">
        <v>78</v>
      </c>
      <c r="L2171" t="s">
        <v>446</v>
      </c>
      <c r="M2171" t="s">
        <v>447</v>
      </c>
      <c r="N2171" t="s">
        <v>448</v>
      </c>
      <c r="O2171" t="s">
        <v>82</v>
      </c>
      <c r="P2171" t="str">
        <f>"4170054957                    "</f>
        <v xml:space="preserve">4170054957                    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0</v>
      </c>
      <c r="AQ2171">
        <v>32.47</v>
      </c>
      <c r="AR2171">
        <v>0</v>
      </c>
      <c r="AS2171">
        <v>0</v>
      </c>
      <c r="AT2171">
        <v>0</v>
      </c>
      <c r="AU2171">
        <v>0</v>
      </c>
      <c r="AV2171">
        <v>0</v>
      </c>
      <c r="AW2171">
        <v>0</v>
      </c>
      <c r="AX2171">
        <v>0</v>
      </c>
      <c r="AY2171">
        <v>0</v>
      </c>
      <c r="AZ2171">
        <v>0</v>
      </c>
      <c r="BA2171">
        <v>0</v>
      </c>
      <c r="BB2171">
        <v>0</v>
      </c>
      <c r="BC2171">
        <v>0</v>
      </c>
      <c r="BD2171">
        <v>0</v>
      </c>
      <c r="BE2171">
        <v>0</v>
      </c>
      <c r="BF2171">
        <v>0</v>
      </c>
      <c r="BG2171">
        <v>0</v>
      </c>
      <c r="BH2171">
        <v>1</v>
      </c>
      <c r="BI2171">
        <v>1</v>
      </c>
      <c r="BJ2171">
        <v>1.7</v>
      </c>
      <c r="BK2171">
        <v>2</v>
      </c>
      <c r="BL2171">
        <v>100.82</v>
      </c>
      <c r="BM2171">
        <v>15.12</v>
      </c>
      <c r="BN2171">
        <v>115.94</v>
      </c>
      <c r="BO2171">
        <v>115.94</v>
      </c>
      <c r="BQ2171" t="s">
        <v>449</v>
      </c>
      <c r="BR2171" t="s">
        <v>84</v>
      </c>
      <c r="BS2171" s="3">
        <v>45884</v>
      </c>
      <c r="BT2171" s="4">
        <v>0.30625000000000002</v>
      </c>
      <c r="BU2171" t="s">
        <v>450</v>
      </c>
      <c r="BV2171" t="s">
        <v>86</v>
      </c>
      <c r="BY2171">
        <v>8640</v>
      </c>
      <c r="CA2171" t="s">
        <v>451</v>
      </c>
      <c r="CC2171" t="s">
        <v>447</v>
      </c>
      <c r="CD2171">
        <v>2210</v>
      </c>
      <c r="CE2171" t="s">
        <v>117</v>
      </c>
      <c r="CF2171" s="3">
        <v>45884</v>
      </c>
      <c r="CI2171">
        <v>1</v>
      </c>
      <c r="CJ2171">
        <v>1</v>
      </c>
      <c r="CK2171">
        <v>24</v>
      </c>
      <c r="CL2171" t="s">
        <v>90</v>
      </c>
    </row>
    <row r="2172" spans="1:90" x14ac:dyDescent="0.3">
      <c r="A2172" t="s">
        <v>72</v>
      </c>
      <c r="B2172" t="s">
        <v>73</v>
      </c>
      <c r="C2172" t="s">
        <v>74</v>
      </c>
      <c r="E2172" t="str">
        <f>"080067247080"</f>
        <v>080067247080</v>
      </c>
      <c r="F2172" s="3">
        <v>45883</v>
      </c>
      <c r="G2172">
        <v>202605</v>
      </c>
      <c r="H2172" t="s">
        <v>75</v>
      </c>
      <c r="I2172" t="s">
        <v>76</v>
      </c>
      <c r="J2172" t="s">
        <v>77</v>
      </c>
      <c r="K2172" t="s">
        <v>78</v>
      </c>
      <c r="L2172" t="s">
        <v>118</v>
      </c>
      <c r="M2172" t="s">
        <v>118</v>
      </c>
      <c r="N2172" t="s">
        <v>669</v>
      </c>
      <c r="O2172" t="s">
        <v>82</v>
      </c>
      <c r="P2172" t="str">
        <f>"4170054971                    "</f>
        <v xml:space="preserve">4170054971                    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0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>
        <v>0</v>
      </c>
      <c r="AQ2172">
        <v>44.73</v>
      </c>
      <c r="AR2172">
        <v>0</v>
      </c>
      <c r="AS2172">
        <v>0</v>
      </c>
      <c r="AT2172">
        <v>0</v>
      </c>
      <c r="AU2172">
        <v>0</v>
      </c>
      <c r="AV2172">
        <v>0</v>
      </c>
      <c r="AW2172">
        <v>0</v>
      </c>
      <c r="AX2172">
        <v>0</v>
      </c>
      <c r="AY2172">
        <v>0</v>
      </c>
      <c r="AZ2172">
        <v>0</v>
      </c>
      <c r="BA2172">
        <v>0</v>
      </c>
      <c r="BB2172">
        <v>0</v>
      </c>
      <c r="BC2172">
        <v>0</v>
      </c>
      <c r="BD2172">
        <v>0</v>
      </c>
      <c r="BE2172">
        <v>0</v>
      </c>
      <c r="BF2172">
        <v>0</v>
      </c>
      <c r="BG2172">
        <v>0</v>
      </c>
      <c r="BH2172">
        <v>1</v>
      </c>
      <c r="BI2172">
        <v>1</v>
      </c>
      <c r="BJ2172">
        <v>0.2</v>
      </c>
      <c r="BK2172">
        <v>1</v>
      </c>
      <c r="BL2172">
        <v>138.88999999999999</v>
      </c>
      <c r="BM2172">
        <v>20.83</v>
      </c>
      <c r="BN2172">
        <v>159.72</v>
      </c>
      <c r="BO2172">
        <v>159.72</v>
      </c>
      <c r="BQ2172" t="s">
        <v>670</v>
      </c>
      <c r="BR2172" t="s">
        <v>84</v>
      </c>
      <c r="BS2172" s="3">
        <v>45884</v>
      </c>
      <c r="BT2172" s="4">
        <v>0.54027777777777775</v>
      </c>
      <c r="BU2172" t="s">
        <v>2702</v>
      </c>
      <c r="BV2172" t="s">
        <v>86</v>
      </c>
      <c r="BY2172">
        <v>1200</v>
      </c>
      <c r="CA2172" t="s">
        <v>122</v>
      </c>
      <c r="CC2172" t="s">
        <v>118</v>
      </c>
      <c r="CD2172">
        <v>7646</v>
      </c>
      <c r="CE2172" t="s">
        <v>109</v>
      </c>
      <c r="CF2172" s="3">
        <v>45887</v>
      </c>
      <c r="CI2172">
        <v>1</v>
      </c>
      <c r="CJ2172">
        <v>1</v>
      </c>
      <c r="CK2172">
        <v>23</v>
      </c>
      <c r="CL2172" t="s">
        <v>90</v>
      </c>
    </row>
    <row r="2173" spans="1:90" x14ac:dyDescent="0.3">
      <c r="A2173" t="s">
        <v>72</v>
      </c>
      <c r="B2173" t="s">
        <v>73</v>
      </c>
      <c r="C2173" t="s">
        <v>74</v>
      </c>
      <c r="E2173" t="str">
        <f>"080067247097"</f>
        <v>080067247097</v>
      </c>
      <c r="F2173" s="3">
        <v>45883</v>
      </c>
      <c r="G2173">
        <v>202605</v>
      </c>
      <c r="H2173" t="s">
        <v>75</v>
      </c>
      <c r="I2173" t="s">
        <v>76</v>
      </c>
      <c r="J2173" t="s">
        <v>77</v>
      </c>
      <c r="K2173" t="s">
        <v>78</v>
      </c>
      <c r="L2173" t="s">
        <v>198</v>
      </c>
      <c r="M2173" t="s">
        <v>199</v>
      </c>
      <c r="N2173" t="s">
        <v>1628</v>
      </c>
      <c r="O2173" t="s">
        <v>82</v>
      </c>
      <c r="P2173" t="str">
        <f>"4170054792                    "</f>
        <v xml:space="preserve">4170054792                    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0</v>
      </c>
      <c r="AQ2173">
        <v>23.09</v>
      </c>
      <c r="AR2173">
        <v>0</v>
      </c>
      <c r="AS2173">
        <v>0</v>
      </c>
      <c r="AT2173">
        <v>0</v>
      </c>
      <c r="AU2173">
        <v>0</v>
      </c>
      <c r="AV2173">
        <v>0</v>
      </c>
      <c r="AW2173">
        <v>0</v>
      </c>
      <c r="AX2173">
        <v>0</v>
      </c>
      <c r="AY2173">
        <v>0</v>
      </c>
      <c r="AZ2173">
        <v>0</v>
      </c>
      <c r="BA2173">
        <v>0</v>
      </c>
      <c r="BB2173">
        <v>0</v>
      </c>
      <c r="BC2173">
        <v>0</v>
      </c>
      <c r="BD2173">
        <v>0</v>
      </c>
      <c r="BE2173">
        <v>0</v>
      </c>
      <c r="BF2173">
        <v>0</v>
      </c>
      <c r="BG2173">
        <v>0</v>
      </c>
      <c r="BH2173">
        <v>1</v>
      </c>
      <c r="BI2173">
        <v>1</v>
      </c>
      <c r="BJ2173">
        <v>1.3</v>
      </c>
      <c r="BK2173">
        <v>1.5</v>
      </c>
      <c r="BL2173">
        <v>71.69</v>
      </c>
      <c r="BM2173">
        <v>10.75</v>
      </c>
      <c r="BN2173">
        <v>82.44</v>
      </c>
      <c r="BO2173">
        <v>82.44</v>
      </c>
      <c r="BQ2173" t="s">
        <v>1629</v>
      </c>
      <c r="BR2173" t="s">
        <v>84</v>
      </c>
      <c r="BS2173" s="3">
        <v>45884</v>
      </c>
      <c r="BT2173" s="4">
        <v>0.39861111111111114</v>
      </c>
      <c r="BU2173" t="s">
        <v>2703</v>
      </c>
      <c r="BV2173" t="s">
        <v>86</v>
      </c>
      <c r="BY2173">
        <v>6480</v>
      </c>
      <c r="CA2173" t="s">
        <v>689</v>
      </c>
      <c r="CC2173" t="s">
        <v>199</v>
      </c>
      <c r="CD2173">
        <v>6001</v>
      </c>
      <c r="CE2173" t="s">
        <v>147</v>
      </c>
      <c r="CF2173" s="3">
        <v>45884</v>
      </c>
      <c r="CI2173">
        <v>1</v>
      </c>
      <c r="CJ2173">
        <v>1</v>
      </c>
      <c r="CK2173">
        <v>21</v>
      </c>
      <c r="CL2173" t="s">
        <v>90</v>
      </c>
    </row>
    <row r="2174" spans="1:90" x14ac:dyDescent="0.3">
      <c r="A2174" t="s">
        <v>72</v>
      </c>
      <c r="B2174" t="s">
        <v>73</v>
      </c>
      <c r="C2174" t="s">
        <v>74</v>
      </c>
      <c r="E2174" t="str">
        <f>"080067247134"</f>
        <v>080067247134</v>
      </c>
      <c r="F2174" s="3">
        <v>45883</v>
      </c>
      <c r="G2174">
        <v>202605</v>
      </c>
      <c r="H2174" t="s">
        <v>75</v>
      </c>
      <c r="I2174" t="s">
        <v>76</v>
      </c>
      <c r="J2174" t="s">
        <v>77</v>
      </c>
      <c r="K2174" t="s">
        <v>78</v>
      </c>
      <c r="L2174" t="s">
        <v>198</v>
      </c>
      <c r="M2174" t="s">
        <v>199</v>
      </c>
      <c r="N2174" t="s">
        <v>1001</v>
      </c>
      <c r="O2174" t="s">
        <v>82</v>
      </c>
      <c r="P2174" t="str">
        <f>"4170054916                    "</f>
        <v xml:space="preserve">4170054916                    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>
        <v>23.09</v>
      </c>
      <c r="AR2174">
        <v>0</v>
      </c>
      <c r="AS2174">
        <v>0</v>
      </c>
      <c r="AT2174">
        <v>0</v>
      </c>
      <c r="AU2174">
        <v>0</v>
      </c>
      <c r="AV2174">
        <v>0</v>
      </c>
      <c r="AW2174">
        <v>0</v>
      </c>
      <c r="AX2174">
        <v>0</v>
      </c>
      <c r="AY2174">
        <v>0</v>
      </c>
      <c r="AZ2174">
        <v>0</v>
      </c>
      <c r="BA2174">
        <v>0</v>
      </c>
      <c r="BB2174">
        <v>0</v>
      </c>
      <c r="BC2174">
        <v>0</v>
      </c>
      <c r="BD2174">
        <v>0</v>
      </c>
      <c r="BE2174">
        <v>0</v>
      </c>
      <c r="BF2174">
        <v>0</v>
      </c>
      <c r="BG2174">
        <v>0</v>
      </c>
      <c r="BH2174">
        <v>1</v>
      </c>
      <c r="BI2174">
        <v>1</v>
      </c>
      <c r="BJ2174">
        <v>0.2</v>
      </c>
      <c r="BK2174">
        <v>1</v>
      </c>
      <c r="BL2174">
        <v>71.69</v>
      </c>
      <c r="BM2174">
        <v>10.75</v>
      </c>
      <c r="BN2174">
        <v>82.44</v>
      </c>
      <c r="BO2174">
        <v>82.44</v>
      </c>
      <c r="BQ2174" t="s">
        <v>1002</v>
      </c>
      <c r="BR2174" t="s">
        <v>84</v>
      </c>
      <c r="BS2174" s="3">
        <v>45884</v>
      </c>
      <c r="BT2174" s="4">
        <v>0.4861111111111111</v>
      </c>
      <c r="BU2174" t="s">
        <v>2704</v>
      </c>
      <c r="BV2174" t="s">
        <v>90</v>
      </c>
      <c r="BY2174">
        <v>1200</v>
      </c>
      <c r="CA2174" t="s">
        <v>689</v>
      </c>
      <c r="CC2174" t="s">
        <v>199</v>
      </c>
      <c r="CD2174">
        <v>6001</v>
      </c>
      <c r="CE2174" t="s">
        <v>109</v>
      </c>
      <c r="CF2174" s="3">
        <v>45884</v>
      </c>
      <c r="CI2174">
        <v>1</v>
      </c>
      <c r="CJ2174">
        <v>1</v>
      </c>
      <c r="CK2174">
        <v>21</v>
      </c>
      <c r="CL2174" t="s">
        <v>90</v>
      </c>
    </row>
    <row r="2175" spans="1:90" x14ac:dyDescent="0.3">
      <c r="A2175" t="s">
        <v>72</v>
      </c>
      <c r="B2175" t="s">
        <v>73</v>
      </c>
      <c r="C2175" t="s">
        <v>74</v>
      </c>
      <c r="E2175" t="str">
        <f>"080067247147"</f>
        <v>080067247147</v>
      </c>
      <c r="F2175" s="3">
        <v>45883</v>
      </c>
      <c r="G2175">
        <v>202605</v>
      </c>
      <c r="H2175" t="s">
        <v>75</v>
      </c>
      <c r="I2175" t="s">
        <v>76</v>
      </c>
      <c r="J2175" t="s">
        <v>77</v>
      </c>
      <c r="K2175" t="s">
        <v>78</v>
      </c>
      <c r="L2175" t="s">
        <v>123</v>
      </c>
      <c r="M2175" t="s">
        <v>124</v>
      </c>
      <c r="N2175" t="s">
        <v>168</v>
      </c>
      <c r="O2175" t="s">
        <v>82</v>
      </c>
      <c r="P2175" t="str">
        <f>"4170054938                    "</f>
        <v xml:space="preserve">4170054938                    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0</v>
      </c>
      <c r="AI2175">
        <v>0</v>
      </c>
      <c r="AJ2175">
        <v>0</v>
      </c>
      <c r="AK2175">
        <v>0</v>
      </c>
      <c r="AL2175">
        <v>0</v>
      </c>
      <c r="AM2175">
        <v>0</v>
      </c>
      <c r="AN2175">
        <v>0</v>
      </c>
      <c r="AO2175">
        <v>0</v>
      </c>
      <c r="AP2175">
        <v>0</v>
      </c>
      <c r="AQ2175">
        <v>23.09</v>
      </c>
      <c r="AR2175">
        <v>0</v>
      </c>
      <c r="AS2175">
        <v>0</v>
      </c>
      <c r="AT2175">
        <v>0</v>
      </c>
      <c r="AU2175">
        <v>0</v>
      </c>
      <c r="AV2175">
        <v>0</v>
      </c>
      <c r="AW2175">
        <v>0</v>
      </c>
      <c r="AX2175">
        <v>0</v>
      </c>
      <c r="AY2175">
        <v>0</v>
      </c>
      <c r="AZ2175">
        <v>0</v>
      </c>
      <c r="BA2175">
        <v>0</v>
      </c>
      <c r="BB2175">
        <v>0</v>
      </c>
      <c r="BC2175">
        <v>0</v>
      </c>
      <c r="BD2175">
        <v>0</v>
      </c>
      <c r="BE2175">
        <v>0</v>
      </c>
      <c r="BF2175">
        <v>0</v>
      </c>
      <c r="BG2175">
        <v>0</v>
      </c>
      <c r="BH2175">
        <v>1</v>
      </c>
      <c r="BI2175">
        <v>2</v>
      </c>
      <c r="BJ2175">
        <v>1.7</v>
      </c>
      <c r="BK2175">
        <v>2</v>
      </c>
      <c r="BL2175">
        <v>71.69</v>
      </c>
      <c r="BM2175">
        <v>10.75</v>
      </c>
      <c r="BN2175">
        <v>82.44</v>
      </c>
      <c r="BO2175">
        <v>82.44</v>
      </c>
      <c r="BQ2175" t="s">
        <v>169</v>
      </c>
      <c r="BR2175" t="s">
        <v>84</v>
      </c>
      <c r="BS2175" s="3">
        <v>45884</v>
      </c>
      <c r="BT2175" s="4">
        <v>0.48541666666666666</v>
      </c>
      <c r="BU2175" t="s">
        <v>679</v>
      </c>
      <c r="BV2175" t="s">
        <v>90</v>
      </c>
      <c r="BY2175">
        <v>8512</v>
      </c>
      <c r="CA2175" t="s">
        <v>171</v>
      </c>
      <c r="CC2175" t="s">
        <v>124</v>
      </c>
      <c r="CD2175">
        <v>7535</v>
      </c>
      <c r="CE2175" t="s">
        <v>147</v>
      </c>
      <c r="CF2175" s="3">
        <v>45887</v>
      </c>
      <c r="CI2175">
        <v>1</v>
      </c>
      <c r="CJ2175">
        <v>1</v>
      </c>
      <c r="CK2175">
        <v>21</v>
      </c>
      <c r="CL2175" t="s">
        <v>90</v>
      </c>
    </row>
    <row r="2176" spans="1:90" x14ac:dyDescent="0.3">
      <c r="A2176" t="s">
        <v>72</v>
      </c>
      <c r="B2176" t="s">
        <v>73</v>
      </c>
      <c r="C2176" t="s">
        <v>74</v>
      </c>
      <c r="E2176" t="str">
        <f>"080067247190"</f>
        <v>080067247190</v>
      </c>
      <c r="F2176" s="3">
        <v>45883</v>
      </c>
      <c r="G2176">
        <v>202605</v>
      </c>
      <c r="H2176" t="s">
        <v>75</v>
      </c>
      <c r="I2176" t="s">
        <v>76</v>
      </c>
      <c r="J2176" t="s">
        <v>77</v>
      </c>
      <c r="K2176" t="s">
        <v>78</v>
      </c>
      <c r="L2176" t="s">
        <v>278</v>
      </c>
      <c r="M2176" t="s">
        <v>279</v>
      </c>
      <c r="N2176" t="s">
        <v>1726</v>
      </c>
      <c r="O2176" t="s">
        <v>82</v>
      </c>
      <c r="P2176" t="str">
        <f>"4170054908                    "</f>
        <v xml:space="preserve">4170054908                    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0</v>
      </c>
      <c r="AI2176">
        <v>0</v>
      </c>
      <c r="AJ2176">
        <v>0</v>
      </c>
      <c r="AK2176">
        <v>0</v>
      </c>
      <c r="AL2176">
        <v>0</v>
      </c>
      <c r="AM2176">
        <v>0</v>
      </c>
      <c r="AN2176">
        <v>0</v>
      </c>
      <c r="AO2176">
        <v>0</v>
      </c>
      <c r="AP2176">
        <v>0</v>
      </c>
      <c r="AQ2176">
        <v>23.09</v>
      </c>
      <c r="AR2176">
        <v>0</v>
      </c>
      <c r="AS2176">
        <v>0</v>
      </c>
      <c r="AT2176">
        <v>0</v>
      </c>
      <c r="AU2176">
        <v>0</v>
      </c>
      <c r="AV2176">
        <v>0</v>
      </c>
      <c r="AW2176">
        <v>0</v>
      </c>
      <c r="AX2176">
        <v>0</v>
      </c>
      <c r="AY2176">
        <v>0</v>
      </c>
      <c r="AZ2176">
        <v>0</v>
      </c>
      <c r="BA2176">
        <v>0</v>
      </c>
      <c r="BB2176">
        <v>0</v>
      </c>
      <c r="BC2176">
        <v>0</v>
      </c>
      <c r="BD2176">
        <v>0</v>
      </c>
      <c r="BE2176">
        <v>0</v>
      </c>
      <c r="BF2176">
        <v>0</v>
      </c>
      <c r="BG2176">
        <v>0</v>
      </c>
      <c r="BH2176">
        <v>1</v>
      </c>
      <c r="BI2176">
        <v>1</v>
      </c>
      <c r="BJ2176">
        <v>0.2</v>
      </c>
      <c r="BK2176">
        <v>1</v>
      </c>
      <c r="BL2176">
        <v>71.69</v>
      </c>
      <c r="BM2176">
        <v>10.75</v>
      </c>
      <c r="BN2176">
        <v>82.44</v>
      </c>
      <c r="BO2176">
        <v>82.44</v>
      </c>
      <c r="BQ2176" t="s">
        <v>1727</v>
      </c>
      <c r="BR2176" t="s">
        <v>84</v>
      </c>
      <c r="BS2176" s="3">
        <v>45884</v>
      </c>
      <c r="BT2176" s="4">
        <v>0.37708333333333333</v>
      </c>
      <c r="BU2176" t="s">
        <v>2705</v>
      </c>
      <c r="BV2176" t="s">
        <v>86</v>
      </c>
      <c r="BY2176">
        <v>1200</v>
      </c>
      <c r="CA2176" t="s">
        <v>1729</v>
      </c>
      <c r="CC2176" t="s">
        <v>279</v>
      </c>
      <c r="CD2176" s="5" t="s">
        <v>652</v>
      </c>
      <c r="CE2176" t="s">
        <v>109</v>
      </c>
      <c r="CF2176" s="3">
        <v>45884</v>
      </c>
      <c r="CI2176">
        <v>1</v>
      </c>
      <c r="CJ2176">
        <v>1</v>
      </c>
      <c r="CK2176">
        <v>21</v>
      </c>
      <c r="CL2176" t="s">
        <v>90</v>
      </c>
    </row>
    <row r="2177" spans="1:90" x14ac:dyDescent="0.3">
      <c r="A2177" t="s">
        <v>72</v>
      </c>
      <c r="B2177" t="s">
        <v>73</v>
      </c>
      <c r="C2177" t="s">
        <v>74</v>
      </c>
      <c r="E2177" t="str">
        <f>"080067247251"</f>
        <v>080067247251</v>
      </c>
      <c r="F2177" s="3">
        <v>45883</v>
      </c>
      <c r="G2177">
        <v>202605</v>
      </c>
      <c r="H2177" t="s">
        <v>75</v>
      </c>
      <c r="I2177" t="s">
        <v>76</v>
      </c>
      <c r="J2177" t="s">
        <v>77</v>
      </c>
      <c r="K2177" t="s">
        <v>78</v>
      </c>
      <c r="L2177" t="s">
        <v>75</v>
      </c>
      <c r="M2177" t="s">
        <v>76</v>
      </c>
      <c r="N2177" t="s">
        <v>740</v>
      </c>
      <c r="O2177" t="s">
        <v>113</v>
      </c>
      <c r="P2177" t="str">
        <f>"4170055060                    "</f>
        <v xml:space="preserve">4170055060                    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0</v>
      </c>
      <c r="AI2177">
        <v>0</v>
      </c>
      <c r="AJ2177">
        <v>0</v>
      </c>
      <c r="AK2177">
        <v>0</v>
      </c>
      <c r="AL2177">
        <v>0</v>
      </c>
      <c r="AM2177">
        <v>0</v>
      </c>
      <c r="AN2177">
        <v>0</v>
      </c>
      <c r="AO2177">
        <v>0</v>
      </c>
      <c r="AP2177">
        <v>0</v>
      </c>
      <c r="AQ2177">
        <v>18.04</v>
      </c>
      <c r="AR2177">
        <v>0</v>
      </c>
      <c r="AS2177">
        <v>0</v>
      </c>
      <c r="AT2177">
        <v>0</v>
      </c>
      <c r="AU2177">
        <v>0</v>
      </c>
      <c r="AV2177">
        <v>0</v>
      </c>
      <c r="AW2177">
        <v>0</v>
      </c>
      <c r="AX2177">
        <v>0</v>
      </c>
      <c r="AY2177">
        <v>0</v>
      </c>
      <c r="AZ2177">
        <v>0</v>
      </c>
      <c r="BA2177">
        <v>0</v>
      </c>
      <c r="BB2177">
        <v>0</v>
      </c>
      <c r="BC2177">
        <v>0</v>
      </c>
      <c r="BD2177">
        <v>0</v>
      </c>
      <c r="BE2177">
        <v>0</v>
      </c>
      <c r="BF2177">
        <v>0</v>
      </c>
      <c r="BG2177">
        <v>0</v>
      </c>
      <c r="BH2177">
        <v>1</v>
      </c>
      <c r="BI2177">
        <v>2</v>
      </c>
      <c r="BJ2177">
        <v>7.3</v>
      </c>
      <c r="BK2177">
        <v>8</v>
      </c>
      <c r="BL2177">
        <v>56.01</v>
      </c>
      <c r="BM2177">
        <v>8.4</v>
      </c>
      <c r="BN2177">
        <v>64.41</v>
      </c>
      <c r="BO2177">
        <v>64.41</v>
      </c>
      <c r="BQ2177" t="s">
        <v>741</v>
      </c>
      <c r="BR2177" t="s">
        <v>84</v>
      </c>
      <c r="BS2177" s="3">
        <v>45884</v>
      </c>
      <c r="BT2177" s="4">
        <v>0.49375000000000002</v>
      </c>
      <c r="BU2177" t="s">
        <v>2590</v>
      </c>
      <c r="BV2177" t="s">
        <v>86</v>
      </c>
      <c r="BY2177">
        <v>36400</v>
      </c>
      <c r="CA2177" t="s">
        <v>2446</v>
      </c>
      <c r="CC2177" t="s">
        <v>76</v>
      </c>
      <c r="CD2177">
        <v>1600</v>
      </c>
      <c r="CE2177" t="s">
        <v>117</v>
      </c>
      <c r="CF2177" s="3">
        <v>45885</v>
      </c>
      <c r="CI2177">
        <v>1</v>
      </c>
      <c r="CJ2177">
        <v>1</v>
      </c>
      <c r="CK2177">
        <v>32</v>
      </c>
      <c r="CL2177" t="s">
        <v>90</v>
      </c>
    </row>
    <row r="2178" spans="1:90" x14ac:dyDescent="0.3">
      <c r="A2178" t="s">
        <v>72</v>
      </c>
      <c r="B2178" t="s">
        <v>73</v>
      </c>
      <c r="C2178" t="s">
        <v>74</v>
      </c>
      <c r="E2178" t="str">
        <f>"080067247260"</f>
        <v>080067247260</v>
      </c>
      <c r="F2178" s="3">
        <v>45883</v>
      </c>
      <c r="G2178">
        <v>202605</v>
      </c>
      <c r="H2178" t="s">
        <v>75</v>
      </c>
      <c r="I2178" t="s">
        <v>76</v>
      </c>
      <c r="J2178" t="s">
        <v>77</v>
      </c>
      <c r="K2178" t="s">
        <v>78</v>
      </c>
      <c r="L2178" t="s">
        <v>118</v>
      </c>
      <c r="M2178" t="s">
        <v>118</v>
      </c>
      <c r="N2178" t="s">
        <v>833</v>
      </c>
      <c r="O2178" t="s">
        <v>82</v>
      </c>
      <c r="P2178" t="str">
        <f>"4170054986                    "</f>
        <v xml:space="preserve">4170054986                    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0</v>
      </c>
      <c r="AI2178">
        <v>0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Q2178">
        <v>44.73</v>
      </c>
      <c r="AR2178">
        <v>0</v>
      </c>
      <c r="AS2178">
        <v>0</v>
      </c>
      <c r="AT2178">
        <v>0</v>
      </c>
      <c r="AU2178">
        <v>0</v>
      </c>
      <c r="AV2178">
        <v>0</v>
      </c>
      <c r="AW2178">
        <v>0</v>
      </c>
      <c r="AX2178">
        <v>0</v>
      </c>
      <c r="AY2178">
        <v>0</v>
      </c>
      <c r="AZ2178">
        <v>0</v>
      </c>
      <c r="BA2178">
        <v>0</v>
      </c>
      <c r="BB2178">
        <v>0</v>
      </c>
      <c r="BC2178">
        <v>0</v>
      </c>
      <c r="BD2178">
        <v>0</v>
      </c>
      <c r="BE2178">
        <v>0</v>
      </c>
      <c r="BF2178">
        <v>0</v>
      </c>
      <c r="BG2178">
        <v>0</v>
      </c>
      <c r="BH2178">
        <v>1</v>
      </c>
      <c r="BI2178">
        <v>1</v>
      </c>
      <c r="BJ2178">
        <v>0.2</v>
      </c>
      <c r="BK2178">
        <v>1</v>
      </c>
      <c r="BL2178">
        <v>138.88999999999999</v>
      </c>
      <c r="BM2178">
        <v>20.83</v>
      </c>
      <c r="BN2178">
        <v>159.72</v>
      </c>
      <c r="BO2178">
        <v>159.72</v>
      </c>
      <c r="BQ2178" t="s">
        <v>834</v>
      </c>
      <c r="BR2178" t="s">
        <v>84</v>
      </c>
      <c r="BS2178" s="3">
        <v>45884</v>
      </c>
      <c r="BT2178" s="4">
        <v>0.53749999999999998</v>
      </c>
      <c r="BU2178" t="s">
        <v>835</v>
      </c>
      <c r="BV2178" t="s">
        <v>86</v>
      </c>
      <c r="BY2178">
        <v>1200</v>
      </c>
      <c r="CA2178" t="s">
        <v>122</v>
      </c>
      <c r="CC2178" t="s">
        <v>118</v>
      </c>
      <c r="CD2178">
        <v>7646</v>
      </c>
      <c r="CE2178" t="s">
        <v>109</v>
      </c>
      <c r="CF2178" s="3">
        <v>45887</v>
      </c>
      <c r="CI2178">
        <v>1</v>
      </c>
      <c r="CJ2178">
        <v>1</v>
      </c>
      <c r="CK2178">
        <v>23</v>
      </c>
      <c r="CL2178" t="s">
        <v>90</v>
      </c>
    </row>
    <row r="2179" spans="1:90" x14ac:dyDescent="0.3">
      <c r="A2179" t="s">
        <v>72</v>
      </c>
      <c r="B2179" t="s">
        <v>73</v>
      </c>
      <c r="C2179" t="s">
        <v>74</v>
      </c>
      <c r="E2179" t="str">
        <f>"080067247283"</f>
        <v>080067247283</v>
      </c>
      <c r="F2179" s="3">
        <v>45883</v>
      </c>
      <c r="G2179">
        <v>202605</v>
      </c>
      <c r="H2179" t="s">
        <v>75</v>
      </c>
      <c r="I2179" t="s">
        <v>76</v>
      </c>
      <c r="J2179" t="s">
        <v>77</v>
      </c>
      <c r="K2179" t="s">
        <v>78</v>
      </c>
      <c r="L2179" t="s">
        <v>207</v>
      </c>
      <c r="M2179" t="s">
        <v>208</v>
      </c>
      <c r="N2179" t="s">
        <v>209</v>
      </c>
      <c r="O2179" t="s">
        <v>82</v>
      </c>
      <c r="P2179" t="str">
        <f>"4170054813                    "</f>
        <v xml:space="preserve">4170054813                    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0</v>
      </c>
      <c r="AI2179">
        <v>0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>
        <v>44.73</v>
      </c>
      <c r="AR2179">
        <v>0</v>
      </c>
      <c r="AS2179">
        <v>0</v>
      </c>
      <c r="AT2179">
        <v>0</v>
      </c>
      <c r="AU2179">
        <v>0</v>
      </c>
      <c r="AV2179">
        <v>0</v>
      </c>
      <c r="AW2179">
        <v>0</v>
      </c>
      <c r="AX2179">
        <v>0</v>
      </c>
      <c r="AY2179">
        <v>0</v>
      </c>
      <c r="AZ2179">
        <v>0</v>
      </c>
      <c r="BA2179">
        <v>0</v>
      </c>
      <c r="BB2179">
        <v>0</v>
      </c>
      <c r="BC2179">
        <v>0</v>
      </c>
      <c r="BD2179">
        <v>0</v>
      </c>
      <c r="BE2179">
        <v>0</v>
      </c>
      <c r="BF2179">
        <v>0</v>
      </c>
      <c r="BG2179">
        <v>0</v>
      </c>
      <c r="BH2179">
        <v>1</v>
      </c>
      <c r="BI2179">
        <v>1</v>
      </c>
      <c r="BJ2179">
        <v>0.2</v>
      </c>
      <c r="BK2179">
        <v>1</v>
      </c>
      <c r="BL2179">
        <v>138.88999999999999</v>
      </c>
      <c r="BM2179">
        <v>20.83</v>
      </c>
      <c r="BN2179">
        <v>159.72</v>
      </c>
      <c r="BO2179">
        <v>159.72</v>
      </c>
      <c r="BQ2179" t="s">
        <v>313</v>
      </c>
      <c r="BR2179" t="s">
        <v>84</v>
      </c>
      <c r="BS2179" s="3">
        <v>45884</v>
      </c>
      <c r="BT2179" s="4">
        <v>0.50486111111111109</v>
      </c>
      <c r="BU2179" t="s">
        <v>2706</v>
      </c>
      <c r="BV2179" t="s">
        <v>86</v>
      </c>
      <c r="BY2179">
        <v>1200</v>
      </c>
      <c r="CA2179" t="s">
        <v>212</v>
      </c>
      <c r="CC2179" t="s">
        <v>208</v>
      </c>
      <c r="CD2179">
        <v>7299</v>
      </c>
      <c r="CE2179" t="s">
        <v>109</v>
      </c>
      <c r="CF2179" s="3">
        <v>45887</v>
      </c>
      <c r="CI2179">
        <v>1</v>
      </c>
      <c r="CJ2179">
        <v>1</v>
      </c>
      <c r="CK2179">
        <v>23</v>
      </c>
      <c r="CL2179" t="s">
        <v>90</v>
      </c>
    </row>
    <row r="2180" spans="1:90" x14ac:dyDescent="0.3">
      <c r="A2180" t="s">
        <v>72</v>
      </c>
      <c r="B2180" t="s">
        <v>73</v>
      </c>
      <c r="C2180" t="s">
        <v>74</v>
      </c>
      <c r="E2180" t="str">
        <f>"080067247293"</f>
        <v>080067247293</v>
      </c>
      <c r="F2180" s="3">
        <v>45883</v>
      </c>
      <c r="G2180">
        <v>202605</v>
      </c>
      <c r="H2180" t="s">
        <v>75</v>
      </c>
      <c r="I2180" t="s">
        <v>76</v>
      </c>
      <c r="J2180" t="s">
        <v>77</v>
      </c>
      <c r="K2180" t="s">
        <v>78</v>
      </c>
      <c r="L2180" t="s">
        <v>75</v>
      </c>
      <c r="M2180" t="s">
        <v>76</v>
      </c>
      <c r="N2180" t="s">
        <v>1529</v>
      </c>
      <c r="O2180" t="s">
        <v>82</v>
      </c>
      <c r="P2180" t="str">
        <f>"4170054930                    "</f>
        <v xml:space="preserve">4170054930                    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0</v>
      </c>
      <c r="AI2180">
        <v>0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Q2180">
        <v>18.03</v>
      </c>
      <c r="AR2180">
        <v>0</v>
      </c>
      <c r="AS2180">
        <v>0</v>
      </c>
      <c r="AT2180">
        <v>0</v>
      </c>
      <c r="AU2180">
        <v>0</v>
      </c>
      <c r="AV2180">
        <v>0</v>
      </c>
      <c r="AW2180">
        <v>0</v>
      </c>
      <c r="AX2180">
        <v>0</v>
      </c>
      <c r="AY2180">
        <v>0</v>
      </c>
      <c r="AZ2180">
        <v>0</v>
      </c>
      <c r="BA2180">
        <v>0</v>
      </c>
      <c r="BB2180">
        <v>0</v>
      </c>
      <c r="BC2180">
        <v>0</v>
      </c>
      <c r="BD2180">
        <v>0</v>
      </c>
      <c r="BE2180">
        <v>0</v>
      </c>
      <c r="BF2180">
        <v>0</v>
      </c>
      <c r="BG2180">
        <v>0</v>
      </c>
      <c r="BH2180">
        <v>1</v>
      </c>
      <c r="BI2180">
        <v>4</v>
      </c>
      <c r="BJ2180">
        <v>1.1000000000000001</v>
      </c>
      <c r="BK2180">
        <v>4</v>
      </c>
      <c r="BL2180">
        <v>55.99</v>
      </c>
      <c r="BM2180">
        <v>8.4</v>
      </c>
      <c r="BN2180">
        <v>64.39</v>
      </c>
      <c r="BO2180">
        <v>64.39</v>
      </c>
      <c r="BQ2180" t="s">
        <v>1530</v>
      </c>
      <c r="BR2180" t="s">
        <v>84</v>
      </c>
      <c r="BS2180" t="s">
        <v>96</v>
      </c>
      <c r="BY2180">
        <v>5320</v>
      </c>
      <c r="CC2180" t="s">
        <v>76</v>
      </c>
      <c r="CD2180">
        <v>1600</v>
      </c>
      <c r="CE2180" t="s">
        <v>147</v>
      </c>
      <c r="CI2180">
        <v>1</v>
      </c>
      <c r="CJ2180" t="s">
        <v>96</v>
      </c>
      <c r="CK2180">
        <v>22</v>
      </c>
      <c r="CL2180" t="s">
        <v>90</v>
      </c>
    </row>
    <row r="2181" spans="1:90" x14ac:dyDescent="0.3">
      <c r="A2181" t="s">
        <v>72</v>
      </c>
      <c r="B2181" t="s">
        <v>73</v>
      </c>
      <c r="C2181" t="s">
        <v>74</v>
      </c>
      <c r="E2181" t="str">
        <f>"080067247330"</f>
        <v>080067247330</v>
      </c>
      <c r="F2181" s="3">
        <v>45883</v>
      </c>
      <c r="G2181">
        <v>202605</v>
      </c>
      <c r="H2181" t="s">
        <v>75</v>
      </c>
      <c r="I2181" t="s">
        <v>76</v>
      </c>
      <c r="J2181" t="s">
        <v>77</v>
      </c>
      <c r="K2181" t="s">
        <v>78</v>
      </c>
      <c r="L2181" t="s">
        <v>303</v>
      </c>
      <c r="M2181" t="s">
        <v>304</v>
      </c>
      <c r="N2181" t="s">
        <v>840</v>
      </c>
      <c r="O2181" t="s">
        <v>82</v>
      </c>
      <c r="P2181" t="str">
        <f>"4170054991                    "</f>
        <v xml:space="preserve">4170054991                    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0</v>
      </c>
      <c r="AI2181">
        <v>0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0</v>
      </c>
      <c r="AQ2181">
        <v>44.73</v>
      </c>
      <c r="AR2181">
        <v>0</v>
      </c>
      <c r="AS2181">
        <v>0</v>
      </c>
      <c r="AT2181">
        <v>0</v>
      </c>
      <c r="AU2181">
        <v>0</v>
      </c>
      <c r="AV2181">
        <v>0</v>
      </c>
      <c r="AW2181">
        <v>0</v>
      </c>
      <c r="AX2181">
        <v>0</v>
      </c>
      <c r="AY2181">
        <v>0</v>
      </c>
      <c r="AZ2181">
        <v>0</v>
      </c>
      <c r="BA2181">
        <v>0</v>
      </c>
      <c r="BB2181">
        <v>0</v>
      </c>
      <c r="BC2181">
        <v>0</v>
      </c>
      <c r="BD2181">
        <v>0</v>
      </c>
      <c r="BE2181">
        <v>0</v>
      </c>
      <c r="BF2181">
        <v>0</v>
      </c>
      <c r="BG2181">
        <v>0</v>
      </c>
      <c r="BH2181">
        <v>1</v>
      </c>
      <c r="BI2181">
        <v>1</v>
      </c>
      <c r="BJ2181">
        <v>0.2</v>
      </c>
      <c r="BK2181">
        <v>1</v>
      </c>
      <c r="BL2181">
        <v>138.88999999999999</v>
      </c>
      <c r="BM2181">
        <v>20.83</v>
      </c>
      <c r="BN2181">
        <v>159.72</v>
      </c>
      <c r="BO2181">
        <v>159.72</v>
      </c>
      <c r="BQ2181" t="s">
        <v>841</v>
      </c>
      <c r="BR2181" t="s">
        <v>84</v>
      </c>
      <c r="BS2181" s="3">
        <v>45884</v>
      </c>
      <c r="BT2181" s="4">
        <v>0.50069444444444444</v>
      </c>
      <c r="BU2181" t="s">
        <v>2078</v>
      </c>
      <c r="BV2181" t="s">
        <v>86</v>
      </c>
      <c r="BY2181">
        <v>1200</v>
      </c>
      <c r="CA2181" t="s">
        <v>308</v>
      </c>
      <c r="CC2181" t="s">
        <v>304</v>
      </c>
      <c r="CD2181">
        <v>7130</v>
      </c>
      <c r="CE2181" t="s">
        <v>109</v>
      </c>
      <c r="CF2181" s="3">
        <v>45887</v>
      </c>
      <c r="CI2181">
        <v>1</v>
      </c>
      <c r="CJ2181">
        <v>1</v>
      </c>
      <c r="CK2181">
        <v>23</v>
      </c>
      <c r="CL2181" t="s">
        <v>90</v>
      </c>
    </row>
    <row r="2182" spans="1:90" x14ac:dyDescent="0.3">
      <c r="A2182" t="s">
        <v>72</v>
      </c>
      <c r="B2182" t="s">
        <v>73</v>
      </c>
      <c r="C2182" t="s">
        <v>74</v>
      </c>
      <c r="E2182" t="str">
        <f>"080067247338"</f>
        <v>080067247338</v>
      </c>
      <c r="F2182" s="3">
        <v>45883</v>
      </c>
      <c r="G2182">
        <v>202605</v>
      </c>
      <c r="H2182" t="s">
        <v>75</v>
      </c>
      <c r="I2182" t="s">
        <v>76</v>
      </c>
      <c r="J2182" t="s">
        <v>77</v>
      </c>
      <c r="K2182" t="s">
        <v>78</v>
      </c>
      <c r="L2182" t="s">
        <v>129</v>
      </c>
      <c r="M2182" t="s">
        <v>130</v>
      </c>
      <c r="N2182" t="s">
        <v>2034</v>
      </c>
      <c r="O2182" t="s">
        <v>82</v>
      </c>
      <c r="P2182" t="str">
        <f>"4170054808                    "</f>
        <v xml:space="preserve">4170054808                    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Q2182">
        <v>23.09</v>
      </c>
      <c r="AR2182">
        <v>0</v>
      </c>
      <c r="AS2182">
        <v>0</v>
      </c>
      <c r="AT2182">
        <v>0</v>
      </c>
      <c r="AU2182">
        <v>0</v>
      </c>
      <c r="AV2182">
        <v>0</v>
      </c>
      <c r="AW2182">
        <v>0</v>
      </c>
      <c r="AX2182">
        <v>0</v>
      </c>
      <c r="AY2182">
        <v>0</v>
      </c>
      <c r="AZ2182">
        <v>0</v>
      </c>
      <c r="BA2182">
        <v>0</v>
      </c>
      <c r="BB2182">
        <v>0</v>
      </c>
      <c r="BC2182">
        <v>0</v>
      </c>
      <c r="BD2182">
        <v>0</v>
      </c>
      <c r="BE2182">
        <v>0</v>
      </c>
      <c r="BF2182">
        <v>0</v>
      </c>
      <c r="BG2182">
        <v>0</v>
      </c>
      <c r="BH2182">
        <v>1</v>
      </c>
      <c r="BI2182">
        <v>1</v>
      </c>
      <c r="BJ2182">
        <v>1.1000000000000001</v>
      </c>
      <c r="BK2182">
        <v>1.5</v>
      </c>
      <c r="BL2182">
        <v>71.69</v>
      </c>
      <c r="BM2182">
        <v>10.75</v>
      </c>
      <c r="BN2182">
        <v>82.44</v>
      </c>
      <c r="BO2182">
        <v>82.44</v>
      </c>
      <c r="BQ2182" t="s">
        <v>2035</v>
      </c>
      <c r="BR2182" t="s">
        <v>84</v>
      </c>
      <c r="BS2182" s="3">
        <v>45884</v>
      </c>
      <c r="BT2182" s="4">
        <v>0.42777777777777776</v>
      </c>
      <c r="BU2182" t="s">
        <v>2707</v>
      </c>
      <c r="BV2182" t="s">
        <v>86</v>
      </c>
      <c r="BY2182">
        <v>5320</v>
      </c>
      <c r="CA2182" t="s">
        <v>945</v>
      </c>
      <c r="CC2182" t="s">
        <v>130</v>
      </c>
      <c r="CD2182">
        <v>4113</v>
      </c>
      <c r="CE2182" t="s">
        <v>147</v>
      </c>
      <c r="CF2182" s="3">
        <v>45885</v>
      </c>
      <c r="CI2182">
        <v>1</v>
      </c>
      <c r="CJ2182">
        <v>1</v>
      </c>
      <c r="CK2182">
        <v>21</v>
      </c>
      <c r="CL2182" t="s">
        <v>90</v>
      </c>
    </row>
    <row r="2183" spans="1:90" x14ac:dyDescent="0.3">
      <c r="A2183" t="s">
        <v>72</v>
      </c>
      <c r="B2183" t="s">
        <v>73</v>
      </c>
      <c r="C2183" t="s">
        <v>74</v>
      </c>
      <c r="E2183" t="str">
        <f>"080067247377"</f>
        <v>080067247377</v>
      </c>
      <c r="F2183" s="3">
        <v>45883</v>
      </c>
      <c r="G2183">
        <v>202605</v>
      </c>
      <c r="H2183" t="s">
        <v>75</v>
      </c>
      <c r="I2183" t="s">
        <v>76</v>
      </c>
      <c r="J2183" t="s">
        <v>77</v>
      </c>
      <c r="K2183" t="s">
        <v>78</v>
      </c>
      <c r="L2183" t="s">
        <v>179</v>
      </c>
      <c r="M2183" t="s">
        <v>180</v>
      </c>
      <c r="N2183" t="s">
        <v>275</v>
      </c>
      <c r="O2183" t="s">
        <v>82</v>
      </c>
      <c r="P2183" t="str">
        <f>"4170054958                    "</f>
        <v xml:space="preserve">4170054958                    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0</v>
      </c>
      <c r="AQ2183">
        <v>32.47</v>
      </c>
      <c r="AR2183">
        <v>0</v>
      </c>
      <c r="AS2183">
        <v>0</v>
      </c>
      <c r="AT2183">
        <v>0</v>
      </c>
      <c r="AU2183">
        <v>0</v>
      </c>
      <c r="AV2183">
        <v>0</v>
      </c>
      <c r="AW2183">
        <v>0</v>
      </c>
      <c r="AX2183">
        <v>0</v>
      </c>
      <c r="AY2183">
        <v>0</v>
      </c>
      <c r="AZ2183">
        <v>0</v>
      </c>
      <c r="BA2183">
        <v>0</v>
      </c>
      <c r="BB2183">
        <v>0</v>
      </c>
      <c r="BC2183">
        <v>0</v>
      </c>
      <c r="BD2183">
        <v>0</v>
      </c>
      <c r="BE2183">
        <v>0</v>
      </c>
      <c r="BF2183">
        <v>0</v>
      </c>
      <c r="BG2183">
        <v>0</v>
      </c>
      <c r="BH2183">
        <v>1</v>
      </c>
      <c r="BI2183">
        <v>1</v>
      </c>
      <c r="BJ2183">
        <v>1.1000000000000001</v>
      </c>
      <c r="BK2183">
        <v>1.5</v>
      </c>
      <c r="BL2183">
        <v>100.82</v>
      </c>
      <c r="BM2183">
        <v>15.12</v>
      </c>
      <c r="BN2183">
        <v>115.94</v>
      </c>
      <c r="BO2183">
        <v>115.94</v>
      </c>
      <c r="BQ2183" t="s">
        <v>276</v>
      </c>
      <c r="BR2183" t="s">
        <v>84</v>
      </c>
      <c r="BS2183" s="3">
        <v>45884</v>
      </c>
      <c r="BT2183" s="4">
        <v>0.37777777777777777</v>
      </c>
      <c r="BU2183" t="s">
        <v>1658</v>
      </c>
      <c r="BV2183" t="s">
        <v>86</v>
      </c>
      <c r="BY2183">
        <v>5320</v>
      </c>
      <c r="CA2183" t="s">
        <v>184</v>
      </c>
      <c r="CC2183" t="s">
        <v>180</v>
      </c>
      <c r="CD2183">
        <v>1748</v>
      </c>
      <c r="CE2183" t="s">
        <v>147</v>
      </c>
      <c r="CF2183" s="3">
        <v>45885</v>
      </c>
      <c r="CI2183">
        <v>1</v>
      </c>
      <c r="CJ2183">
        <v>1</v>
      </c>
      <c r="CK2183">
        <v>24</v>
      </c>
      <c r="CL2183" t="s">
        <v>90</v>
      </c>
    </row>
    <row r="2184" spans="1:90" x14ac:dyDescent="0.3">
      <c r="A2184" t="s">
        <v>72</v>
      </c>
      <c r="B2184" t="s">
        <v>73</v>
      </c>
      <c r="C2184" t="s">
        <v>74</v>
      </c>
      <c r="E2184" t="str">
        <f>"080067247391"</f>
        <v>080067247391</v>
      </c>
      <c r="F2184" s="3">
        <v>45883</v>
      </c>
      <c r="G2184">
        <v>202605</v>
      </c>
      <c r="H2184" t="s">
        <v>75</v>
      </c>
      <c r="I2184" t="s">
        <v>76</v>
      </c>
      <c r="J2184" t="s">
        <v>77</v>
      </c>
      <c r="K2184" t="s">
        <v>78</v>
      </c>
      <c r="L2184" t="s">
        <v>217</v>
      </c>
      <c r="M2184" t="s">
        <v>218</v>
      </c>
      <c r="N2184" t="s">
        <v>249</v>
      </c>
      <c r="O2184" t="s">
        <v>82</v>
      </c>
      <c r="P2184" t="str">
        <f>"4170054950                    "</f>
        <v xml:space="preserve">4170054950                    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0</v>
      </c>
      <c r="AP2184">
        <v>0</v>
      </c>
      <c r="AQ2184">
        <v>23.09</v>
      </c>
      <c r="AR2184">
        <v>0</v>
      </c>
      <c r="AS2184">
        <v>0</v>
      </c>
      <c r="AT2184">
        <v>0</v>
      </c>
      <c r="AU2184">
        <v>0</v>
      </c>
      <c r="AV2184">
        <v>0</v>
      </c>
      <c r="AW2184">
        <v>0</v>
      </c>
      <c r="AX2184">
        <v>0</v>
      </c>
      <c r="AY2184">
        <v>0</v>
      </c>
      <c r="AZ2184">
        <v>0</v>
      </c>
      <c r="BA2184">
        <v>0</v>
      </c>
      <c r="BB2184">
        <v>0</v>
      </c>
      <c r="BC2184">
        <v>0</v>
      </c>
      <c r="BD2184">
        <v>0</v>
      </c>
      <c r="BE2184">
        <v>0</v>
      </c>
      <c r="BF2184">
        <v>0</v>
      </c>
      <c r="BG2184">
        <v>0</v>
      </c>
      <c r="BH2184">
        <v>1</v>
      </c>
      <c r="BI2184">
        <v>1</v>
      </c>
      <c r="BJ2184">
        <v>0.2</v>
      </c>
      <c r="BK2184">
        <v>1</v>
      </c>
      <c r="BL2184">
        <v>71.69</v>
      </c>
      <c r="BM2184">
        <v>10.75</v>
      </c>
      <c r="BN2184">
        <v>82.44</v>
      </c>
      <c r="BO2184">
        <v>82.44</v>
      </c>
      <c r="BQ2184" t="s">
        <v>250</v>
      </c>
      <c r="BR2184" t="s">
        <v>84</v>
      </c>
      <c r="BS2184" s="3">
        <v>45884</v>
      </c>
      <c r="BT2184" s="4">
        <v>0.5</v>
      </c>
      <c r="BU2184" t="s">
        <v>787</v>
      </c>
      <c r="BV2184" t="s">
        <v>90</v>
      </c>
      <c r="BY2184">
        <v>1200</v>
      </c>
      <c r="CA2184" t="s">
        <v>136</v>
      </c>
      <c r="CC2184" t="s">
        <v>218</v>
      </c>
      <c r="CD2184">
        <v>4052</v>
      </c>
      <c r="CE2184" t="s">
        <v>178</v>
      </c>
      <c r="CF2184" s="3">
        <v>45887</v>
      </c>
      <c r="CI2184">
        <v>1</v>
      </c>
      <c r="CJ2184">
        <v>1</v>
      </c>
      <c r="CK2184">
        <v>21</v>
      </c>
      <c r="CL2184" t="s">
        <v>90</v>
      </c>
    </row>
    <row r="2185" spans="1:90" x14ac:dyDescent="0.3">
      <c r="A2185" t="s">
        <v>72</v>
      </c>
      <c r="B2185" t="s">
        <v>73</v>
      </c>
      <c r="C2185" t="s">
        <v>74</v>
      </c>
      <c r="E2185" t="str">
        <f>"080067247404"</f>
        <v>080067247404</v>
      </c>
      <c r="F2185" s="3">
        <v>45883</v>
      </c>
      <c r="G2185">
        <v>202605</v>
      </c>
      <c r="H2185" t="s">
        <v>75</v>
      </c>
      <c r="I2185" t="s">
        <v>76</v>
      </c>
      <c r="J2185" t="s">
        <v>77</v>
      </c>
      <c r="K2185" t="s">
        <v>78</v>
      </c>
      <c r="L2185" t="s">
        <v>325</v>
      </c>
      <c r="M2185" t="s">
        <v>326</v>
      </c>
      <c r="N2185" t="s">
        <v>2708</v>
      </c>
      <c r="O2185" t="s">
        <v>82</v>
      </c>
      <c r="P2185" t="str">
        <f>"4170054888                    "</f>
        <v xml:space="preserve">4170054888                    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0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>
        <v>18.03</v>
      </c>
      <c r="AR2185">
        <v>0</v>
      </c>
      <c r="AS2185">
        <v>0</v>
      </c>
      <c r="AT2185">
        <v>0</v>
      </c>
      <c r="AU2185">
        <v>0</v>
      </c>
      <c r="AV2185">
        <v>0</v>
      </c>
      <c r="AW2185">
        <v>0</v>
      </c>
      <c r="AX2185">
        <v>0</v>
      </c>
      <c r="AY2185">
        <v>0</v>
      </c>
      <c r="AZ2185">
        <v>0</v>
      </c>
      <c r="BA2185">
        <v>0</v>
      </c>
      <c r="BB2185">
        <v>0</v>
      </c>
      <c r="BC2185">
        <v>0</v>
      </c>
      <c r="BD2185">
        <v>0</v>
      </c>
      <c r="BE2185">
        <v>0</v>
      </c>
      <c r="BF2185">
        <v>0</v>
      </c>
      <c r="BG2185">
        <v>0</v>
      </c>
      <c r="BH2185">
        <v>1</v>
      </c>
      <c r="BI2185">
        <v>3</v>
      </c>
      <c r="BJ2185">
        <v>1.7</v>
      </c>
      <c r="BK2185">
        <v>3</v>
      </c>
      <c r="BL2185">
        <v>55.99</v>
      </c>
      <c r="BM2185">
        <v>8.4</v>
      </c>
      <c r="BN2185">
        <v>64.39</v>
      </c>
      <c r="BO2185">
        <v>64.39</v>
      </c>
      <c r="BQ2185" t="s">
        <v>2709</v>
      </c>
      <c r="BR2185" t="s">
        <v>84</v>
      </c>
      <c r="BS2185" s="3">
        <v>45884</v>
      </c>
      <c r="BT2185" s="4">
        <v>0.40208333333333335</v>
      </c>
      <c r="BU2185" t="s">
        <v>2710</v>
      </c>
      <c r="BV2185" t="s">
        <v>86</v>
      </c>
      <c r="BY2185">
        <v>8550</v>
      </c>
      <c r="CA2185" t="s">
        <v>2711</v>
      </c>
      <c r="CC2185" t="s">
        <v>326</v>
      </c>
      <c r="CD2185">
        <v>2195</v>
      </c>
      <c r="CE2185" t="s">
        <v>178</v>
      </c>
      <c r="CF2185" s="3">
        <v>45885</v>
      </c>
      <c r="CI2185">
        <v>1</v>
      </c>
      <c r="CJ2185">
        <v>1</v>
      </c>
      <c r="CK2185">
        <v>22</v>
      </c>
      <c r="CL2185" t="s">
        <v>90</v>
      </c>
    </row>
    <row r="2186" spans="1:90" x14ac:dyDescent="0.3">
      <c r="A2186" t="s">
        <v>72</v>
      </c>
      <c r="B2186" t="s">
        <v>73</v>
      </c>
      <c r="C2186" t="s">
        <v>74</v>
      </c>
      <c r="E2186" t="str">
        <f>"080067247423"</f>
        <v>080067247423</v>
      </c>
      <c r="F2186" s="3">
        <v>45883</v>
      </c>
      <c r="G2186">
        <v>202605</v>
      </c>
      <c r="H2186" t="s">
        <v>75</v>
      </c>
      <c r="I2186" t="s">
        <v>76</v>
      </c>
      <c r="J2186" t="s">
        <v>77</v>
      </c>
      <c r="K2186" t="s">
        <v>78</v>
      </c>
      <c r="L2186" t="s">
        <v>198</v>
      </c>
      <c r="M2186" t="s">
        <v>199</v>
      </c>
      <c r="N2186" t="s">
        <v>2712</v>
      </c>
      <c r="O2186" t="s">
        <v>82</v>
      </c>
      <c r="P2186" t="str">
        <f>"4170054883                    "</f>
        <v xml:space="preserve">4170054883                    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0</v>
      </c>
      <c r="AP2186">
        <v>0</v>
      </c>
      <c r="AQ2186">
        <v>23.09</v>
      </c>
      <c r="AR2186">
        <v>0</v>
      </c>
      <c r="AS2186">
        <v>0</v>
      </c>
      <c r="AT2186">
        <v>0</v>
      </c>
      <c r="AU2186">
        <v>0</v>
      </c>
      <c r="AV2186">
        <v>0</v>
      </c>
      <c r="AW2186">
        <v>0</v>
      </c>
      <c r="AX2186">
        <v>0</v>
      </c>
      <c r="AY2186">
        <v>0</v>
      </c>
      <c r="AZ2186">
        <v>0</v>
      </c>
      <c r="BA2186">
        <v>0</v>
      </c>
      <c r="BB2186">
        <v>0</v>
      </c>
      <c r="BC2186">
        <v>0</v>
      </c>
      <c r="BD2186">
        <v>0</v>
      </c>
      <c r="BE2186">
        <v>0</v>
      </c>
      <c r="BF2186">
        <v>0</v>
      </c>
      <c r="BG2186">
        <v>0</v>
      </c>
      <c r="BH2186">
        <v>1</v>
      </c>
      <c r="BI2186">
        <v>1</v>
      </c>
      <c r="BJ2186">
        <v>0.2</v>
      </c>
      <c r="BK2186">
        <v>1</v>
      </c>
      <c r="BL2186">
        <v>71.69</v>
      </c>
      <c r="BM2186">
        <v>10.75</v>
      </c>
      <c r="BN2186">
        <v>82.44</v>
      </c>
      <c r="BO2186">
        <v>82.44</v>
      </c>
      <c r="BQ2186" t="s">
        <v>2713</v>
      </c>
      <c r="BR2186" t="s">
        <v>84</v>
      </c>
      <c r="BS2186" s="3">
        <v>45884</v>
      </c>
      <c r="BT2186" s="4">
        <v>0.4236111111111111</v>
      </c>
      <c r="BU2186" t="s">
        <v>2714</v>
      </c>
      <c r="BV2186" t="s">
        <v>86</v>
      </c>
      <c r="BY2186">
        <v>1200</v>
      </c>
      <c r="CA2186" t="s">
        <v>433</v>
      </c>
      <c r="CC2186" t="s">
        <v>199</v>
      </c>
      <c r="CD2186">
        <v>6001</v>
      </c>
      <c r="CE2186" t="s">
        <v>178</v>
      </c>
      <c r="CF2186" s="3">
        <v>45884</v>
      </c>
      <c r="CI2186">
        <v>1</v>
      </c>
      <c r="CJ2186">
        <v>1</v>
      </c>
      <c r="CK2186">
        <v>21</v>
      </c>
      <c r="CL2186" t="s">
        <v>90</v>
      </c>
    </row>
    <row r="2187" spans="1:90" x14ac:dyDescent="0.3">
      <c r="A2187" t="s">
        <v>72</v>
      </c>
      <c r="B2187" t="s">
        <v>73</v>
      </c>
      <c r="C2187" t="s">
        <v>74</v>
      </c>
      <c r="E2187" t="str">
        <f>"080067247436"</f>
        <v>080067247436</v>
      </c>
      <c r="F2187" s="3">
        <v>45883</v>
      </c>
      <c r="G2187">
        <v>202605</v>
      </c>
      <c r="H2187" t="s">
        <v>75</v>
      </c>
      <c r="I2187" t="s">
        <v>76</v>
      </c>
      <c r="J2187" t="s">
        <v>77</v>
      </c>
      <c r="K2187" t="s">
        <v>78</v>
      </c>
      <c r="L2187" t="s">
        <v>241</v>
      </c>
      <c r="M2187" t="s">
        <v>242</v>
      </c>
      <c r="N2187" t="s">
        <v>978</v>
      </c>
      <c r="O2187" t="s">
        <v>82</v>
      </c>
      <c r="P2187" t="str">
        <f>"4170054967                    "</f>
        <v xml:space="preserve">4170054967                    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0</v>
      </c>
      <c r="AI2187">
        <v>0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Q2187">
        <v>18.03</v>
      </c>
      <c r="AR2187">
        <v>0</v>
      </c>
      <c r="AS2187">
        <v>0</v>
      </c>
      <c r="AT2187">
        <v>0</v>
      </c>
      <c r="AU2187">
        <v>0</v>
      </c>
      <c r="AV2187">
        <v>0</v>
      </c>
      <c r="AW2187">
        <v>0</v>
      </c>
      <c r="AX2187">
        <v>0</v>
      </c>
      <c r="AY2187">
        <v>0</v>
      </c>
      <c r="AZ2187">
        <v>0</v>
      </c>
      <c r="BA2187">
        <v>0</v>
      </c>
      <c r="BB2187">
        <v>0</v>
      </c>
      <c r="BC2187">
        <v>0</v>
      </c>
      <c r="BD2187">
        <v>0</v>
      </c>
      <c r="BE2187">
        <v>0</v>
      </c>
      <c r="BF2187">
        <v>0</v>
      </c>
      <c r="BG2187">
        <v>0</v>
      </c>
      <c r="BH2187">
        <v>1</v>
      </c>
      <c r="BI2187">
        <v>1</v>
      </c>
      <c r="BJ2187">
        <v>0.2</v>
      </c>
      <c r="BK2187">
        <v>1</v>
      </c>
      <c r="BL2187">
        <v>55.99</v>
      </c>
      <c r="BM2187">
        <v>8.4</v>
      </c>
      <c r="BN2187">
        <v>64.39</v>
      </c>
      <c r="BO2187">
        <v>64.39</v>
      </c>
      <c r="BQ2187" t="s">
        <v>1774</v>
      </c>
      <c r="BR2187" t="s">
        <v>84</v>
      </c>
      <c r="BS2187" s="3">
        <v>45884</v>
      </c>
      <c r="BT2187" s="4">
        <v>0.33680555555555558</v>
      </c>
      <c r="BU2187" t="s">
        <v>900</v>
      </c>
      <c r="BV2187" t="s">
        <v>86</v>
      </c>
      <c r="BY2187">
        <v>1200</v>
      </c>
      <c r="CA2187" t="s">
        <v>720</v>
      </c>
      <c r="CC2187" t="s">
        <v>242</v>
      </c>
      <c r="CD2187">
        <v>1459</v>
      </c>
      <c r="CE2187" t="s">
        <v>178</v>
      </c>
      <c r="CF2187" s="3">
        <v>45884</v>
      </c>
      <c r="CI2187">
        <v>1</v>
      </c>
      <c r="CJ2187">
        <v>1</v>
      </c>
      <c r="CK2187">
        <v>22</v>
      </c>
      <c r="CL2187" t="s">
        <v>90</v>
      </c>
    </row>
    <row r="2188" spans="1:90" x14ac:dyDescent="0.3">
      <c r="A2188" t="s">
        <v>72</v>
      </c>
      <c r="B2188" t="s">
        <v>73</v>
      </c>
      <c r="C2188" t="s">
        <v>74</v>
      </c>
      <c r="E2188" t="str">
        <f>"080067247472"</f>
        <v>080067247472</v>
      </c>
      <c r="F2188" s="3">
        <v>45883</v>
      </c>
      <c r="G2188">
        <v>202605</v>
      </c>
      <c r="H2188" t="s">
        <v>75</v>
      </c>
      <c r="I2188" t="s">
        <v>76</v>
      </c>
      <c r="J2188" t="s">
        <v>77</v>
      </c>
      <c r="K2188" t="s">
        <v>78</v>
      </c>
      <c r="L2188" t="s">
        <v>123</v>
      </c>
      <c r="M2188" t="s">
        <v>124</v>
      </c>
      <c r="N2188" t="s">
        <v>577</v>
      </c>
      <c r="O2188" t="s">
        <v>82</v>
      </c>
      <c r="P2188" t="str">
        <f>"4170055040                    "</f>
        <v xml:space="preserve">4170055040                    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0</v>
      </c>
      <c r="AI2188">
        <v>0</v>
      </c>
      <c r="AJ2188">
        <v>0</v>
      </c>
      <c r="AK2188">
        <v>0</v>
      </c>
      <c r="AL2188">
        <v>0</v>
      </c>
      <c r="AM2188">
        <v>0</v>
      </c>
      <c r="AN2188">
        <v>0</v>
      </c>
      <c r="AO2188">
        <v>0</v>
      </c>
      <c r="AP2188">
        <v>0</v>
      </c>
      <c r="AQ2188">
        <v>23.09</v>
      </c>
      <c r="AR2188">
        <v>0</v>
      </c>
      <c r="AS2188">
        <v>0</v>
      </c>
      <c r="AT2188">
        <v>0</v>
      </c>
      <c r="AU2188">
        <v>0</v>
      </c>
      <c r="AV2188">
        <v>0</v>
      </c>
      <c r="AW2188">
        <v>0</v>
      </c>
      <c r="AX2188">
        <v>0</v>
      </c>
      <c r="AY2188">
        <v>0</v>
      </c>
      <c r="AZ2188">
        <v>0</v>
      </c>
      <c r="BA2188">
        <v>0</v>
      </c>
      <c r="BB2188">
        <v>0</v>
      </c>
      <c r="BC2188">
        <v>0</v>
      </c>
      <c r="BD2188">
        <v>0</v>
      </c>
      <c r="BE2188">
        <v>0</v>
      </c>
      <c r="BF2188">
        <v>0</v>
      </c>
      <c r="BG2188">
        <v>0</v>
      </c>
      <c r="BH2188">
        <v>1</v>
      </c>
      <c r="BI2188">
        <v>1</v>
      </c>
      <c r="BJ2188">
        <v>0.2</v>
      </c>
      <c r="BK2188">
        <v>1</v>
      </c>
      <c r="BL2188">
        <v>71.69</v>
      </c>
      <c r="BM2188">
        <v>10.75</v>
      </c>
      <c r="BN2188">
        <v>82.44</v>
      </c>
      <c r="BO2188">
        <v>82.44</v>
      </c>
      <c r="BQ2188" t="s">
        <v>578</v>
      </c>
      <c r="BR2188" t="s">
        <v>84</v>
      </c>
      <c r="BS2188" s="3">
        <v>45884</v>
      </c>
      <c r="BT2188" s="4">
        <v>0.40972222222222221</v>
      </c>
      <c r="BU2188" t="s">
        <v>913</v>
      </c>
      <c r="BV2188" t="s">
        <v>86</v>
      </c>
      <c r="BY2188">
        <v>1200</v>
      </c>
      <c r="CA2188" t="s">
        <v>192</v>
      </c>
      <c r="CC2188" t="s">
        <v>124</v>
      </c>
      <c r="CD2188">
        <v>8001</v>
      </c>
      <c r="CE2188" t="s">
        <v>178</v>
      </c>
      <c r="CF2188" s="3">
        <v>45887</v>
      </c>
      <c r="CI2188">
        <v>1</v>
      </c>
      <c r="CJ2188">
        <v>1</v>
      </c>
      <c r="CK2188">
        <v>21</v>
      </c>
      <c r="CL2188" t="s">
        <v>90</v>
      </c>
    </row>
    <row r="2189" spans="1:90" x14ac:dyDescent="0.3">
      <c r="A2189" t="s">
        <v>72</v>
      </c>
      <c r="B2189" t="s">
        <v>73</v>
      </c>
      <c r="C2189" t="s">
        <v>74</v>
      </c>
      <c r="E2189" t="str">
        <f>"080067247477"</f>
        <v>080067247477</v>
      </c>
      <c r="F2189" s="3">
        <v>45883</v>
      </c>
      <c r="G2189">
        <v>202605</v>
      </c>
      <c r="H2189" t="s">
        <v>75</v>
      </c>
      <c r="I2189" t="s">
        <v>76</v>
      </c>
      <c r="J2189" t="s">
        <v>77</v>
      </c>
      <c r="K2189" t="s">
        <v>78</v>
      </c>
      <c r="L2189" t="s">
        <v>513</v>
      </c>
      <c r="M2189" t="s">
        <v>514</v>
      </c>
      <c r="N2189" t="s">
        <v>2715</v>
      </c>
      <c r="O2189" t="s">
        <v>82</v>
      </c>
      <c r="P2189" t="str">
        <f>"4170054885                    "</f>
        <v xml:space="preserve">4170054885                    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0</v>
      </c>
      <c r="AI2189">
        <v>0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Q2189">
        <v>44.73</v>
      </c>
      <c r="AR2189">
        <v>0</v>
      </c>
      <c r="AS2189">
        <v>0</v>
      </c>
      <c r="AT2189">
        <v>0</v>
      </c>
      <c r="AU2189">
        <v>0</v>
      </c>
      <c r="AV2189">
        <v>0</v>
      </c>
      <c r="AW2189">
        <v>0</v>
      </c>
      <c r="AX2189">
        <v>0</v>
      </c>
      <c r="AY2189">
        <v>0</v>
      </c>
      <c r="AZ2189">
        <v>0</v>
      </c>
      <c r="BA2189">
        <v>0</v>
      </c>
      <c r="BB2189">
        <v>0</v>
      </c>
      <c r="BC2189">
        <v>0</v>
      </c>
      <c r="BD2189">
        <v>0</v>
      </c>
      <c r="BE2189">
        <v>0</v>
      </c>
      <c r="BF2189">
        <v>0</v>
      </c>
      <c r="BG2189">
        <v>0</v>
      </c>
      <c r="BH2189">
        <v>1</v>
      </c>
      <c r="BI2189">
        <v>1</v>
      </c>
      <c r="BJ2189">
        <v>1.1000000000000001</v>
      </c>
      <c r="BK2189">
        <v>1.5</v>
      </c>
      <c r="BL2189">
        <v>138.88999999999999</v>
      </c>
      <c r="BM2189">
        <v>20.83</v>
      </c>
      <c r="BN2189">
        <v>159.72</v>
      </c>
      <c r="BO2189">
        <v>159.72</v>
      </c>
      <c r="BQ2189" t="s">
        <v>2716</v>
      </c>
      <c r="BR2189" t="s">
        <v>84</v>
      </c>
      <c r="BS2189" s="3">
        <v>45884</v>
      </c>
      <c r="BT2189" s="4">
        <v>0.41249999999999998</v>
      </c>
      <c r="BU2189" t="s">
        <v>2717</v>
      </c>
      <c r="BV2189" t="s">
        <v>86</v>
      </c>
      <c r="BY2189">
        <v>5320</v>
      </c>
      <c r="CA2189" t="s">
        <v>518</v>
      </c>
      <c r="CC2189" t="s">
        <v>514</v>
      </c>
      <c r="CD2189" s="5" t="s">
        <v>519</v>
      </c>
      <c r="CE2189" t="s">
        <v>178</v>
      </c>
      <c r="CF2189" s="3">
        <v>45887</v>
      </c>
      <c r="CI2189">
        <v>1</v>
      </c>
      <c r="CJ2189">
        <v>1</v>
      </c>
      <c r="CK2189">
        <v>23</v>
      </c>
      <c r="CL2189" t="s">
        <v>90</v>
      </c>
    </row>
    <row r="2190" spans="1:90" x14ac:dyDescent="0.3">
      <c r="A2190" t="s">
        <v>72</v>
      </c>
      <c r="B2190" t="s">
        <v>73</v>
      </c>
      <c r="C2190" t="s">
        <v>74</v>
      </c>
      <c r="E2190" t="str">
        <f>"080067247500"</f>
        <v>080067247500</v>
      </c>
      <c r="F2190" s="3">
        <v>45883</v>
      </c>
      <c r="G2190">
        <v>202605</v>
      </c>
      <c r="H2190" t="s">
        <v>75</v>
      </c>
      <c r="I2190" t="s">
        <v>76</v>
      </c>
      <c r="J2190" t="s">
        <v>77</v>
      </c>
      <c r="K2190" t="s">
        <v>78</v>
      </c>
      <c r="L2190" t="s">
        <v>123</v>
      </c>
      <c r="M2190" t="s">
        <v>124</v>
      </c>
      <c r="N2190" t="s">
        <v>406</v>
      </c>
      <c r="O2190" t="s">
        <v>82</v>
      </c>
      <c r="P2190" t="str">
        <f>"4170055046                    "</f>
        <v xml:space="preserve">4170055046                    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0</v>
      </c>
      <c r="AI2190">
        <v>0</v>
      </c>
      <c r="AJ2190">
        <v>0</v>
      </c>
      <c r="AK2190">
        <v>0</v>
      </c>
      <c r="AL2190">
        <v>0</v>
      </c>
      <c r="AM2190">
        <v>0</v>
      </c>
      <c r="AN2190">
        <v>0</v>
      </c>
      <c r="AO2190">
        <v>0</v>
      </c>
      <c r="AP2190">
        <v>0</v>
      </c>
      <c r="AQ2190">
        <v>23.09</v>
      </c>
      <c r="AR2190">
        <v>0</v>
      </c>
      <c r="AS2190">
        <v>0</v>
      </c>
      <c r="AT2190">
        <v>0</v>
      </c>
      <c r="AU2190">
        <v>0</v>
      </c>
      <c r="AV2190">
        <v>0</v>
      </c>
      <c r="AW2190">
        <v>0</v>
      </c>
      <c r="AX2190">
        <v>0</v>
      </c>
      <c r="AY2190">
        <v>0</v>
      </c>
      <c r="AZ2190">
        <v>0</v>
      </c>
      <c r="BA2190">
        <v>0</v>
      </c>
      <c r="BB2190">
        <v>0</v>
      </c>
      <c r="BC2190">
        <v>0</v>
      </c>
      <c r="BD2190">
        <v>0</v>
      </c>
      <c r="BE2190">
        <v>0</v>
      </c>
      <c r="BF2190">
        <v>0</v>
      </c>
      <c r="BG2190">
        <v>0</v>
      </c>
      <c r="BH2190">
        <v>1</v>
      </c>
      <c r="BI2190">
        <v>1</v>
      </c>
      <c r="BJ2190">
        <v>0.2</v>
      </c>
      <c r="BK2190">
        <v>1</v>
      </c>
      <c r="BL2190">
        <v>71.69</v>
      </c>
      <c r="BM2190">
        <v>10.75</v>
      </c>
      <c r="BN2190">
        <v>82.44</v>
      </c>
      <c r="BO2190">
        <v>82.44</v>
      </c>
      <c r="BQ2190" t="s">
        <v>407</v>
      </c>
      <c r="BR2190" t="s">
        <v>84</v>
      </c>
      <c r="BS2190" s="3">
        <v>45884</v>
      </c>
      <c r="BT2190" s="4">
        <v>0.42916666666666664</v>
      </c>
      <c r="BU2190" t="s">
        <v>408</v>
      </c>
      <c r="BV2190" t="s">
        <v>86</v>
      </c>
      <c r="BY2190">
        <v>1200</v>
      </c>
      <c r="CA2190" t="s">
        <v>192</v>
      </c>
      <c r="CC2190" t="s">
        <v>124</v>
      </c>
      <c r="CD2190">
        <v>7441</v>
      </c>
      <c r="CE2190" t="s">
        <v>178</v>
      </c>
      <c r="CF2190" s="3">
        <v>45887</v>
      </c>
      <c r="CI2190">
        <v>1</v>
      </c>
      <c r="CJ2190">
        <v>1</v>
      </c>
      <c r="CK2190">
        <v>21</v>
      </c>
      <c r="CL2190" t="s">
        <v>90</v>
      </c>
    </row>
    <row r="2191" spans="1:90" x14ac:dyDescent="0.3">
      <c r="A2191" t="s">
        <v>72</v>
      </c>
      <c r="B2191" t="s">
        <v>73</v>
      </c>
      <c r="C2191" t="s">
        <v>74</v>
      </c>
      <c r="E2191" t="str">
        <f>"080067247507"</f>
        <v>080067247507</v>
      </c>
      <c r="F2191" s="3">
        <v>45883</v>
      </c>
      <c r="G2191">
        <v>202605</v>
      </c>
      <c r="H2191" t="s">
        <v>75</v>
      </c>
      <c r="I2191" t="s">
        <v>76</v>
      </c>
      <c r="J2191" t="s">
        <v>77</v>
      </c>
      <c r="K2191" t="s">
        <v>78</v>
      </c>
      <c r="L2191" t="s">
        <v>198</v>
      </c>
      <c r="M2191" t="s">
        <v>199</v>
      </c>
      <c r="N2191" t="s">
        <v>430</v>
      </c>
      <c r="O2191" t="s">
        <v>82</v>
      </c>
      <c r="P2191" t="str">
        <f>"4170054811                    "</f>
        <v xml:space="preserve">4170054811                    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0</v>
      </c>
      <c r="AI2191">
        <v>0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0</v>
      </c>
      <c r="AP2191">
        <v>0</v>
      </c>
      <c r="AQ2191">
        <v>23.09</v>
      </c>
      <c r="AR2191">
        <v>0</v>
      </c>
      <c r="AS2191">
        <v>0</v>
      </c>
      <c r="AT2191">
        <v>0</v>
      </c>
      <c r="AU2191">
        <v>0</v>
      </c>
      <c r="AV2191">
        <v>0</v>
      </c>
      <c r="AW2191">
        <v>0</v>
      </c>
      <c r="AX2191">
        <v>0</v>
      </c>
      <c r="AY2191">
        <v>0</v>
      </c>
      <c r="AZ2191">
        <v>0</v>
      </c>
      <c r="BA2191">
        <v>0</v>
      </c>
      <c r="BB2191">
        <v>0</v>
      </c>
      <c r="BC2191">
        <v>0</v>
      </c>
      <c r="BD2191">
        <v>0</v>
      </c>
      <c r="BE2191">
        <v>0</v>
      </c>
      <c r="BF2191">
        <v>0</v>
      </c>
      <c r="BG2191">
        <v>0</v>
      </c>
      <c r="BH2191">
        <v>1</v>
      </c>
      <c r="BI2191">
        <v>2</v>
      </c>
      <c r="BJ2191">
        <v>0.6</v>
      </c>
      <c r="BK2191">
        <v>2</v>
      </c>
      <c r="BL2191">
        <v>71.69</v>
      </c>
      <c r="BM2191">
        <v>10.75</v>
      </c>
      <c r="BN2191">
        <v>82.44</v>
      </c>
      <c r="BO2191">
        <v>82.44</v>
      </c>
      <c r="BQ2191" t="s">
        <v>431</v>
      </c>
      <c r="BR2191" t="s">
        <v>84</v>
      </c>
      <c r="BS2191" s="3">
        <v>45884</v>
      </c>
      <c r="BT2191" s="4">
        <v>0.37777777777777777</v>
      </c>
      <c r="BU2191" t="s">
        <v>1902</v>
      </c>
      <c r="BV2191" t="s">
        <v>86</v>
      </c>
      <c r="BY2191">
        <v>3192</v>
      </c>
      <c r="CA2191" t="s">
        <v>433</v>
      </c>
      <c r="CC2191" t="s">
        <v>199</v>
      </c>
      <c r="CD2191">
        <v>6001</v>
      </c>
      <c r="CE2191" t="s">
        <v>178</v>
      </c>
      <c r="CF2191" s="3">
        <v>45884</v>
      </c>
      <c r="CI2191">
        <v>1</v>
      </c>
      <c r="CJ2191">
        <v>1</v>
      </c>
      <c r="CK2191">
        <v>21</v>
      </c>
      <c r="CL2191" t="s">
        <v>90</v>
      </c>
    </row>
    <row r="2192" spans="1:90" x14ac:dyDescent="0.3">
      <c r="A2192" t="s">
        <v>72</v>
      </c>
      <c r="B2192" t="s">
        <v>73</v>
      </c>
      <c r="C2192" t="s">
        <v>74</v>
      </c>
      <c r="E2192" t="str">
        <f>"080067247518"</f>
        <v>080067247518</v>
      </c>
      <c r="F2192" s="3">
        <v>45883</v>
      </c>
      <c r="G2192">
        <v>202605</v>
      </c>
      <c r="H2192" t="s">
        <v>75</v>
      </c>
      <c r="I2192" t="s">
        <v>76</v>
      </c>
      <c r="J2192" t="s">
        <v>77</v>
      </c>
      <c r="K2192" t="s">
        <v>78</v>
      </c>
      <c r="L2192" t="s">
        <v>278</v>
      </c>
      <c r="M2192" t="s">
        <v>279</v>
      </c>
      <c r="N2192" t="s">
        <v>1812</v>
      </c>
      <c r="O2192" t="s">
        <v>82</v>
      </c>
      <c r="P2192" t="str">
        <f>"4170055041                    "</f>
        <v xml:space="preserve">4170055041                    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0</v>
      </c>
      <c r="AI2192">
        <v>0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Q2192">
        <v>23.09</v>
      </c>
      <c r="AR2192">
        <v>0</v>
      </c>
      <c r="AS2192">
        <v>0</v>
      </c>
      <c r="AT2192">
        <v>0</v>
      </c>
      <c r="AU2192">
        <v>0</v>
      </c>
      <c r="AV2192">
        <v>0</v>
      </c>
      <c r="AW2192">
        <v>0</v>
      </c>
      <c r="AX2192">
        <v>0</v>
      </c>
      <c r="AY2192">
        <v>0</v>
      </c>
      <c r="AZ2192">
        <v>0</v>
      </c>
      <c r="BA2192">
        <v>0</v>
      </c>
      <c r="BB2192">
        <v>0</v>
      </c>
      <c r="BC2192">
        <v>0</v>
      </c>
      <c r="BD2192">
        <v>0</v>
      </c>
      <c r="BE2192">
        <v>0</v>
      </c>
      <c r="BF2192">
        <v>0</v>
      </c>
      <c r="BG2192">
        <v>0</v>
      </c>
      <c r="BH2192">
        <v>1</v>
      </c>
      <c r="BI2192">
        <v>1</v>
      </c>
      <c r="BJ2192">
        <v>0.2</v>
      </c>
      <c r="BK2192">
        <v>1</v>
      </c>
      <c r="BL2192">
        <v>71.69</v>
      </c>
      <c r="BM2192">
        <v>10.75</v>
      </c>
      <c r="BN2192">
        <v>82.44</v>
      </c>
      <c r="BO2192">
        <v>82.44</v>
      </c>
      <c r="BQ2192" t="s">
        <v>1813</v>
      </c>
      <c r="BR2192" t="s">
        <v>84</v>
      </c>
      <c r="BS2192" s="3">
        <v>45884</v>
      </c>
      <c r="BT2192" s="4">
        <v>0.41249999999999998</v>
      </c>
      <c r="BU2192" t="s">
        <v>2718</v>
      </c>
      <c r="BV2192" t="s">
        <v>86</v>
      </c>
      <c r="BY2192">
        <v>1200</v>
      </c>
      <c r="CA2192" t="s">
        <v>1987</v>
      </c>
      <c r="CC2192" t="s">
        <v>279</v>
      </c>
      <c r="CD2192" s="5" t="s">
        <v>533</v>
      </c>
      <c r="CE2192" t="s">
        <v>109</v>
      </c>
      <c r="CF2192" s="3">
        <v>45884</v>
      </c>
      <c r="CI2192">
        <v>1</v>
      </c>
      <c r="CJ2192">
        <v>1</v>
      </c>
      <c r="CK2192">
        <v>21</v>
      </c>
      <c r="CL2192" t="s">
        <v>90</v>
      </c>
    </row>
    <row r="2193" spans="1:90" x14ac:dyDescent="0.3">
      <c r="A2193" t="s">
        <v>72</v>
      </c>
      <c r="B2193" t="s">
        <v>73</v>
      </c>
      <c r="C2193" t="s">
        <v>74</v>
      </c>
      <c r="E2193" t="str">
        <f>"080067247532"</f>
        <v>080067247532</v>
      </c>
      <c r="F2193" s="3">
        <v>45883</v>
      </c>
      <c r="G2193">
        <v>202605</v>
      </c>
      <c r="H2193" t="s">
        <v>75</v>
      </c>
      <c r="I2193" t="s">
        <v>76</v>
      </c>
      <c r="J2193" t="s">
        <v>77</v>
      </c>
      <c r="K2193" t="s">
        <v>78</v>
      </c>
      <c r="L2193" t="s">
        <v>198</v>
      </c>
      <c r="M2193" t="s">
        <v>199</v>
      </c>
      <c r="N2193" t="s">
        <v>1332</v>
      </c>
      <c r="O2193" t="s">
        <v>82</v>
      </c>
      <c r="P2193" t="str">
        <f>"4170054905                    "</f>
        <v xml:space="preserve">4170054905                    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0</v>
      </c>
      <c r="AI2193">
        <v>0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0</v>
      </c>
      <c r="AP2193">
        <v>0</v>
      </c>
      <c r="AQ2193">
        <v>23.09</v>
      </c>
      <c r="AR2193">
        <v>0</v>
      </c>
      <c r="AS2193">
        <v>0</v>
      </c>
      <c r="AT2193">
        <v>0</v>
      </c>
      <c r="AU2193">
        <v>0</v>
      </c>
      <c r="AV2193">
        <v>0</v>
      </c>
      <c r="AW2193">
        <v>0</v>
      </c>
      <c r="AX2193">
        <v>0</v>
      </c>
      <c r="AY2193">
        <v>0</v>
      </c>
      <c r="AZ2193">
        <v>0</v>
      </c>
      <c r="BA2193">
        <v>0</v>
      </c>
      <c r="BB2193">
        <v>0</v>
      </c>
      <c r="BC2193">
        <v>0</v>
      </c>
      <c r="BD2193">
        <v>0</v>
      </c>
      <c r="BE2193">
        <v>0</v>
      </c>
      <c r="BF2193">
        <v>0</v>
      </c>
      <c r="BG2193">
        <v>0</v>
      </c>
      <c r="BH2193">
        <v>1</v>
      </c>
      <c r="BI2193">
        <v>1</v>
      </c>
      <c r="BJ2193">
        <v>0.6</v>
      </c>
      <c r="BK2193">
        <v>1</v>
      </c>
      <c r="BL2193">
        <v>71.69</v>
      </c>
      <c r="BM2193">
        <v>10.75</v>
      </c>
      <c r="BN2193">
        <v>82.44</v>
      </c>
      <c r="BO2193">
        <v>82.44</v>
      </c>
      <c r="BQ2193" t="s">
        <v>1333</v>
      </c>
      <c r="BR2193" t="s">
        <v>84</v>
      </c>
      <c r="BS2193" s="3">
        <v>45884</v>
      </c>
      <c r="BT2193" s="4">
        <v>0.42430555555555555</v>
      </c>
      <c r="BU2193" t="s">
        <v>2719</v>
      </c>
      <c r="BV2193" t="s">
        <v>86</v>
      </c>
      <c r="BY2193">
        <v>3000</v>
      </c>
      <c r="CA2193" t="s">
        <v>413</v>
      </c>
      <c r="CC2193" t="s">
        <v>199</v>
      </c>
      <c r="CD2193">
        <v>6001</v>
      </c>
      <c r="CE2193" t="s">
        <v>117</v>
      </c>
      <c r="CF2193" s="3">
        <v>45884</v>
      </c>
      <c r="CI2193">
        <v>1</v>
      </c>
      <c r="CJ2193">
        <v>1</v>
      </c>
      <c r="CK2193">
        <v>21</v>
      </c>
      <c r="CL2193" t="s">
        <v>90</v>
      </c>
    </row>
    <row r="2194" spans="1:90" x14ac:dyDescent="0.3">
      <c r="A2194" t="s">
        <v>72</v>
      </c>
      <c r="B2194" t="s">
        <v>73</v>
      </c>
      <c r="C2194" t="s">
        <v>74</v>
      </c>
      <c r="E2194" t="str">
        <f>"080067247541"</f>
        <v>080067247541</v>
      </c>
      <c r="F2194" s="3">
        <v>45883</v>
      </c>
      <c r="G2194">
        <v>202605</v>
      </c>
      <c r="H2194" t="s">
        <v>75</v>
      </c>
      <c r="I2194" t="s">
        <v>76</v>
      </c>
      <c r="J2194" t="s">
        <v>77</v>
      </c>
      <c r="K2194" t="s">
        <v>78</v>
      </c>
      <c r="L2194" t="s">
        <v>123</v>
      </c>
      <c r="M2194" t="s">
        <v>124</v>
      </c>
      <c r="N2194" t="s">
        <v>406</v>
      </c>
      <c r="O2194" t="s">
        <v>82</v>
      </c>
      <c r="P2194" t="str">
        <f>"4170054796                    "</f>
        <v xml:space="preserve">4170054796                    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0</v>
      </c>
      <c r="AQ2194">
        <v>23.09</v>
      </c>
      <c r="AR2194">
        <v>0</v>
      </c>
      <c r="AS2194">
        <v>0</v>
      </c>
      <c r="AT2194">
        <v>0</v>
      </c>
      <c r="AU2194">
        <v>0</v>
      </c>
      <c r="AV2194">
        <v>0</v>
      </c>
      <c r="AW2194">
        <v>0</v>
      </c>
      <c r="AX2194">
        <v>0</v>
      </c>
      <c r="AY2194">
        <v>0</v>
      </c>
      <c r="AZ2194">
        <v>0</v>
      </c>
      <c r="BA2194">
        <v>0</v>
      </c>
      <c r="BB2194">
        <v>0</v>
      </c>
      <c r="BC2194">
        <v>0</v>
      </c>
      <c r="BD2194">
        <v>0</v>
      </c>
      <c r="BE2194">
        <v>0</v>
      </c>
      <c r="BF2194">
        <v>0</v>
      </c>
      <c r="BG2194">
        <v>0</v>
      </c>
      <c r="BH2194">
        <v>1</v>
      </c>
      <c r="BI2194">
        <v>1</v>
      </c>
      <c r="BJ2194">
        <v>0.2</v>
      </c>
      <c r="BK2194">
        <v>1</v>
      </c>
      <c r="BL2194">
        <v>71.69</v>
      </c>
      <c r="BM2194">
        <v>10.75</v>
      </c>
      <c r="BN2194">
        <v>82.44</v>
      </c>
      <c r="BO2194">
        <v>82.44</v>
      </c>
      <c r="BQ2194" t="s">
        <v>407</v>
      </c>
      <c r="BR2194" t="s">
        <v>84</v>
      </c>
      <c r="BS2194" s="3">
        <v>45884</v>
      </c>
      <c r="BT2194" s="4">
        <v>0.42916666666666664</v>
      </c>
      <c r="BU2194" t="s">
        <v>408</v>
      </c>
      <c r="BV2194" t="s">
        <v>86</v>
      </c>
      <c r="BY2194">
        <v>1200</v>
      </c>
      <c r="CA2194" t="s">
        <v>192</v>
      </c>
      <c r="CC2194" t="s">
        <v>124</v>
      </c>
      <c r="CD2194">
        <v>7441</v>
      </c>
      <c r="CE2194" t="s">
        <v>109</v>
      </c>
      <c r="CF2194" s="3">
        <v>45887</v>
      </c>
      <c r="CI2194">
        <v>1</v>
      </c>
      <c r="CJ2194">
        <v>1</v>
      </c>
      <c r="CK2194">
        <v>21</v>
      </c>
      <c r="CL2194" t="s">
        <v>90</v>
      </c>
    </row>
    <row r="2195" spans="1:90" x14ac:dyDescent="0.3">
      <c r="A2195" t="s">
        <v>72</v>
      </c>
      <c r="B2195" t="s">
        <v>73</v>
      </c>
      <c r="C2195" t="s">
        <v>74</v>
      </c>
      <c r="E2195" t="str">
        <f>"080067247557"</f>
        <v>080067247557</v>
      </c>
      <c r="F2195" s="3">
        <v>45883</v>
      </c>
      <c r="G2195">
        <v>202605</v>
      </c>
      <c r="H2195" t="s">
        <v>75</v>
      </c>
      <c r="I2195" t="s">
        <v>76</v>
      </c>
      <c r="J2195" t="s">
        <v>77</v>
      </c>
      <c r="K2195" t="s">
        <v>78</v>
      </c>
      <c r="L2195" t="s">
        <v>79</v>
      </c>
      <c r="M2195" t="s">
        <v>80</v>
      </c>
      <c r="N2195" t="s">
        <v>2720</v>
      </c>
      <c r="O2195" t="s">
        <v>82</v>
      </c>
      <c r="P2195" t="str">
        <f>"4170054862                    "</f>
        <v xml:space="preserve">4170054862                    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0</v>
      </c>
      <c r="AQ2195">
        <v>18.03</v>
      </c>
      <c r="AR2195">
        <v>0</v>
      </c>
      <c r="AS2195">
        <v>0</v>
      </c>
      <c r="AT2195">
        <v>0</v>
      </c>
      <c r="AU2195">
        <v>0</v>
      </c>
      <c r="AV2195">
        <v>0</v>
      </c>
      <c r="AW2195">
        <v>0</v>
      </c>
      <c r="AX2195">
        <v>0</v>
      </c>
      <c r="AY2195">
        <v>0</v>
      </c>
      <c r="AZ2195">
        <v>0</v>
      </c>
      <c r="BA2195">
        <v>0</v>
      </c>
      <c r="BB2195">
        <v>0</v>
      </c>
      <c r="BC2195">
        <v>0</v>
      </c>
      <c r="BD2195">
        <v>0</v>
      </c>
      <c r="BE2195">
        <v>0</v>
      </c>
      <c r="BF2195">
        <v>0</v>
      </c>
      <c r="BG2195">
        <v>0</v>
      </c>
      <c r="BH2195">
        <v>1</v>
      </c>
      <c r="BI2195">
        <v>2</v>
      </c>
      <c r="BJ2195">
        <v>1.1000000000000001</v>
      </c>
      <c r="BK2195">
        <v>2</v>
      </c>
      <c r="BL2195">
        <v>55.99</v>
      </c>
      <c r="BM2195">
        <v>8.4</v>
      </c>
      <c r="BN2195">
        <v>64.39</v>
      </c>
      <c r="BO2195">
        <v>64.39</v>
      </c>
      <c r="BQ2195" t="s">
        <v>2721</v>
      </c>
      <c r="BR2195" t="s">
        <v>84</v>
      </c>
      <c r="BS2195" s="3">
        <v>45884</v>
      </c>
      <c r="BT2195" s="4">
        <v>0.41319444444444442</v>
      </c>
      <c r="BU2195" t="s">
        <v>2722</v>
      </c>
      <c r="BV2195" t="s">
        <v>86</v>
      </c>
      <c r="BY2195">
        <v>5320</v>
      </c>
      <c r="CA2195" t="s">
        <v>1069</v>
      </c>
      <c r="CC2195" t="s">
        <v>80</v>
      </c>
      <c r="CD2195">
        <v>1428</v>
      </c>
      <c r="CE2195" t="s">
        <v>147</v>
      </c>
      <c r="CF2195" s="3">
        <v>45885</v>
      </c>
      <c r="CI2195">
        <v>1</v>
      </c>
      <c r="CJ2195">
        <v>1</v>
      </c>
      <c r="CK2195">
        <v>22</v>
      </c>
      <c r="CL2195" t="s">
        <v>90</v>
      </c>
    </row>
    <row r="2196" spans="1:90" x14ac:dyDescent="0.3">
      <c r="A2196" t="s">
        <v>72</v>
      </c>
      <c r="B2196" t="s">
        <v>73</v>
      </c>
      <c r="C2196" t="s">
        <v>74</v>
      </c>
      <c r="E2196" t="str">
        <f>"080067247583"</f>
        <v>080067247583</v>
      </c>
      <c r="F2196" s="3">
        <v>45883</v>
      </c>
      <c r="G2196">
        <v>202605</v>
      </c>
      <c r="H2196" t="s">
        <v>75</v>
      </c>
      <c r="I2196" t="s">
        <v>76</v>
      </c>
      <c r="J2196" t="s">
        <v>77</v>
      </c>
      <c r="K2196" t="s">
        <v>78</v>
      </c>
      <c r="L2196" t="s">
        <v>123</v>
      </c>
      <c r="M2196" t="s">
        <v>124</v>
      </c>
      <c r="N2196" t="s">
        <v>406</v>
      </c>
      <c r="O2196" t="s">
        <v>82</v>
      </c>
      <c r="P2196" t="str">
        <f>"4170054825                    "</f>
        <v xml:space="preserve">4170054825                    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0</v>
      </c>
      <c r="AQ2196">
        <v>23.09</v>
      </c>
      <c r="AR2196">
        <v>0</v>
      </c>
      <c r="AS2196">
        <v>0</v>
      </c>
      <c r="AT2196">
        <v>0</v>
      </c>
      <c r="AU2196">
        <v>0</v>
      </c>
      <c r="AV2196">
        <v>0</v>
      </c>
      <c r="AW2196">
        <v>0</v>
      </c>
      <c r="AX2196">
        <v>0</v>
      </c>
      <c r="AY2196">
        <v>0</v>
      </c>
      <c r="AZ2196">
        <v>0</v>
      </c>
      <c r="BA2196">
        <v>0</v>
      </c>
      <c r="BB2196">
        <v>0</v>
      </c>
      <c r="BC2196">
        <v>0</v>
      </c>
      <c r="BD2196">
        <v>0</v>
      </c>
      <c r="BE2196">
        <v>0</v>
      </c>
      <c r="BF2196">
        <v>0</v>
      </c>
      <c r="BG2196">
        <v>0</v>
      </c>
      <c r="BH2196">
        <v>1</v>
      </c>
      <c r="BI2196">
        <v>2</v>
      </c>
      <c r="BJ2196">
        <v>1.1000000000000001</v>
      </c>
      <c r="BK2196">
        <v>2</v>
      </c>
      <c r="BL2196">
        <v>71.69</v>
      </c>
      <c r="BM2196">
        <v>10.75</v>
      </c>
      <c r="BN2196">
        <v>82.44</v>
      </c>
      <c r="BO2196">
        <v>82.44</v>
      </c>
      <c r="BQ2196" t="s">
        <v>407</v>
      </c>
      <c r="BR2196" t="s">
        <v>84</v>
      </c>
      <c r="BS2196" s="3">
        <v>45884</v>
      </c>
      <c r="BT2196" s="4">
        <v>0.42916666666666664</v>
      </c>
      <c r="BU2196" t="s">
        <v>408</v>
      </c>
      <c r="BV2196" t="s">
        <v>86</v>
      </c>
      <c r="BY2196">
        <v>5320</v>
      </c>
      <c r="CA2196" t="s">
        <v>192</v>
      </c>
      <c r="CC2196" t="s">
        <v>124</v>
      </c>
      <c r="CD2196">
        <v>7441</v>
      </c>
      <c r="CE2196" t="s">
        <v>147</v>
      </c>
      <c r="CF2196" s="3">
        <v>45887</v>
      </c>
      <c r="CI2196">
        <v>1</v>
      </c>
      <c r="CJ2196">
        <v>1</v>
      </c>
      <c r="CK2196">
        <v>21</v>
      </c>
      <c r="CL2196" t="s">
        <v>90</v>
      </c>
    </row>
    <row r="2197" spans="1:90" x14ac:dyDescent="0.3">
      <c r="A2197" t="s">
        <v>72</v>
      </c>
      <c r="B2197" t="s">
        <v>73</v>
      </c>
      <c r="C2197" t="s">
        <v>74</v>
      </c>
      <c r="E2197" t="str">
        <f>"080067247590"</f>
        <v>080067247590</v>
      </c>
      <c r="F2197" s="3">
        <v>45883</v>
      </c>
      <c r="G2197">
        <v>202605</v>
      </c>
      <c r="H2197" t="s">
        <v>75</v>
      </c>
      <c r="I2197" t="s">
        <v>76</v>
      </c>
      <c r="J2197" t="s">
        <v>77</v>
      </c>
      <c r="K2197" t="s">
        <v>78</v>
      </c>
      <c r="L2197" t="s">
        <v>234</v>
      </c>
      <c r="M2197" t="s">
        <v>235</v>
      </c>
      <c r="N2197" t="s">
        <v>683</v>
      </c>
      <c r="O2197" t="s">
        <v>82</v>
      </c>
      <c r="P2197" t="str">
        <f>"4170054910                    "</f>
        <v xml:space="preserve">4170054910                    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0</v>
      </c>
      <c r="AI2197">
        <v>0</v>
      </c>
      <c r="AJ2197">
        <v>0</v>
      </c>
      <c r="AK2197">
        <v>0</v>
      </c>
      <c r="AL2197">
        <v>0</v>
      </c>
      <c r="AM2197">
        <v>0</v>
      </c>
      <c r="AN2197">
        <v>0</v>
      </c>
      <c r="AO2197">
        <v>0</v>
      </c>
      <c r="AP2197">
        <v>0</v>
      </c>
      <c r="AQ2197">
        <v>23.09</v>
      </c>
      <c r="AR2197">
        <v>0</v>
      </c>
      <c r="AS2197">
        <v>0</v>
      </c>
      <c r="AT2197">
        <v>0</v>
      </c>
      <c r="AU2197">
        <v>0</v>
      </c>
      <c r="AV2197">
        <v>0</v>
      </c>
      <c r="AW2197">
        <v>0</v>
      </c>
      <c r="AX2197">
        <v>0</v>
      </c>
      <c r="AY2197">
        <v>0</v>
      </c>
      <c r="AZ2197">
        <v>0</v>
      </c>
      <c r="BA2197">
        <v>0</v>
      </c>
      <c r="BB2197">
        <v>0</v>
      </c>
      <c r="BC2197">
        <v>0</v>
      </c>
      <c r="BD2197">
        <v>0</v>
      </c>
      <c r="BE2197">
        <v>0</v>
      </c>
      <c r="BF2197">
        <v>0</v>
      </c>
      <c r="BG2197">
        <v>0</v>
      </c>
      <c r="BH2197">
        <v>1</v>
      </c>
      <c r="BI2197">
        <v>1</v>
      </c>
      <c r="BJ2197">
        <v>0.2</v>
      </c>
      <c r="BK2197">
        <v>1</v>
      </c>
      <c r="BL2197">
        <v>71.69</v>
      </c>
      <c r="BM2197">
        <v>10.75</v>
      </c>
      <c r="BN2197">
        <v>82.44</v>
      </c>
      <c r="BO2197">
        <v>82.44</v>
      </c>
      <c r="BQ2197" t="s">
        <v>684</v>
      </c>
      <c r="BR2197" t="s">
        <v>84</v>
      </c>
      <c r="BS2197" s="3">
        <v>45884</v>
      </c>
      <c r="BT2197" s="4">
        <v>0.39652777777777776</v>
      </c>
      <c r="BU2197" t="s">
        <v>1418</v>
      </c>
      <c r="BV2197" t="s">
        <v>86</v>
      </c>
      <c r="BY2197">
        <v>1200</v>
      </c>
      <c r="CA2197" t="s">
        <v>239</v>
      </c>
      <c r="CC2197" t="s">
        <v>235</v>
      </c>
      <c r="CD2197" s="5" t="s">
        <v>240</v>
      </c>
      <c r="CE2197" t="s">
        <v>109</v>
      </c>
      <c r="CF2197" s="3">
        <v>45884</v>
      </c>
      <c r="CI2197">
        <v>1</v>
      </c>
      <c r="CJ2197">
        <v>1</v>
      </c>
      <c r="CK2197">
        <v>21</v>
      </c>
      <c r="CL2197" t="s">
        <v>90</v>
      </c>
    </row>
    <row r="2198" spans="1:90" x14ac:dyDescent="0.3">
      <c r="A2198" t="s">
        <v>72</v>
      </c>
      <c r="B2198" t="s">
        <v>73</v>
      </c>
      <c r="C2198" t="s">
        <v>74</v>
      </c>
      <c r="E2198" t="str">
        <f>"080067247599"</f>
        <v>080067247599</v>
      </c>
      <c r="F2198" s="3">
        <v>45883</v>
      </c>
      <c r="G2198">
        <v>202605</v>
      </c>
      <c r="H2198" t="s">
        <v>75</v>
      </c>
      <c r="I2198" t="s">
        <v>76</v>
      </c>
      <c r="J2198" t="s">
        <v>77</v>
      </c>
      <c r="K2198" t="s">
        <v>78</v>
      </c>
      <c r="L2198" t="s">
        <v>123</v>
      </c>
      <c r="M2198" t="s">
        <v>124</v>
      </c>
      <c r="N2198" t="s">
        <v>2723</v>
      </c>
      <c r="O2198" t="s">
        <v>82</v>
      </c>
      <c r="P2198" t="str">
        <f>"4170054847                    "</f>
        <v xml:space="preserve">4170054847                    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0</v>
      </c>
      <c r="AI2198">
        <v>0</v>
      </c>
      <c r="AJ2198">
        <v>0</v>
      </c>
      <c r="AK2198">
        <v>0</v>
      </c>
      <c r="AL2198">
        <v>0</v>
      </c>
      <c r="AM2198">
        <v>0</v>
      </c>
      <c r="AN2198">
        <v>0</v>
      </c>
      <c r="AO2198">
        <v>0</v>
      </c>
      <c r="AP2198">
        <v>0</v>
      </c>
      <c r="AQ2198">
        <v>23.09</v>
      </c>
      <c r="AR2198">
        <v>0</v>
      </c>
      <c r="AS2198">
        <v>0</v>
      </c>
      <c r="AT2198">
        <v>0</v>
      </c>
      <c r="AU2198">
        <v>0</v>
      </c>
      <c r="AV2198">
        <v>0</v>
      </c>
      <c r="AW2198">
        <v>0</v>
      </c>
      <c r="AX2198">
        <v>0</v>
      </c>
      <c r="AY2198">
        <v>0</v>
      </c>
      <c r="AZ2198">
        <v>0</v>
      </c>
      <c r="BA2198">
        <v>0</v>
      </c>
      <c r="BB2198">
        <v>0</v>
      </c>
      <c r="BC2198">
        <v>0</v>
      </c>
      <c r="BD2198">
        <v>0</v>
      </c>
      <c r="BE2198">
        <v>0</v>
      </c>
      <c r="BF2198">
        <v>0</v>
      </c>
      <c r="BG2198">
        <v>0</v>
      </c>
      <c r="BH2198">
        <v>1</v>
      </c>
      <c r="BI2198">
        <v>1</v>
      </c>
      <c r="BJ2198">
        <v>0.2</v>
      </c>
      <c r="BK2198">
        <v>1</v>
      </c>
      <c r="BL2198">
        <v>71.69</v>
      </c>
      <c r="BM2198">
        <v>10.75</v>
      </c>
      <c r="BN2198">
        <v>82.44</v>
      </c>
      <c r="BO2198">
        <v>82.44</v>
      </c>
      <c r="BQ2198" t="s">
        <v>2724</v>
      </c>
      <c r="BR2198" t="s">
        <v>84</v>
      </c>
      <c r="BS2198" s="3">
        <v>45884</v>
      </c>
      <c r="BT2198" s="4">
        <v>0.40555555555555556</v>
      </c>
      <c r="BU2198" t="s">
        <v>2725</v>
      </c>
      <c r="BV2198" t="s">
        <v>86</v>
      </c>
      <c r="BY2198">
        <v>1200</v>
      </c>
      <c r="CA2198" t="s">
        <v>192</v>
      </c>
      <c r="CC2198" t="s">
        <v>124</v>
      </c>
      <c r="CD2198">
        <v>7441</v>
      </c>
      <c r="CE2198" t="s">
        <v>109</v>
      </c>
      <c r="CF2198" s="3">
        <v>45887</v>
      </c>
      <c r="CI2198">
        <v>1</v>
      </c>
      <c r="CJ2198">
        <v>1</v>
      </c>
      <c r="CK2198">
        <v>21</v>
      </c>
      <c r="CL2198" t="s">
        <v>90</v>
      </c>
    </row>
    <row r="2199" spans="1:90" x14ac:dyDescent="0.3">
      <c r="A2199" t="s">
        <v>72</v>
      </c>
      <c r="B2199" t="s">
        <v>73</v>
      </c>
      <c r="C2199" t="s">
        <v>74</v>
      </c>
      <c r="E2199" t="str">
        <f>"080067247601"</f>
        <v>080067247601</v>
      </c>
      <c r="F2199" s="3">
        <v>45883</v>
      </c>
      <c r="G2199">
        <v>202605</v>
      </c>
      <c r="H2199" t="s">
        <v>75</v>
      </c>
      <c r="I2199" t="s">
        <v>76</v>
      </c>
      <c r="J2199" t="s">
        <v>77</v>
      </c>
      <c r="K2199" t="s">
        <v>78</v>
      </c>
      <c r="L2199" t="s">
        <v>198</v>
      </c>
      <c r="M2199" t="s">
        <v>199</v>
      </c>
      <c r="N2199" t="s">
        <v>1660</v>
      </c>
      <c r="O2199" t="s">
        <v>82</v>
      </c>
      <c r="P2199" t="str">
        <f>"4170054846                    "</f>
        <v xml:space="preserve">4170054846                    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0</v>
      </c>
      <c r="AI2199">
        <v>0</v>
      </c>
      <c r="AJ2199">
        <v>0</v>
      </c>
      <c r="AK2199">
        <v>0</v>
      </c>
      <c r="AL2199">
        <v>0</v>
      </c>
      <c r="AM2199">
        <v>0</v>
      </c>
      <c r="AN2199">
        <v>0</v>
      </c>
      <c r="AO2199">
        <v>0</v>
      </c>
      <c r="AP2199">
        <v>0</v>
      </c>
      <c r="AQ2199">
        <v>40.380000000000003</v>
      </c>
      <c r="AR2199">
        <v>0</v>
      </c>
      <c r="AS2199">
        <v>0</v>
      </c>
      <c r="AT2199">
        <v>0</v>
      </c>
      <c r="AU2199">
        <v>0</v>
      </c>
      <c r="AV2199">
        <v>0</v>
      </c>
      <c r="AW2199">
        <v>0</v>
      </c>
      <c r="AX2199">
        <v>0</v>
      </c>
      <c r="AY2199">
        <v>0</v>
      </c>
      <c r="AZ2199">
        <v>0</v>
      </c>
      <c r="BA2199">
        <v>0</v>
      </c>
      <c r="BB2199">
        <v>0</v>
      </c>
      <c r="BC2199">
        <v>0</v>
      </c>
      <c r="BD2199">
        <v>0</v>
      </c>
      <c r="BE2199">
        <v>0</v>
      </c>
      <c r="BF2199">
        <v>0</v>
      </c>
      <c r="BG2199">
        <v>0</v>
      </c>
      <c r="BH2199">
        <v>1</v>
      </c>
      <c r="BI2199">
        <v>2</v>
      </c>
      <c r="BJ2199">
        <v>3.4</v>
      </c>
      <c r="BK2199">
        <v>3.5</v>
      </c>
      <c r="BL2199">
        <v>125.4</v>
      </c>
      <c r="BM2199">
        <v>18.809999999999999</v>
      </c>
      <c r="BN2199">
        <v>144.21</v>
      </c>
      <c r="BO2199">
        <v>144.21</v>
      </c>
      <c r="BQ2199" t="s">
        <v>1661</v>
      </c>
      <c r="BR2199" t="s">
        <v>84</v>
      </c>
      <c r="BS2199" s="3">
        <v>45884</v>
      </c>
      <c r="BT2199" s="4">
        <v>0.4201388888888889</v>
      </c>
      <c r="BU2199" t="s">
        <v>2726</v>
      </c>
      <c r="BV2199" t="s">
        <v>86</v>
      </c>
      <c r="BY2199">
        <v>16965</v>
      </c>
      <c r="CA2199" t="s">
        <v>405</v>
      </c>
      <c r="CC2199" t="s">
        <v>199</v>
      </c>
      <c r="CD2199">
        <v>6001</v>
      </c>
      <c r="CE2199" t="s">
        <v>147</v>
      </c>
      <c r="CF2199" s="3">
        <v>45884</v>
      </c>
      <c r="CI2199">
        <v>1</v>
      </c>
      <c r="CJ2199">
        <v>1</v>
      </c>
      <c r="CK2199">
        <v>21</v>
      </c>
      <c r="CL2199" t="s">
        <v>90</v>
      </c>
    </row>
    <row r="2200" spans="1:90" x14ac:dyDescent="0.3">
      <c r="A2200" t="s">
        <v>72</v>
      </c>
      <c r="B2200" t="s">
        <v>73</v>
      </c>
      <c r="C2200" t="s">
        <v>74</v>
      </c>
      <c r="E2200" t="str">
        <f>"080067247611"</f>
        <v>080067247611</v>
      </c>
      <c r="F2200" s="3">
        <v>45883</v>
      </c>
      <c r="G2200">
        <v>202605</v>
      </c>
      <c r="H2200" t="s">
        <v>75</v>
      </c>
      <c r="I2200" t="s">
        <v>76</v>
      </c>
      <c r="J2200" t="s">
        <v>77</v>
      </c>
      <c r="K2200" t="s">
        <v>78</v>
      </c>
      <c r="L2200" t="s">
        <v>325</v>
      </c>
      <c r="M2200" t="s">
        <v>326</v>
      </c>
      <c r="N2200" t="s">
        <v>501</v>
      </c>
      <c r="O2200" t="s">
        <v>82</v>
      </c>
      <c r="P2200" t="str">
        <f>"4170054830                    "</f>
        <v xml:space="preserve">4170054830                    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0</v>
      </c>
      <c r="AI2200">
        <v>0</v>
      </c>
      <c r="AJ2200">
        <v>0</v>
      </c>
      <c r="AK2200">
        <v>0</v>
      </c>
      <c r="AL2200">
        <v>0</v>
      </c>
      <c r="AM2200">
        <v>0</v>
      </c>
      <c r="AN2200">
        <v>0</v>
      </c>
      <c r="AO2200">
        <v>0</v>
      </c>
      <c r="AP2200">
        <v>0</v>
      </c>
      <c r="AQ2200">
        <v>18.03</v>
      </c>
      <c r="AR2200">
        <v>0</v>
      </c>
      <c r="AS2200">
        <v>0</v>
      </c>
      <c r="AT2200">
        <v>0</v>
      </c>
      <c r="AU2200">
        <v>0</v>
      </c>
      <c r="AV2200">
        <v>0</v>
      </c>
      <c r="AW2200">
        <v>0</v>
      </c>
      <c r="AX2200">
        <v>0</v>
      </c>
      <c r="AY2200">
        <v>0</v>
      </c>
      <c r="AZ2200">
        <v>0</v>
      </c>
      <c r="BA2200">
        <v>0</v>
      </c>
      <c r="BB2200">
        <v>0</v>
      </c>
      <c r="BC2200">
        <v>0</v>
      </c>
      <c r="BD2200">
        <v>0</v>
      </c>
      <c r="BE2200">
        <v>0</v>
      </c>
      <c r="BF2200">
        <v>0</v>
      </c>
      <c r="BG2200">
        <v>0</v>
      </c>
      <c r="BH2200">
        <v>1</v>
      </c>
      <c r="BI2200">
        <v>1</v>
      </c>
      <c r="BJ2200">
        <v>0.2</v>
      </c>
      <c r="BK2200">
        <v>1</v>
      </c>
      <c r="BL2200">
        <v>55.99</v>
      </c>
      <c r="BM2200">
        <v>8.4</v>
      </c>
      <c r="BN2200">
        <v>64.39</v>
      </c>
      <c r="BO2200">
        <v>64.39</v>
      </c>
      <c r="BQ2200" t="s">
        <v>502</v>
      </c>
      <c r="BR2200" t="s">
        <v>84</v>
      </c>
      <c r="BS2200" s="3">
        <v>45884</v>
      </c>
      <c r="BT2200" s="4">
        <v>0.36319444444444443</v>
      </c>
      <c r="BU2200" t="s">
        <v>2727</v>
      </c>
      <c r="BV2200" t="s">
        <v>86</v>
      </c>
      <c r="BY2200">
        <v>1200</v>
      </c>
      <c r="CA2200" t="s">
        <v>2471</v>
      </c>
      <c r="CC2200" t="s">
        <v>326</v>
      </c>
      <c r="CD2200">
        <v>2091</v>
      </c>
      <c r="CE2200" t="s">
        <v>109</v>
      </c>
      <c r="CF2200" s="3">
        <v>45885</v>
      </c>
      <c r="CI2200">
        <v>1</v>
      </c>
      <c r="CJ2200">
        <v>1</v>
      </c>
      <c r="CK2200">
        <v>22</v>
      </c>
      <c r="CL2200" t="s">
        <v>90</v>
      </c>
    </row>
    <row r="2201" spans="1:90" x14ac:dyDescent="0.3">
      <c r="A2201" t="s">
        <v>72</v>
      </c>
      <c r="B2201" t="s">
        <v>73</v>
      </c>
      <c r="C2201" t="s">
        <v>74</v>
      </c>
      <c r="E2201" t="str">
        <f>"080067247623"</f>
        <v>080067247623</v>
      </c>
      <c r="F2201" s="3">
        <v>45883</v>
      </c>
      <c r="G2201">
        <v>202605</v>
      </c>
      <c r="H2201" t="s">
        <v>75</v>
      </c>
      <c r="I2201" t="s">
        <v>76</v>
      </c>
      <c r="J2201" t="s">
        <v>77</v>
      </c>
      <c r="K2201" t="s">
        <v>78</v>
      </c>
      <c r="L2201" t="s">
        <v>123</v>
      </c>
      <c r="M2201" t="s">
        <v>124</v>
      </c>
      <c r="N2201" t="s">
        <v>1115</v>
      </c>
      <c r="O2201" t="s">
        <v>82</v>
      </c>
      <c r="P2201" t="str">
        <f>"4170055005                    "</f>
        <v xml:space="preserve">4170055005                    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0</v>
      </c>
      <c r="AI2201">
        <v>0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0</v>
      </c>
      <c r="AP2201">
        <v>0</v>
      </c>
      <c r="AQ2201">
        <v>23.09</v>
      </c>
      <c r="AR2201">
        <v>0</v>
      </c>
      <c r="AS2201">
        <v>0</v>
      </c>
      <c r="AT2201">
        <v>0</v>
      </c>
      <c r="AU2201">
        <v>0</v>
      </c>
      <c r="AV2201">
        <v>0</v>
      </c>
      <c r="AW2201">
        <v>0</v>
      </c>
      <c r="AX2201">
        <v>0</v>
      </c>
      <c r="AY2201">
        <v>0</v>
      </c>
      <c r="AZ2201">
        <v>0</v>
      </c>
      <c r="BA2201">
        <v>0</v>
      </c>
      <c r="BB2201">
        <v>0</v>
      </c>
      <c r="BC2201">
        <v>0</v>
      </c>
      <c r="BD2201">
        <v>0</v>
      </c>
      <c r="BE2201">
        <v>0</v>
      </c>
      <c r="BF2201">
        <v>0</v>
      </c>
      <c r="BG2201">
        <v>0</v>
      </c>
      <c r="BH2201">
        <v>1</v>
      </c>
      <c r="BI2201">
        <v>1</v>
      </c>
      <c r="BJ2201">
        <v>1.1000000000000001</v>
      </c>
      <c r="BK2201">
        <v>1.5</v>
      </c>
      <c r="BL2201">
        <v>71.69</v>
      </c>
      <c r="BM2201">
        <v>10.75</v>
      </c>
      <c r="BN2201">
        <v>82.44</v>
      </c>
      <c r="BO2201">
        <v>82.44</v>
      </c>
      <c r="BQ2201" t="s">
        <v>1116</v>
      </c>
      <c r="BR2201" t="s">
        <v>84</v>
      </c>
      <c r="BS2201" s="3">
        <v>45884</v>
      </c>
      <c r="BT2201" s="4">
        <v>0.40347222222222223</v>
      </c>
      <c r="BU2201" t="s">
        <v>2649</v>
      </c>
      <c r="BV2201" t="s">
        <v>86</v>
      </c>
      <c r="BY2201">
        <v>5320</v>
      </c>
      <c r="CA2201" t="s">
        <v>192</v>
      </c>
      <c r="CC2201" t="s">
        <v>124</v>
      </c>
      <c r="CD2201">
        <v>7441</v>
      </c>
      <c r="CE2201" t="s">
        <v>147</v>
      </c>
      <c r="CF2201" s="3">
        <v>45887</v>
      </c>
      <c r="CI2201">
        <v>1</v>
      </c>
      <c r="CJ2201">
        <v>1</v>
      </c>
      <c r="CK2201">
        <v>21</v>
      </c>
      <c r="CL2201" t="s">
        <v>90</v>
      </c>
    </row>
    <row r="2202" spans="1:90" x14ac:dyDescent="0.3">
      <c r="A2202" t="s">
        <v>72</v>
      </c>
      <c r="B2202" t="s">
        <v>73</v>
      </c>
      <c r="C2202" t="s">
        <v>74</v>
      </c>
      <c r="E2202" t="str">
        <f>"080067247626"</f>
        <v>080067247626</v>
      </c>
      <c r="F2202" s="3">
        <v>45883</v>
      </c>
      <c r="G2202">
        <v>202605</v>
      </c>
      <c r="H2202" t="s">
        <v>75</v>
      </c>
      <c r="I2202" t="s">
        <v>76</v>
      </c>
      <c r="J2202" t="s">
        <v>77</v>
      </c>
      <c r="K2202" t="s">
        <v>78</v>
      </c>
      <c r="L2202" t="s">
        <v>234</v>
      </c>
      <c r="M2202" t="s">
        <v>235</v>
      </c>
      <c r="N2202" t="s">
        <v>236</v>
      </c>
      <c r="O2202" t="s">
        <v>82</v>
      </c>
      <c r="P2202" t="str">
        <f>"4170054897                    "</f>
        <v xml:space="preserve">4170054897                    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0</v>
      </c>
      <c r="AQ2202">
        <v>23.09</v>
      </c>
      <c r="AR2202">
        <v>0</v>
      </c>
      <c r="AS2202">
        <v>0</v>
      </c>
      <c r="AT2202">
        <v>0</v>
      </c>
      <c r="AU2202">
        <v>0</v>
      </c>
      <c r="AV2202">
        <v>0</v>
      </c>
      <c r="AW2202">
        <v>0</v>
      </c>
      <c r="AX2202">
        <v>0</v>
      </c>
      <c r="AY2202">
        <v>0</v>
      </c>
      <c r="AZ2202">
        <v>0</v>
      </c>
      <c r="BA2202">
        <v>0</v>
      </c>
      <c r="BB2202">
        <v>0</v>
      </c>
      <c r="BC2202">
        <v>0</v>
      </c>
      <c r="BD2202">
        <v>0</v>
      </c>
      <c r="BE2202">
        <v>0</v>
      </c>
      <c r="BF2202">
        <v>0</v>
      </c>
      <c r="BG2202">
        <v>0</v>
      </c>
      <c r="BH2202">
        <v>1</v>
      </c>
      <c r="BI2202">
        <v>1</v>
      </c>
      <c r="BJ2202">
        <v>0.2</v>
      </c>
      <c r="BK2202">
        <v>1</v>
      </c>
      <c r="BL2202">
        <v>71.69</v>
      </c>
      <c r="BM2202">
        <v>10.75</v>
      </c>
      <c r="BN2202">
        <v>82.44</v>
      </c>
      <c r="BO2202">
        <v>82.44</v>
      </c>
      <c r="BQ2202" t="s">
        <v>237</v>
      </c>
      <c r="BR2202" t="s">
        <v>84</v>
      </c>
      <c r="BS2202" s="3">
        <v>45884</v>
      </c>
      <c r="BT2202" s="4">
        <v>0.38124999999999998</v>
      </c>
      <c r="BU2202" t="s">
        <v>650</v>
      </c>
      <c r="BV2202" t="s">
        <v>86</v>
      </c>
      <c r="BY2202">
        <v>1200</v>
      </c>
      <c r="CA2202" t="s">
        <v>239</v>
      </c>
      <c r="CC2202" t="s">
        <v>235</v>
      </c>
      <c r="CD2202" s="5" t="s">
        <v>240</v>
      </c>
      <c r="CE2202" t="s">
        <v>109</v>
      </c>
      <c r="CF2202" s="3">
        <v>45884</v>
      </c>
      <c r="CI2202">
        <v>1</v>
      </c>
      <c r="CJ2202">
        <v>1</v>
      </c>
      <c r="CK2202">
        <v>21</v>
      </c>
      <c r="CL2202" t="s">
        <v>90</v>
      </c>
    </row>
    <row r="2203" spans="1:90" x14ac:dyDescent="0.3">
      <c r="A2203" t="s">
        <v>72</v>
      </c>
      <c r="B2203" t="s">
        <v>73</v>
      </c>
      <c r="C2203" t="s">
        <v>74</v>
      </c>
      <c r="E2203" t="str">
        <f>"080067247638"</f>
        <v>080067247638</v>
      </c>
      <c r="F2203" s="3">
        <v>45883</v>
      </c>
      <c r="G2203">
        <v>202605</v>
      </c>
      <c r="H2203" t="s">
        <v>75</v>
      </c>
      <c r="I2203" t="s">
        <v>76</v>
      </c>
      <c r="J2203" t="s">
        <v>77</v>
      </c>
      <c r="K2203" t="s">
        <v>78</v>
      </c>
      <c r="L2203" t="s">
        <v>234</v>
      </c>
      <c r="M2203" t="s">
        <v>235</v>
      </c>
      <c r="N2203" t="s">
        <v>236</v>
      </c>
      <c r="O2203" t="s">
        <v>82</v>
      </c>
      <c r="P2203" t="str">
        <f>"4170054898                    "</f>
        <v xml:space="preserve">4170054898                    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0</v>
      </c>
      <c r="AP2203">
        <v>0</v>
      </c>
      <c r="AQ2203">
        <v>23.09</v>
      </c>
      <c r="AR2203">
        <v>0</v>
      </c>
      <c r="AS2203">
        <v>0</v>
      </c>
      <c r="AT2203">
        <v>0</v>
      </c>
      <c r="AU2203">
        <v>0</v>
      </c>
      <c r="AV2203">
        <v>0</v>
      </c>
      <c r="AW2203">
        <v>0</v>
      </c>
      <c r="AX2203">
        <v>0</v>
      </c>
      <c r="AY2203">
        <v>0</v>
      </c>
      <c r="AZ2203">
        <v>0</v>
      </c>
      <c r="BA2203">
        <v>0</v>
      </c>
      <c r="BB2203">
        <v>0</v>
      </c>
      <c r="BC2203">
        <v>0</v>
      </c>
      <c r="BD2203">
        <v>0</v>
      </c>
      <c r="BE2203">
        <v>0</v>
      </c>
      <c r="BF2203">
        <v>0</v>
      </c>
      <c r="BG2203">
        <v>0</v>
      </c>
      <c r="BH2203">
        <v>1</v>
      </c>
      <c r="BI2203">
        <v>1</v>
      </c>
      <c r="BJ2203">
        <v>0.2</v>
      </c>
      <c r="BK2203">
        <v>1</v>
      </c>
      <c r="BL2203">
        <v>71.69</v>
      </c>
      <c r="BM2203">
        <v>10.75</v>
      </c>
      <c r="BN2203">
        <v>82.44</v>
      </c>
      <c r="BO2203">
        <v>82.44</v>
      </c>
      <c r="BQ2203" t="s">
        <v>237</v>
      </c>
      <c r="BR2203" t="s">
        <v>84</v>
      </c>
      <c r="BS2203" s="3">
        <v>45884</v>
      </c>
      <c r="BT2203" s="4">
        <v>0.38055555555555554</v>
      </c>
      <c r="BU2203" t="s">
        <v>650</v>
      </c>
      <c r="BV2203" t="s">
        <v>86</v>
      </c>
      <c r="BY2203">
        <v>1200</v>
      </c>
      <c r="CA2203" t="s">
        <v>239</v>
      </c>
      <c r="CC2203" t="s">
        <v>235</v>
      </c>
      <c r="CD2203" s="5" t="s">
        <v>240</v>
      </c>
      <c r="CE2203" t="s">
        <v>109</v>
      </c>
      <c r="CF2203" s="3">
        <v>45884</v>
      </c>
      <c r="CI2203">
        <v>1</v>
      </c>
      <c r="CJ2203">
        <v>1</v>
      </c>
      <c r="CK2203">
        <v>21</v>
      </c>
      <c r="CL2203" t="s">
        <v>90</v>
      </c>
    </row>
    <row r="2204" spans="1:90" x14ac:dyDescent="0.3">
      <c r="A2204" t="s">
        <v>72</v>
      </c>
      <c r="B2204" t="s">
        <v>73</v>
      </c>
      <c r="C2204" t="s">
        <v>74</v>
      </c>
      <c r="E2204" t="str">
        <f>"080067247640"</f>
        <v>080067247640</v>
      </c>
      <c r="F2204" s="3">
        <v>45883</v>
      </c>
      <c r="G2204">
        <v>202605</v>
      </c>
      <c r="H2204" t="s">
        <v>75</v>
      </c>
      <c r="I2204" t="s">
        <v>76</v>
      </c>
      <c r="J2204" t="s">
        <v>77</v>
      </c>
      <c r="K2204" t="s">
        <v>78</v>
      </c>
      <c r="L2204" t="s">
        <v>1880</v>
      </c>
      <c r="M2204" t="s">
        <v>1881</v>
      </c>
      <c r="N2204" t="s">
        <v>1882</v>
      </c>
      <c r="O2204" t="s">
        <v>82</v>
      </c>
      <c r="P2204" t="str">
        <f>"4170054964                    "</f>
        <v xml:space="preserve">4170054964                    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0</v>
      </c>
      <c r="AI2204">
        <v>0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0</v>
      </c>
      <c r="AQ2204">
        <v>32.47</v>
      </c>
      <c r="AR2204">
        <v>0</v>
      </c>
      <c r="AS2204">
        <v>0</v>
      </c>
      <c r="AT2204">
        <v>0</v>
      </c>
      <c r="AU2204">
        <v>0</v>
      </c>
      <c r="AV2204">
        <v>0</v>
      </c>
      <c r="AW2204">
        <v>0</v>
      </c>
      <c r="AX2204">
        <v>0</v>
      </c>
      <c r="AY2204">
        <v>0</v>
      </c>
      <c r="AZ2204">
        <v>0</v>
      </c>
      <c r="BA2204">
        <v>0</v>
      </c>
      <c r="BB2204">
        <v>0</v>
      </c>
      <c r="BC2204">
        <v>0</v>
      </c>
      <c r="BD2204">
        <v>0</v>
      </c>
      <c r="BE2204">
        <v>0</v>
      </c>
      <c r="BF2204">
        <v>0</v>
      </c>
      <c r="BG2204">
        <v>0</v>
      </c>
      <c r="BH2204">
        <v>1</v>
      </c>
      <c r="BI2204">
        <v>1</v>
      </c>
      <c r="BJ2204">
        <v>1.9</v>
      </c>
      <c r="BK2204">
        <v>2</v>
      </c>
      <c r="BL2204">
        <v>100.82</v>
      </c>
      <c r="BM2204">
        <v>15.12</v>
      </c>
      <c r="BN2204">
        <v>115.94</v>
      </c>
      <c r="BO2204">
        <v>115.94</v>
      </c>
      <c r="BQ2204" t="s">
        <v>1883</v>
      </c>
      <c r="BR2204" t="s">
        <v>84</v>
      </c>
      <c r="BS2204" s="3">
        <v>45884</v>
      </c>
      <c r="BT2204" s="4">
        <v>0.3888888888888889</v>
      </c>
      <c r="BU2204" t="s">
        <v>2373</v>
      </c>
      <c r="BV2204" t="s">
        <v>86</v>
      </c>
      <c r="BY2204">
        <v>9600</v>
      </c>
      <c r="CA2204" t="s">
        <v>1125</v>
      </c>
      <c r="CC2204" t="s">
        <v>1881</v>
      </c>
      <c r="CD2204">
        <v>1438</v>
      </c>
      <c r="CE2204" t="s">
        <v>147</v>
      </c>
      <c r="CF2204" s="3">
        <v>45885</v>
      </c>
      <c r="CI2204">
        <v>1</v>
      </c>
      <c r="CJ2204">
        <v>1</v>
      </c>
      <c r="CK2204">
        <v>24</v>
      </c>
      <c r="CL2204" t="s">
        <v>90</v>
      </c>
    </row>
    <row r="2205" spans="1:90" x14ac:dyDescent="0.3">
      <c r="A2205" t="s">
        <v>72</v>
      </c>
      <c r="B2205" t="s">
        <v>73</v>
      </c>
      <c r="C2205" t="s">
        <v>74</v>
      </c>
      <c r="E2205" t="str">
        <f>"080067247652"</f>
        <v>080067247652</v>
      </c>
      <c r="F2205" s="3">
        <v>45883</v>
      </c>
      <c r="G2205">
        <v>202605</v>
      </c>
      <c r="H2205" t="s">
        <v>75</v>
      </c>
      <c r="I2205" t="s">
        <v>76</v>
      </c>
      <c r="J2205" t="s">
        <v>77</v>
      </c>
      <c r="K2205" t="s">
        <v>78</v>
      </c>
      <c r="L2205" t="s">
        <v>1581</v>
      </c>
      <c r="M2205" t="s">
        <v>1582</v>
      </c>
      <c r="N2205" t="s">
        <v>1583</v>
      </c>
      <c r="O2205" t="s">
        <v>82</v>
      </c>
      <c r="P2205" t="str">
        <f>"4170054925                    "</f>
        <v xml:space="preserve">4170054925                    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0</v>
      </c>
      <c r="AQ2205">
        <v>44.73</v>
      </c>
      <c r="AR2205">
        <v>0</v>
      </c>
      <c r="AS2205">
        <v>0</v>
      </c>
      <c r="AT2205">
        <v>0</v>
      </c>
      <c r="AU2205">
        <v>0</v>
      </c>
      <c r="AV2205">
        <v>0</v>
      </c>
      <c r="AW2205">
        <v>0</v>
      </c>
      <c r="AX2205">
        <v>0</v>
      </c>
      <c r="AY2205">
        <v>0</v>
      </c>
      <c r="AZ2205">
        <v>0</v>
      </c>
      <c r="BA2205">
        <v>0</v>
      </c>
      <c r="BB2205">
        <v>0</v>
      </c>
      <c r="BC2205">
        <v>0</v>
      </c>
      <c r="BD2205">
        <v>0</v>
      </c>
      <c r="BE2205">
        <v>0</v>
      </c>
      <c r="BF2205">
        <v>0</v>
      </c>
      <c r="BG2205">
        <v>0</v>
      </c>
      <c r="BH2205">
        <v>1</v>
      </c>
      <c r="BI2205">
        <v>1</v>
      </c>
      <c r="BJ2205">
        <v>0.2</v>
      </c>
      <c r="BK2205">
        <v>1</v>
      </c>
      <c r="BL2205">
        <v>138.88999999999999</v>
      </c>
      <c r="BM2205">
        <v>20.83</v>
      </c>
      <c r="BN2205">
        <v>159.72</v>
      </c>
      <c r="BO2205">
        <v>159.72</v>
      </c>
      <c r="BQ2205" t="s">
        <v>1584</v>
      </c>
      <c r="BR2205" t="s">
        <v>84</v>
      </c>
      <c r="BS2205" s="3">
        <v>45884</v>
      </c>
      <c r="BT2205" s="4">
        <v>0.51180555555555551</v>
      </c>
      <c r="BU2205" t="s">
        <v>1585</v>
      </c>
      <c r="BV2205" t="s">
        <v>86</v>
      </c>
      <c r="BY2205">
        <v>1200</v>
      </c>
      <c r="CA2205" t="s">
        <v>2728</v>
      </c>
      <c r="CC2205" t="s">
        <v>1582</v>
      </c>
      <c r="CD2205">
        <v>1028</v>
      </c>
      <c r="CE2205" t="s">
        <v>109</v>
      </c>
      <c r="CF2205" s="3">
        <v>45884</v>
      </c>
      <c r="CI2205">
        <v>1</v>
      </c>
      <c r="CJ2205">
        <v>1</v>
      </c>
      <c r="CK2205">
        <v>23</v>
      </c>
      <c r="CL2205" t="s">
        <v>90</v>
      </c>
    </row>
    <row r="2206" spans="1:90" x14ac:dyDescent="0.3">
      <c r="A2206" t="s">
        <v>72</v>
      </c>
      <c r="B2206" t="s">
        <v>73</v>
      </c>
      <c r="C2206" t="s">
        <v>74</v>
      </c>
      <c r="E2206" t="str">
        <f>"080067247655"</f>
        <v>080067247655</v>
      </c>
      <c r="F2206" s="3">
        <v>45883</v>
      </c>
      <c r="G2206">
        <v>202605</v>
      </c>
      <c r="H2206" t="s">
        <v>75</v>
      </c>
      <c r="I2206" t="s">
        <v>76</v>
      </c>
      <c r="J2206" t="s">
        <v>77</v>
      </c>
      <c r="K2206" t="s">
        <v>78</v>
      </c>
      <c r="L2206" t="s">
        <v>278</v>
      </c>
      <c r="M2206" t="s">
        <v>279</v>
      </c>
      <c r="N2206" t="s">
        <v>928</v>
      </c>
      <c r="O2206" t="s">
        <v>82</v>
      </c>
      <c r="P2206" t="str">
        <f>"4170054838                    "</f>
        <v xml:space="preserve">4170054838                    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>
        <v>0</v>
      </c>
      <c r="AQ2206">
        <v>23.09</v>
      </c>
      <c r="AR2206">
        <v>0</v>
      </c>
      <c r="AS2206">
        <v>0</v>
      </c>
      <c r="AT2206">
        <v>0</v>
      </c>
      <c r="AU2206">
        <v>0</v>
      </c>
      <c r="AV2206">
        <v>0</v>
      </c>
      <c r="AW2206">
        <v>0</v>
      </c>
      <c r="AX2206">
        <v>0</v>
      </c>
      <c r="AY2206">
        <v>0</v>
      </c>
      <c r="AZ2206">
        <v>0</v>
      </c>
      <c r="BA2206">
        <v>0</v>
      </c>
      <c r="BB2206">
        <v>0</v>
      </c>
      <c r="BC2206">
        <v>0</v>
      </c>
      <c r="BD2206">
        <v>0</v>
      </c>
      <c r="BE2206">
        <v>0</v>
      </c>
      <c r="BF2206">
        <v>0</v>
      </c>
      <c r="BG2206">
        <v>0</v>
      </c>
      <c r="BH2206">
        <v>1</v>
      </c>
      <c r="BI2206">
        <v>1</v>
      </c>
      <c r="BJ2206">
        <v>1.8</v>
      </c>
      <c r="BK2206">
        <v>2</v>
      </c>
      <c r="BL2206">
        <v>71.69</v>
      </c>
      <c r="BM2206">
        <v>10.75</v>
      </c>
      <c r="BN2206">
        <v>82.44</v>
      </c>
      <c r="BO2206">
        <v>82.44</v>
      </c>
      <c r="BQ2206" t="s">
        <v>929</v>
      </c>
      <c r="BR2206" t="s">
        <v>84</v>
      </c>
      <c r="BS2206" s="3">
        <v>45884</v>
      </c>
      <c r="BT2206" s="4">
        <v>0.35902777777777778</v>
      </c>
      <c r="BU2206" t="s">
        <v>1230</v>
      </c>
      <c r="BV2206" t="s">
        <v>86</v>
      </c>
      <c r="BY2206">
        <v>8960</v>
      </c>
      <c r="CA2206" t="s">
        <v>511</v>
      </c>
      <c r="CC2206" t="s">
        <v>279</v>
      </c>
      <c r="CD2206" s="5" t="s">
        <v>512</v>
      </c>
      <c r="CE2206" t="s">
        <v>147</v>
      </c>
      <c r="CF2206" s="3">
        <v>45884</v>
      </c>
      <c r="CI2206">
        <v>1</v>
      </c>
      <c r="CJ2206">
        <v>1</v>
      </c>
      <c r="CK2206">
        <v>21</v>
      </c>
      <c r="CL2206" t="s">
        <v>90</v>
      </c>
    </row>
    <row r="2207" spans="1:90" x14ac:dyDescent="0.3">
      <c r="A2207" t="s">
        <v>72</v>
      </c>
      <c r="B2207" t="s">
        <v>73</v>
      </c>
      <c r="C2207" t="s">
        <v>74</v>
      </c>
      <c r="E2207" t="str">
        <f>"080067247662"</f>
        <v>080067247662</v>
      </c>
      <c r="F2207" s="3">
        <v>45883</v>
      </c>
      <c r="G2207">
        <v>202605</v>
      </c>
      <c r="H2207" t="s">
        <v>75</v>
      </c>
      <c r="I2207" t="s">
        <v>76</v>
      </c>
      <c r="J2207" t="s">
        <v>77</v>
      </c>
      <c r="K2207" t="s">
        <v>78</v>
      </c>
      <c r="L2207" t="s">
        <v>217</v>
      </c>
      <c r="M2207" t="s">
        <v>218</v>
      </c>
      <c r="N2207" t="s">
        <v>1956</v>
      </c>
      <c r="O2207" t="s">
        <v>82</v>
      </c>
      <c r="P2207" t="str">
        <f>"4170054973                    "</f>
        <v xml:space="preserve">4170054973                    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0</v>
      </c>
      <c r="AQ2207">
        <v>23.09</v>
      </c>
      <c r="AR2207">
        <v>0</v>
      </c>
      <c r="AS2207">
        <v>0</v>
      </c>
      <c r="AT2207">
        <v>0</v>
      </c>
      <c r="AU2207">
        <v>0</v>
      </c>
      <c r="AV2207">
        <v>0</v>
      </c>
      <c r="AW2207">
        <v>0</v>
      </c>
      <c r="AX2207">
        <v>0</v>
      </c>
      <c r="AY2207">
        <v>0</v>
      </c>
      <c r="AZ2207">
        <v>0</v>
      </c>
      <c r="BA2207">
        <v>0</v>
      </c>
      <c r="BB2207">
        <v>0</v>
      </c>
      <c r="BC2207">
        <v>0</v>
      </c>
      <c r="BD2207">
        <v>0</v>
      </c>
      <c r="BE2207">
        <v>0</v>
      </c>
      <c r="BF2207">
        <v>0</v>
      </c>
      <c r="BG2207">
        <v>0</v>
      </c>
      <c r="BH2207">
        <v>1</v>
      </c>
      <c r="BI2207">
        <v>1</v>
      </c>
      <c r="BJ2207">
        <v>0.2</v>
      </c>
      <c r="BK2207">
        <v>1</v>
      </c>
      <c r="BL2207">
        <v>71.69</v>
      </c>
      <c r="BM2207">
        <v>10.75</v>
      </c>
      <c r="BN2207">
        <v>82.44</v>
      </c>
      <c r="BO2207">
        <v>82.44</v>
      </c>
      <c r="BQ2207" t="s">
        <v>1957</v>
      </c>
      <c r="BR2207" t="s">
        <v>84</v>
      </c>
      <c r="BS2207" s="3">
        <v>45884</v>
      </c>
      <c r="BT2207" s="4">
        <v>0.3576388888888889</v>
      </c>
      <c r="BU2207" t="s">
        <v>2729</v>
      </c>
      <c r="BV2207" t="s">
        <v>86</v>
      </c>
      <c r="BY2207">
        <v>1200</v>
      </c>
      <c r="CA2207" t="s">
        <v>136</v>
      </c>
      <c r="CC2207" t="s">
        <v>218</v>
      </c>
      <c r="CD2207">
        <v>4052</v>
      </c>
      <c r="CE2207" t="s">
        <v>109</v>
      </c>
      <c r="CF2207" s="3">
        <v>45885</v>
      </c>
      <c r="CI2207">
        <v>1</v>
      </c>
      <c r="CJ2207">
        <v>1</v>
      </c>
      <c r="CK2207">
        <v>21</v>
      </c>
      <c r="CL2207" t="s">
        <v>90</v>
      </c>
    </row>
    <row r="2208" spans="1:90" x14ac:dyDescent="0.3">
      <c r="A2208" t="s">
        <v>72</v>
      </c>
      <c r="B2208" t="s">
        <v>73</v>
      </c>
      <c r="C2208" t="s">
        <v>74</v>
      </c>
      <c r="E2208" t="str">
        <f>"080067247693"</f>
        <v>080067247693</v>
      </c>
      <c r="F2208" s="3">
        <v>45883</v>
      </c>
      <c r="G2208">
        <v>202605</v>
      </c>
      <c r="H2208" t="s">
        <v>75</v>
      </c>
      <c r="I2208" t="s">
        <v>76</v>
      </c>
      <c r="J2208" t="s">
        <v>77</v>
      </c>
      <c r="K2208" t="s">
        <v>78</v>
      </c>
      <c r="L2208" t="s">
        <v>118</v>
      </c>
      <c r="M2208" t="s">
        <v>118</v>
      </c>
      <c r="N2208" t="s">
        <v>119</v>
      </c>
      <c r="O2208" t="s">
        <v>82</v>
      </c>
      <c r="P2208" t="str">
        <f>"4170054996                    "</f>
        <v xml:space="preserve">4170054996                    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0</v>
      </c>
      <c r="AL2208">
        <v>0</v>
      </c>
      <c r="AM2208">
        <v>0</v>
      </c>
      <c r="AN2208">
        <v>0</v>
      </c>
      <c r="AO2208">
        <v>0</v>
      </c>
      <c r="AP2208">
        <v>0</v>
      </c>
      <c r="AQ2208">
        <v>44.73</v>
      </c>
      <c r="AR2208">
        <v>0</v>
      </c>
      <c r="AS2208">
        <v>0</v>
      </c>
      <c r="AT2208">
        <v>0</v>
      </c>
      <c r="AU2208">
        <v>0</v>
      </c>
      <c r="AV2208">
        <v>0</v>
      </c>
      <c r="AW2208">
        <v>0</v>
      </c>
      <c r="AX2208">
        <v>0</v>
      </c>
      <c r="AY2208">
        <v>0</v>
      </c>
      <c r="AZ2208">
        <v>0</v>
      </c>
      <c r="BA2208">
        <v>0</v>
      </c>
      <c r="BB2208">
        <v>0</v>
      </c>
      <c r="BC2208">
        <v>0</v>
      </c>
      <c r="BD2208">
        <v>0</v>
      </c>
      <c r="BE2208">
        <v>0</v>
      </c>
      <c r="BF2208">
        <v>0</v>
      </c>
      <c r="BG2208">
        <v>0</v>
      </c>
      <c r="BH2208">
        <v>1</v>
      </c>
      <c r="BI2208">
        <v>1</v>
      </c>
      <c r="BJ2208">
        <v>0.2</v>
      </c>
      <c r="BK2208">
        <v>1</v>
      </c>
      <c r="BL2208">
        <v>138.88999999999999</v>
      </c>
      <c r="BM2208">
        <v>20.83</v>
      </c>
      <c r="BN2208">
        <v>159.72</v>
      </c>
      <c r="BO2208">
        <v>159.72</v>
      </c>
      <c r="BQ2208" t="s">
        <v>120</v>
      </c>
      <c r="BR2208" t="s">
        <v>84</v>
      </c>
      <c r="BS2208" s="3">
        <v>45884</v>
      </c>
      <c r="BT2208" s="4">
        <v>0.52916666666666667</v>
      </c>
      <c r="BU2208" t="s">
        <v>615</v>
      </c>
      <c r="BV2208" t="s">
        <v>86</v>
      </c>
      <c r="BY2208">
        <v>1200</v>
      </c>
      <c r="CA2208" t="s">
        <v>122</v>
      </c>
      <c r="CC2208" t="s">
        <v>118</v>
      </c>
      <c r="CD2208">
        <v>7646</v>
      </c>
      <c r="CE2208" t="s">
        <v>109</v>
      </c>
      <c r="CF2208" s="3">
        <v>45887</v>
      </c>
      <c r="CI2208">
        <v>1</v>
      </c>
      <c r="CJ2208">
        <v>1</v>
      </c>
      <c r="CK2208">
        <v>23</v>
      </c>
      <c r="CL2208" t="s">
        <v>90</v>
      </c>
    </row>
    <row r="2209" spans="1:90" x14ac:dyDescent="0.3">
      <c r="A2209" t="s">
        <v>72</v>
      </c>
      <c r="B2209" t="s">
        <v>73</v>
      </c>
      <c r="C2209" t="s">
        <v>74</v>
      </c>
      <c r="E2209" t="str">
        <f>"080067247695"</f>
        <v>080067247695</v>
      </c>
      <c r="F2209" s="3">
        <v>45883</v>
      </c>
      <c r="G2209">
        <v>202605</v>
      </c>
      <c r="H2209" t="s">
        <v>75</v>
      </c>
      <c r="I2209" t="s">
        <v>76</v>
      </c>
      <c r="J2209" t="s">
        <v>77</v>
      </c>
      <c r="K2209" t="s">
        <v>78</v>
      </c>
      <c r="L2209" t="s">
        <v>75</v>
      </c>
      <c r="M2209" t="s">
        <v>76</v>
      </c>
      <c r="N2209" t="s">
        <v>537</v>
      </c>
      <c r="O2209" t="s">
        <v>82</v>
      </c>
      <c r="P2209" t="str">
        <f>"4170054937                    "</f>
        <v xml:space="preserve">4170054937                    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0</v>
      </c>
      <c r="AI2209">
        <v>0</v>
      </c>
      <c r="AJ2209">
        <v>0</v>
      </c>
      <c r="AK2209">
        <v>0</v>
      </c>
      <c r="AL2209">
        <v>0</v>
      </c>
      <c r="AM2209">
        <v>0</v>
      </c>
      <c r="AN2209">
        <v>0</v>
      </c>
      <c r="AO2209">
        <v>0</v>
      </c>
      <c r="AP2209">
        <v>0</v>
      </c>
      <c r="AQ2209">
        <v>18.03</v>
      </c>
      <c r="AR2209">
        <v>0</v>
      </c>
      <c r="AS2209">
        <v>0</v>
      </c>
      <c r="AT2209">
        <v>0</v>
      </c>
      <c r="AU2209">
        <v>0</v>
      </c>
      <c r="AV2209">
        <v>0</v>
      </c>
      <c r="AW2209">
        <v>0</v>
      </c>
      <c r="AX2209">
        <v>0</v>
      </c>
      <c r="AY2209">
        <v>0</v>
      </c>
      <c r="AZ2209">
        <v>0</v>
      </c>
      <c r="BA2209">
        <v>0</v>
      </c>
      <c r="BB2209">
        <v>0</v>
      </c>
      <c r="BC2209">
        <v>0</v>
      </c>
      <c r="BD2209">
        <v>0</v>
      </c>
      <c r="BE2209">
        <v>0</v>
      </c>
      <c r="BF2209">
        <v>0</v>
      </c>
      <c r="BG2209">
        <v>0</v>
      </c>
      <c r="BH2209">
        <v>1</v>
      </c>
      <c r="BI2209">
        <v>4</v>
      </c>
      <c r="BJ2209">
        <v>1.4</v>
      </c>
      <c r="BK2209">
        <v>4</v>
      </c>
      <c r="BL2209">
        <v>55.99</v>
      </c>
      <c r="BM2209">
        <v>8.4</v>
      </c>
      <c r="BN2209">
        <v>64.39</v>
      </c>
      <c r="BO2209">
        <v>64.39</v>
      </c>
      <c r="BQ2209" t="s">
        <v>538</v>
      </c>
      <c r="BR2209" t="s">
        <v>84</v>
      </c>
      <c r="BS2209" s="3">
        <v>45884</v>
      </c>
      <c r="BT2209" s="4">
        <v>0.39583333333333331</v>
      </c>
      <c r="BU2209" t="s">
        <v>1747</v>
      </c>
      <c r="BV2209" t="s">
        <v>86</v>
      </c>
      <c r="BY2209">
        <v>7000</v>
      </c>
      <c r="CA2209" t="s">
        <v>739</v>
      </c>
      <c r="CC2209" t="s">
        <v>76</v>
      </c>
      <c r="CD2209">
        <v>1619</v>
      </c>
      <c r="CE2209" t="s">
        <v>147</v>
      </c>
      <c r="CF2209" s="3">
        <v>45884</v>
      </c>
      <c r="CI2209">
        <v>1</v>
      </c>
      <c r="CJ2209">
        <v>1</v>
      </c>
      <c r="CK2209">
        <v>22</v>
      </c>
      <c r="CL2209" t="s">
        <v>90</v>
      </c>
    </row>
    <row r="2210" spans="1:90" x14ac:dyDescent="0.3">
      <c r="A2210" t="s">
        <v>72</v>
      </c>
      <c r="B2210" t="s">
        <v>73</v>
      </c>
      <c r="C2210" t="s">
        <v>74</v>
      </c>
      <c r="E2210" t="str">
        <f>"080067247707"</f>
        <v>080067247707</v>
      </c>
      <c r="F2210" s="3">
        <v>45883</v>
      </c>
      <c r="G2210">
        <v>202605</v>
      </c>
      <c r="H2210" t="s">
        <v>75</v>
      </c>
      <c r="I2210" t="s">
        <v>76</v>
      </c>
      <c r="J2210" t="s">
        <v>77</v>
      </c>
      <c r="K2210" t="s">
        <v>78</v>
      </c>
      <c r="L2210" t="s">
        <v>325</v>
      </c>
      <c r="M2210" t="s">
        <v>326</v>
      </c>
      <c r="N2210" t="s">
        <v>458</v>
      </c>
      <c r="O2210" t="s">
        <v>82</v>
      </c>
      <c r="P2210" t="str">
        <f>"4170054873                    "</f>
        <v xml:space="preserve">4170054873                    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0</v>
      </c>
      <c r="AL2210">
        <v>0</v>
      </c>
      <c r="AM2210">
        <v>0</v>
      </c>
      <c r="AN2210">
        <v>0</v>
      </c>
      <c r="AO2210">
        <v>0</v>
      </c>
      <c r="AP2210">
        <v>0</v>
      </c>
      <c r="AQ2210">
        <v>18.03</v>
      </c>
      <c r="AR2210">
        <v>0</v>
      </c>
      <c r="AS2210">
        <v>0</v>
      </c>
      <c r="AT2210">
        <v>0</v>
      </c>
      <c r="AU2210">
        <v>0</v>
      </c>
      <c r="AV2210">
        <v>0</v>
      </c>
      <c r="AW2210">
        <v>0</v>
      </c>
      <c r="AX2210">
        <v>0</v>
      </c>
      <c r="AY2210">
        <v>0</v>
      </c>
      <c r="AZ2210">
        <v>0</v>
      </c>
      <c r="BA2210">
        <v>0</v>
      </c>
      <c r="BB2210">
        <v>0</v>
      </c>
      <c r="BC2210">
        <v>0</v>
      </c>
      <c r="BD2210">
        <v>0</v>
      </c>
      <c r="BE2210">
        <v>0</v>
      </c>
      <c r="BF2210">
        <v>0</v>
      </c>
      <c r="BG2210">
        <v>0</v>
      </c>
      <c r="BH2210">
        <v>1</v>
      </c>
      <c r="BI2210">
        <v>1</v>
      </c>
      <c r="BJ2210">
        <v>0.2</v>
      </c>
      <c r="BK2210">
        <v>1</v>
      </c>
      <c r="BL2210">
        <v>55.99</v>
      </c>
      <c r="BM2210">
        <v>8.4</v>
      </c>
      <c r="BN2210">
        <v>64.39</v>
      </c>
      <c r="BO2210">
        <v>64.39</v>
      </c>
      <c r="BQ2210" t="s">
        <v>459</v>
      </c>
      <c r="BR2210" t="s">
        <v>84</v>
      </c>
      <c r="BS2210" s="3">
        <v>45884</v>
      </c>
      <c r="BT2210" s="4">
        <v>0.40972222222222221</v>
      </c>
      <c r="BU2210" t="s">
        <v>2610</v>
      </c>
      <c r="BV2210" t="s">
        <v>86</v>
      </c>
      <c r="BY2210">
        <v>1200</v>
      </c>
      <c r="CA2210" t="s">
        <v>461</v>
      </c>
      <c r="CC2210" t="s">
        <v>326</v>
      </c>
      <c r="CD2210">
        <v>2197</v>
      </c>
      <c r="CE2210" t="s">
        <v>2730</v>
      </c>
      <c r="CF2210" s="3">
        <v>45885</v>
      </c>
      <c r="CI2210">
        <v>1</v>
      </c>
      <c r="CJ2210">
        <v>1</v>
      </c>
      <c r="CK2210">
        <v>22</v>
      </c>
      <c r="CL2210" t="s">
        <v>90</v>
      </c>
    </row>
    <row r="2211" spans="1:90" x14ac:dyDescent="0.3">
      <c r="A2211" t="s">
        <v>72</v>
      </c>
      <c r="B2211" t="s">
        <v>73</v>
      </c>
      <c r="C2211" t="s">
        <v>74</v>
      </c>
      <c r="E2211" t="str">
        <f>"080067247720"</f>
        <v>080067247720</v>
      </c>
      <c r="F2211" s="3">
        <v>45883</v>
      </c>
      <c r="G2211">
        <v>202605</v>
      </c>
      <c r="H2211" t="s">
        <v>75</v>
      </c>
      <c r="I2211" t="s">
        <v>76</v>
      </c>
      <c r="J2211" t="s">
        <v>77</v>
      </c>
      <c r="K2211" t="s">
        <v>78</v>
      </c>
      <c r="L2211" t="s">
        <v>1581</v>
      </c>
      <c r="M2211" t="s">
        <v>1582</v>
      </c>
      <c r="N2211" t="s">
        <v>2731</v>
      </c>
      <c r="O2211" t="s">
        <v>82</v>
      </c>
      <c r="P2211" t="str">
        <f>"4170054082                    "</f>
        <v xml:space="preserve">4170054082                    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  <c r="AN2211">
        <v>0</v>
      </c>
      <c r="AO2211">
        <v>0</v>
      </c>
      <c r="AP2211">
        <v>0</v>
      </c>
      <c r="AQ2211">
        <v>44.73</v>
      </c>
      <c r="AR2211">
        <v>0</v>
      </c>
      <c r="AS2211">
        <v>0</v>
      </c>
      <c r="AT2211">
        <v>0</v>
      </c>
      <c r="AU2211">
        <v>0</v>
      </c>
      <c r="AV2211">
        <v>0</v>
      </c>
      <c r="AW2211">
        <v>0</v>
      </c>
      <c r="AX2211">
        <v>0</v>
      </c>
      <c r="AY2211">
        <v>0</v>
      </c>
      <c r="AZ2211">
        <v>0</v>
      </c>
      <c r="BA2211">
        <v>0</v>
      </c>
      <c r="BB2211">
        <v>0</v>
      </c>
      <c r="BC2211">
        <v>0</v>
      </c>
      <c r="BD2211">
        <v>0</v>
      </c>
      <c r="BE2211">
        <v>0</v>
      </c>
      <c r="BF2211">
        <v>0</v>
      </c>
      <c r="BG2211">
        <v>0</v>
      </c>
      <c r="BH2211">
        <v>1</v>
      </c>
      <c r="BI2211">
        <v>1</v>
      </c>
      <c r="BJ2211">
        <v>1.9</v>
      </c>
      <c r="BK2211">
        <v>2</v>
      </c>
      <c r="BL2211">
        <v>138.88999999999999</v>
      </c>
      <c r="BM2211">
        <v>20.83</v>
      </c>
      <c r="BN2211">
        <v>159.72</v>
      </c>
      <c r="BO2211">
        <v>159.72</v>
      </c>
      <c r="BQ2211" t="s">
        <v>2732</v>
      </c>
      <c r="BR2211" t="s">
        <v>84</v>
      </c>
      <c r="BS2211" s="3">
        <v>45884</v>
      </c>
      <c r="BT2211" s="4">
        <v>0.52708333333333335</v>
      </c>
      <c r="BU2211" t="s">
        <v>2733</v>
      </c>
      <c r="BV2211" t="s">
        <v>86</v>
      </c>
      <c r="BY2211">
        <v>9600</v>
      </c>
      <c r="CA2211" t="s">
        <v>2728</v>
      </c>
      <c r="CC2211" t="s">
        <v>1582</v>
      </c>
      <c r="CD2211">
        <v>1028</v>
      </c>
      <c r="CE2211" t="s">
        <v>1626</v>
      </c>
      <c r="CF2211" s="3">
        <v>45884</v>
      </c>
      <c r="CI2211">
        <v>1</v>
      </c>
      <c r="CJ2211">
        <v>1</v>
      </c>
      <c r="CK2211">
        <v>23</v>
      </c>
      <c r="CL2211" t="s">
        <v>90</v>
      </c>
    </row>
    <row r="2212" spans="1:90" x14ac:dyDescent="0.3">
      <c r="A2212" t="s">
        <v>72</v>
      </c>
      <c r="B2212" t="s">
        <v>73</v>
      </c>
      <c r="C2212" t="s">
        <v>74</v>
      </c>
      <c r="E2212" t="str">
        <f>"080067247728"</f>
        <v>080067247728</v>
      </c>
      <c r="F2212" s="3">
        <v>45883</v>
      </c>
      <c r="G2212">
        <v>202605</v>
      </c>
      <c r="H2212" t="s">
        <v>75</v>
      </c>
      <c r="I2212" t="s">
        <v>76</v>
      </c>
      <c r="J2212" t="s">
        <v>77</v>
      </c>
      <c r="K2212" t="s">
        <v>78</v>
      </c>
      <c r="L2212" t="s">
        <v>319</v>
      </c>
      <c r="M2212" t="s">
        <v>320</v>
      </c>
      <c r="N2212" t="s">
        <v>321</v>
      </c>
      <c r="O2212" t="s">
        <v>82</v>
      </c>
      <c r="P2212" t="str">
        <f>"4170054917                    "</f>
        <v xml:space="preserve">4170054917                    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0</v>
      </c>
      <c r="AQ2212">
        <v>44.73</v>
      </c>
      <c r="AR2212">
        <v>0</v>
      </c>
      <c r="AS2212">
        <v>0</v>
      </c>
      <c r="AT2212">
        <v>0</v>
      </c>
      <c r="AU2212">
        <v>0</v>
      </c>
      <c r="AV2212">
        <v>0</v>
      </c>
      <c r="AW2212">
        <v>0</v>
      </c>
      <c r="AX2212">
        <v>0</v>
      </c>
      <c r="AY2212">
        <v>0</v>
      </c>
      <c r="AZ2212">
        <v>0</v>
      </c>
      <c r="BA2212">
        <v>0</v>
      </c>
      <c r="BB2212">
        <v>0</v>
      </c>
      <c r="BC2212">
        <v>0</v>
      </c>
      <c r="BD2212">
        <v>0</v>
      </c>
      <c r="BE2212">
        <v>0</v>
      </c>
      <c r="BF2212">
        <v>0</v>
      </c>
      <c r="BG2212">
        <v>0</v>
      </c>
      <c r="BH2212">
        <v>1</v>
      </c>
      <c r="BI2212">
        <v>1</v>
      </c>
      <c r="BJ2212">
        <v>0.2</v>
      </c>
      <c r="BK2212">
        <v>1</v>
      </c>
      <c r="BL2212">
        <v>138.88999999999999</v>
      </c>
      <c r="BM2212">
        <v>20.83</v>
      </c>
      <c r="BN2212">
        <v>159.72</v>
      </c>
      <c r="BO2212">
        <v>159.72</v>
      </c>
      <c r="BQ2212" t="s">
        <v>322</v>
      </c>
      <c r="BR2212" t="s">
        <v>84</v>
      </c>
      <c r="BS2212" s="3">
        <v>45884</v>
      </c>
      <c r="BT2212" s="4">
        <v>0.44444444444444442</v>
      </c>
      <c r="BU2212" t="s">
        <v>2701</v>
      </c>
      <c r="BV2212" t="s">
        <v>86</v>
      </c>
      <c r="BY2212">
        <v>1200</v>
      </c>
      <c r="CA2212" t="s">
        <v>324</v>
      </c>
      <c r="CC2212" t="s">
        <v>320</v>
      </c>
      <c r="CD2212">
        <v>2531</v>
      </c>
      <c r="CE2212" t="s">
        <v>109</v>
      </c>
      <c r="CF2212" s="3">
        <v>45887</v>
      </c>
      <c r="CI2212">
        <v>1</v>
      </c>
      <c r="CJ2212">
        <v>1</v>
      </c>
      <c r="CK2212">
        <v>23</v>
      </c>
      <c r="CL2212" t="s">
        <v>90</v>
      </c>
    </row>
    <row r="2213" spans="1:90" x14ac:dyDescent="0.3">
      <c r="A2213" t="s">
        <v>72</v>
      </c>
      <c r="B2213" t="s">
        <v>73</v>
      </c>
      <c r="C2213" t="s">
        <v>74</v>
      </c>
      <c r="E2213" t="str">
        <f>"080067247744"</f>
        <v>080067247744</v>
      </c>
      <c r="F2213" s="3">
        <v>45883</v>
      </c>
      <c r="G2213">
        <v>202605</v>
      </c>
      <c r="H2213" t="s">
        <v>75</v>
      </c>
      <c r="I2213" t="s">
        <v>76</v>
      </c>
      <c r="J2213" t="s">
        <v>77</v>
      </c>
      <c r="K2213" t="s">
        <v>78</v>
      </c>
      <c r="L2213" t="s">
        <v>137</v>
      </c>
      <c r="M2213" t="s">
        <v>138</v>
      </c>
      <c r="N2213" t="s">
        <v>1239</v>
      </c>
      <c r="O2213" t="s">
        <v>82</v>
      </c>
      <c r="P2213" t="str">
        <f>"4170054997                    "</f>
        <v xml:space="preserve">4170054997                    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>
        <v>0</v>
      </c>
      <c r="AQ2213">
        <v>23.09</v>
      </c>
      <c r="AR2213">
        <v>0</v>
      </c>
      <c r="AS2213">
        <v>0</v>
      </c>
      <c r="AT2213">
        <v>0</v>
      </c>
      <c r="AU2213">
        <v>0</v>
      </c>
      <c r="AV2213">
        <v>0</v>
      </c>
      <c r="AW2213">
        <v>0</v>
      </c>
      <c r="AX2213">
        <v>0</v>
      </c>
      <c r="AY2213">
        <v>0</v>
      </c>
      <c r="AZ2213">
        <v>0</v>
      </c>
      <c r="BA2213">
        <v>0</v>
      </c>
      <c r="BB2213">
        <v>0</v>
      </c>
      <c r="BC2213">
        <v>0</v>
      </c>
      <c r="BD2213">
        <v>0</v>
      </c>
      <c r="BE2213">
        <v>0</v>
      </c>
      <c r="BF2213">
        <v>0</v>
      </c>
      <c r="BG2213">
        <v>0</v>
      </c>
      <c r="BH2213">
        <v>1</v>
      </c>
      <c r="BI2213">
        <v>1</v>
      </c>
      <c r="BJ2213">
        <v>0.2</v>
      </c>
      <c r="BK2213">
        <v>1</v>
      </c>
      <c r="BL2213">
        <v>71.69</v>
      </c>
      <c r="BM2213">
        <v>10.75</v>
      </c>
      <c r="BN2213">
        <v>82.44</v>
      </c>
      <c r="BO2213">
        <v>82.44</v>
      </c>
      <c r="BQ2213" t="s">
        <v>1240</v>
      </c>
      <c r="BR2213" t="s">
        <v>84</v>
      </c>
      <c r="BS2213" s="3">
        <v>45884</v>
      </c>
      <c r="BT2213" s="4">
        <v>0.3972222222222222</v>
      </c>
      <c r="BU2213" t="s">
        <v>1241</v>
      </c>
      <c r="BV2213" t="s">
        <v>86</v>
      </c>
      <c r="BY2213">
        <v>1200</v>
      </c>
      <c r="CA2213" t="s">
        <v>953</v>
      </c>
      <c r="CC2213" t="s">
        <v>138</v>
      </c>
      <c r="CD2213">
        <v>3610</v>
      </c>
      <c r="CE2213" t="s">
        <v>109</v>
      </c>
      <c r="CF2213" s="3">
        <v>45884</v>
      </c>
      <c r="CI2213">
        <v>1</v>
      </c>
      <c r="CJ2213">
        <v>1</v>
      </c>
      <c r="CK2213">
        <v>21</v>
      </c>
      <c r="CL2213" t="s">
        <v>90</v>
      </c>
    </row>
    <row r="2214" spans="1:90" x14ac:dyDescent="0.3">
      <c r="A2214" t="s">
        <v>72</v>
      </c>
      <c r="B2214" t="s">
        <v>73</v>
      </c>
      <c r="C2214" t="s">
        <v>74</v>
      </c>
      <c r="E2214" t="str">
        <f>"080067247768"</f>
        <v>080067247768</v>
      </c>
      <c r="F2214" s="3">
        <v>45883</v>
      </c>
      <c r="G2214">
        <v>202605</v>
      </c>
      <c r="H2214" t="s">
        <v>75</v>
      </c>
      <c r="I2214" t="s">
        <v>76</v>
      </c>
      <c r="J2214" t="s">
        <v>77</v>
      </c>
      <c r="K2214" t="s">
        <v>78</v>
      </c>
      <c r="L2214" t="s">
        <v>123</v>
      </c>
      <c r="M2214" t="s">
        <v>124</v>
      </c>
      <c r="N2214" t="s">
        <v>2734</v>
      </c>
      <c r="O2214" t="s">
        <v>82</v>
      </c>
      <c r="P2214" t="str">
        <f>"4170054080                    "</f>
        <v xml:space="preserve">4170054080                    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0</v>
      </c>
      <c r="AI2214">
        <v>0</v>
      </c>
      <c r="AJ2214">
        <v>0</v>
      </c>
      <c r="AK2214">
        <v>0</v>
      </c>
      <c r="AL2214">
        <v>0</v>
      </c>
      <c r="AM2214">
        <v>0</v>
      </c>
      <c r="AN2214">
        <v>0</v>
      </c>
      <c r="AO2214">
        <v>0</v>
      </c>
      <c r="AP2214">
        <v>0</v>
      </c>
      <c r="AQ2214">
        <v>155.71</v>
      </c>
      <c r="AR2214">
        <v>0</v>
      </c>
      <c r="AS2214">
        <v>0</v>
      </c>
      <c r="AT2214">
        <v>0</v>
      </c>
      <c r="AU2214">
        <v>0</v>
      </c>
      <c r="AV2214">
        <v>0</v>
      </c>
      <c r="AW2214">
        <v>0</v>
      </c>
      <c r="AX2214">
        <v>0</v>
      </c>
      <c r="AY2214">
        <v>0</v>
      </c>
      <c r="AZ2214">
        <v>0</v>
      </c>
      <c r="BA2214">
        <v>0</v>
      </c>
      <c r="BB2214">
        <v>0</v>
      </c>
      <c r="BC2214">
        <v>0</v>
      </c>
      <c r="BD2214">
        <v>0</v>
      </c>
      <c r="BE2214">
        <v>0</v>
      </c>
      <c r="BF2214">
        <v>0</v>
      </c>
      <c r="BG2214">
        <v>0</v>
      </c>
      <c r="BH2214">
        <v>1</v>
      </c>
      <c r="BI2214">
        <v>5</v>
      </c>
      <c r="BJ2214">
        <v>13.4</v>
      </c>
      <c r="BK2214">
        <v>13.5</v>
      </c>
      <c r="BL2214">
        <v>483.53</v>
      </c>
      <c r="BM2214">
        <v>72.53</v>
      </c>
      <c r="BN2214">
        <v>556.05999999999995</v>
      </c>
      <c r="BO2214">
        <v>556.05999999999995</v>
      </c>
      <c r="BQ2214" t="s">
        <v>2735</v>
      </c>
      <c r="BR2214" t="s">
        <v>84</v>
      </c>
      <c r="BS2214" s="3">
        <v>45884</v>
      </c>
      <c r="BT2214" s="4">
        <v>0.42708333333333331</v>
      </c>
      <c r="BU2214" t="s">
        <v>2736</v>
      </c>
      <c r="BV2214" t="s">
        <v>86</v>
      </c>
      <c r="BY2214">
        <v>66960</v>
      </c>
      <c r="CC2214" t="s">
        <v>124</v>
      </c>
      <c r="CD2214">
        <v>8001</v>
      </c>
      <c r="CE2214" t="s">
        <v>147</v>
      </c>
      <c r="CF2214" s="3">
        <v>45887</v>
      </c>
      <c r="CI2214">
        <v>1</v>
      </c>
      <c r="CJ2214">
        <v>1</v>
      </c>
      <c r="CK2214">
        <v>21</v>
      </c>
      <c r="CL2214" t="s">
        <v>90</v>
      </c>
    </row>
    <row r="2215" spans="1:90" x14ac:dyDescent="0.3">
      <c r="A2215" t="s">
        <v>72</v>
      </c>
      <c r="B2215" t="s">
        <v>73</v>
      </c>
      <c r="C2215" t="s">
        <v>74</v>
      </c>
      <c r="E2215" t="str">
        <f>"080067247780"</f>
        <v>080067247780</v>
      </c>
      <c r="F2215" s="3">
        <v>45883</v>
      </c>
      <c r="G2215">
        <v>202605</v>
      </c>
      <c r="H2215" t="s">
        <v>75</v>
      </c>
      <c r="I2215" t="s">
        <v>76</v>
      </c>
      <c r="J2215" t="s">
        <v>77</v>
      </c>
      <c r="K2215" t="s">
        <v>78</v>
      </c>
      <c r="L2215" t="s">
        <v>75</v>
      </c>
      <c r="M2215" t="s">
        <v>76</v>
      </c>
      <c r="N2215" t="s">
        <v>152</v>
      </c>
      <c r="O2215" t="s">
        <v>82</v>
      </c>
      <c r="P2215" t="str">
        <f>"4170054890                    "</f>
        <v xml:space="preserve">4170054890                    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0</v>
      </c>
      <c r="AI2215">
        <v>0</v>
      </c>
      <c r="AJ2215">
        <v>0</v>
      </c>
      <c r="AK2215">
        <v>0</v>
      </c>
      <c r="AL2215">
        <v>0</v>
      </c>
      <c r="AM2215">
        <v>0</v>
      </c>
      <c r="AN2215">
        <v>0</v>
      </c>
      <c r="AO2215">
        <v>0</v>
      </c>
      <c r="AP2215">
        <v>0</v>
      </c>
      <c r="AQ2215">
        <v>18.03</v>
      </c>
      <c r="AR2215">
        <v>0</v>
      </c>
      <c r="AS2215">
        <v>0</v>
      </c>
      <c r="AT2215">
        <v>0</v>
      </c>
      <c r="AU2215">
        <v>0</v>
      </c>
      <c r="AV2215">
        <v>0</v>
      </c>
      <c r="AW2215">
        <v>0</v>
      </c>
      <c r="AX2215">
        <v>0</v>
      </c>
      <c r="AY2215">
        <v>0</v>
      </c>
      <c r="AZ2215">
        <v>0</v>
      </c>
      <c r="BA2215">
        <v>0</v>
      </c>
      <c r="BB2215">
        <v>0</v>
      </c>
      <c r="BC2215">
        <v>0</v>
      </c>
      <c r="BD2215">
        <v>0</v>
      </c>
      <c r="BE2215">
        <v>0</v>
      </c>
      <c r="BF2215">
        <v>0</v>
      </c>
      <c r="BG2215">
        <v>0</v>
      </c>
      <c r="BH2215">
        <v>1</v>
      </c>
      <c r="BI2215">
        <v>1</v>
      </c>
      <c r="BJ2215">
        <v>0.2</v>
      </c>
      <c r="BK2215">
        <v>1</v>
      </c>
      <c r="BL2215">
        <v>55.99</v>
      </c>
      <c r="BM2215">
        <v>8.4</v>
      </c>
      <c r="BN2215">
        <v>64.39</v>
      </c>
      <c r="BO2215">
        <v>64.39</v>
      </c>
      <c r="BQ2215" t="s">
        <v>153</v>
      </c>
      <c r="BR2215" t="s">
        <v>84</v>
      </c>
      <c r="BS2215" s="3">
        <v>45884</v>
      </c>
      <c r="BT2215" s="4">
        <v>0.31319444444444444</v>
      </c>
      <c r="BU2215" t="s">
        <v>154</v>
      </c>
      <c r="BV2215" t="s">
        <v>86</v>
      </c>
      <c r="BY2215">
        <v>1200</v>
      </c>
      <c r="CA2215" t="s">
        <v>155</v>
      </c>
      <c r="CC2215" t="s">
        <v>76</v>
      </c>
      <c r="CD2215">
        <v>1600</v>
      </c>
      <c r="CE2215" t="s">
        <v>109</v>
      </c>
      <c r="CF2215" s="3">
        <v>45884</v>
      </c>
      <c r="CI2215">
        <v>1</v>
      </c>
      <c r="CJ2215">
        <v>1</v>
      </c>
      <c r="CK2215">
        <v>22</v>
      </c>
      <c r="CL2215" t="s">
        <v>90</v>
      </c>
    </row>
    <row r="2216" spans="1:90" x14ac:dyDescent="0.3">
      <c r="A2216" t="s">
        <v>72</v>
      </c>
      <c r="B2216" t="s">
        <v>73</v>
      </c>
      <c r="C2216" t="s">
        <v>74</v>
      </c>
      <c r="E2216" t="str">
        <f>"080067247806"</f>
        <v>080067247806</v>
      </c>
      <c r="F2216" s="3">
        <v>45883</v>
      </c>
      <c r="G2216">
        <v>202605</v>
      </c>
      <c r="H2216" t="s">
        <v>75</v>
      </c>
      <c r="I2216" t="s">
        <v>76</v>
      </c>
      <c r="J2216" t="s">
        <v>77</v>
      </c>
      <c r="K2216" t="s">
        <v>78</v>
      </c>
      <c r="L2216" t="s">
        <v>118</v>
      </c>
      <c r="M2216" t="s">
        <v>118</v>
      </c>
      <c r="N2216" t="s">
        <v>466</v>
      </c>
      <c r="O2216" t="s">
        <v>82</v>
      </c>
      <c r="P2216" t="str">
        <f>"4170054922                    "</f>
        <v xml:space="preserve">4170054922                    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0</v>
      </c>
      <c r="AK2216">
        <v>0</v>
      </c>
      <c r="AL2216">
        <v>0</v>
      </c>
      <c r="AM2216">
        <v>0</v>
      </c>
      <c r="AN2216">
        <v>0</v>
      </c>
      <c r="AO2216">
        <v>0</v>
      </c>
      <c r="AP2216">
        <v>0</v>
      </c>
      <c r="AQ2216">
        <v>44.73</v>
      </c>
      <c r="AR2216">
        <v>0</v>
      </c>
      <c r="AS2216">
        <v>0</v>
      </c>
      <c r="AT2216">
        <v>0</v>
      </c>
      <c r="AU2216">
        <v>0</v>
      </c>
      <c r="AV2216">
        <v>0</v>
      </c>
      <c r="AW2216">
        <v>0</v>
      </c>
      <c r="AX2216">
        <v>0</v>
      </c>
      <c r="AY2216">
        <v>0</v>
      </c>
      <c r="AZ2216">
        <v>0</v>
      </c>
      <c r="BA2216">
        <v>0</v>
      </c>
      <c r="BB2216">
        <v>0</v>
      </c>
      <c r="BC2216">
        <v>0</v>
      </c>
      <c r="BD2216">
        <v>0</v>
      </c>
      <c r="BE2216">
        <v>0</v>
      </c>
      <c r="BF2216">
        <v>0</v>
      </c>
      <c r="BG2216">
        <v>0</v>
      </c>
      <c r="BH2216">
        <v>1</v>
      </c>
      <c r="BI2216">
        <v>1</v>
      </c>
      <c r="BJ2216">
        <v>0.2</v>
      </c>
      <c r="BK2216">
        <v>1</v>
      </c>
      <c r="BL2216">
        <v>138.88999999999999</v>
      </c>
      <c r="BM2216">
        <v>20.83</v>
      </c>
      <c r="BN2216">
        <v>159.72</v>
      </c>
      <c r="BO2216">
        <v>159.72</v>
      </c>
      <c r="BQ2216" t="s">
        <v>1178</v>
      </c>
      <c r="BR2216" t="s">
        <v>84</v>
      </c>
      <c r="BS2216" s="3">
        <v>45884</v>
      </c>
      <c r="BT2216" s="4">
        <v>0.5395833333333333</v>
      </c>
      <c r="BU2216" t="s">
        <v>468</v>
      </c>
      <c r="BV2216" t="s">
        <v>86</v>
      </c>
      <c r="BY2216">
        <v>1200</v>
      </c>
      <c r="CA2216" t="s">
        <v>122</v>
      </c>
      <c r="CC2216" t="s">
        <v>118</v>
      </c>
      <c r="CD2216">
        <v>7646</v>
      </c>
      <c r="CE2216" t="s">
        <v>109</v>
      </c>
      <c r="CF2216" s="3">
        <v>45887</v>
      </c>
      <c r="CI2216">
        <v>1</v>
      </c>
      <c r="CJ2216">
        <v>1</v>
      </c>
      <c r="CK2216">
        <v>23</v>
      </c>
      <c r="CL2216" t="s">
        <v>90</v>
      </c>
    </row>
    <row r="2217" spans="1:90" x14ac:dyDescent="0.3">
      <c r="A2217" t="s">
        <v>72</v>
      </c>
      <c r="B2217" t="s">
        <v>73</v>
      </c>
      <c r="C2217" t="s">
        <v>74</v>
      </c>
      <c r="E2217" t="str">
        <f>"080067247814"</f>
        <v>080067247814</v>
      </c>
      <c r="F2217" s="3">
        <v>45883</v>
      </c>
      <c r="G2217">
        <v>202605</v>
      </c>
      <c r="H2217" t="s">
        <v>75</v>
      </c>
      <c r="I2217" t="s">
        <v>76</v>
      </c>
      <c r="J2217" t="s">
        <v>77</v>
      </c>
      <c r="K2217" t="s">
        <v>78</v>
      </c>
      <c r="L2217" t="s">
        <v>325</v>
      </c>
      <c r="M2217" t="s">
        <v>326</v>
      </c>
      <c r="N2217" t="s">
        <v>1459</v>
      </c>
      <c r="O2217" t="s">
        <v>82</v>
      </c>
      <c r="P2217" t="str">
        <f>"4170054972                    "</f>
        <v xml:space="preserve">4170054972                    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  <c r="AN2217">
        <v>0</v>
      </c>
      <c r="AO2217">
        <v>0</v>
      </c>
      <c r="AP2217">
        <v>0</v>
      </c>
      <c r="AQ2217">
        <v>18.03</v>
      </c>
      <c r="AR2217">
        <v>0</v>
      </c>
      <c r="AS2217">
        <v>0</v>
      </c>
      <c r="AT2217">
        <v>0</v>
      </c>
      <c r="AU2217">
        <v>0</v>
      </c>
      <c r="AV2217">
        <v>0</v>
      </c>
      <c r="AW2217">
        <v>0</v>
      </c>
      <c r="AX2217">
        <v>0</v>
      </c>
      <c r="AY2217">
        <v>0</v>
      </c>
      <c r="AZ2217">
        <v>0</v>
      </c>
      <c r="BA2217">
        <v>0</v>
      </c>
      <c r="BB2217">
        <v>0</v>
      </c>
      <c r="BC2217">
        <v>0</v>
      </c>
      <c r="BD2217">
        <v>0</v>
      </c>
      <c r="BE2217">
        <v>0</v>
      </c>
      <c r="BF2217">
        <v>0</v>
      </c>
      <c r="BG2217">
        <v>0</v>
      </c>
      <c r="BH2217">
        <v>1</v>
      </c>
      <c r="BI2217">
        <v>1</v>
      </c>
      <c r="BJ2217">
        <v>0.2</v>
      </c>
      <c r="BK2217">
        <v>1</v>
      </c>
      <c r="BL2217">
        <v>55.99</v>
      </c>
      <c r="BM2217">
        <v>8.4</v>
      </c>
      <c r="BN2217">
        <v>64.39</v>
      </c>
      <c r="BO2217">
        <v>64.39</v>
      </c>
      <c r="BQ2217" t="s">
        <v>1460</v>
      </c>
      <c r="BR2217" t="s">
        <v>84</v>
      </c>
      <c r="BS2217" s="3">
        <v>45884</v>
      </c>
      <c r="BT2217" s="4">
        <v>0.42708333333333331</v>
      </c>
      <c r="BU2217" t="s">
        <v>2000</v>
      </c>
      <c r="BV2217" t="s">
        <v>86</v>
      </c>
      <c r="BY2217">
        <v>1200</v>
      </c>
      <c r="CA2217" t="s">
        <v>331</v>
      </c>
      <c r="CC2217" t="s">
        <v>326</v>
      </c>
      <c r="CD2217">
        <v>2013</v>
      </c>
      <c r="CE2217" t="s">
        <v>109</v>
      </c>
      <c r="CF2217" s="3">
        <v>45884</v>
      </c>
      <c r="CI2217">
        <v>1</v>
      </c>
      <c r="CJ2217">
        <v>1</v>
      </c>
      <c r="CK2217">
        <v>22</v>
      </c>
      <c r="CL2217" t="s">
        <v>90</v>
      </c>
    </row>
    <row r="2218" spans="1:90" x14ac:dyDescent="0.3">
      <c r="A2218" t="s">
        <v>72</v>
      </c>
      <c r="B2218" t="s">
        <v>73</v>
      </c>
      <c r="C2218" t="s">
        <v>74</v>
      </c>
      <c r="E2218" t="str">
        <f>"080067247828"</f>
        <v>080067247828</v>
      </c>
      <c r="F2218" s="3">
        <v>45883</v>
      </c>
      <c r="G2218">
        <v>202605</v>
      </c>
      <c r="H2218" t="s">
        <v>75</v>
      </c>
      <c r="I2218" t="s">
        <v>76</v>
      </c>
      <c r="J2218" t="s">
        <v>77</v>
      </c>
      <c r="K2218" t="s">
        <v>78</v>
      </c>
      <c r="L2218" t="s">
        <v>162</v>
      </c>
      <c r="M2218" t="s">
        <v>163</v>
      </c>
      <c r="N2218" t="s">
        <v>246</v>
      </c>
      <c r="O2218" t="s">
        <v>82</v>
      </c>
      <c r="P2218" t="str">
        <f>"4170054826                    "</f>
        <v xml:space="preserve">4170054826                    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  <c r="AN2218">
        <v>0</v>
      </c>
      <c r="AO2218">
        <v>0</v>
      </c>
      <c r="AP2218">
        <v>0</v>
      </c>
      <c r="AQ2218">
        <v>23.09</v>
      </c>
      <c r="AR2218">
        <v>0</v>
      </c>
      <c r="AS2218">
        <v>0</v>
      </c>
      <c r="AT2218">
        <v>0</v>
      </c>
      <c r="AU2218">
        <v>0</v>
      </c>
      <c r="AV2218">
        <v>0</v>
      </c>
      <c r="AW2218">
        <v>0</v>
      </c>
      <c r="AX2218">
        <v>0</v>
      </c>
      <c r="AY2218">
        <v>0</v>
      </c>
      <c r="AZ2218">
        <v>0</v>
      </c>
      <c r="BA2218">
        <v>0</v>
      </c>
      <c r="BB2218">
        <v>0</v>
      </c>
      <c r="BC2218">
        <v>0</v>
      </c>
      <c r="BD2218">
        <v>0</v>
      </c>
      <c r="BE2218">
        <v>0</v>
      </c>
      <c r="BF2218">
        <v>0</v>
      </c>
      <c r="BG2218">
        <v>0</v>
      </c>
      <c r="BH2218">
        <v>1</v>
      </c>
      <c r="BI2218">
        <v>1</v>
      </c>
      <c r="BJ2218">
        <v>0.2</v>
      </c>
      <c r="BK2218">
        <v>1</v>
      </c>
      <c r="BL2218">
        <v>71.69</v>
      </c>
      <c r="BM2218">
        <v>10.75</v>
      </c>
      <c r="BN2218">
        <v>82.44</v>
      </c>
      <c r="BO2218">
        <v>82.44</v>
      </c>
      <c r="BQ2218" t="s">
        <v>247</v>
      </c>
      <c r="BR2218" t="s">
        <v>84</v>
      </c>
      <c r="BS2218" s="3">
        <v>45884</v>
      </c>
      <c r="BT2218" s="4">
        <v>0.41666666666666669</v>
      </c>
      <c r="BU2218" t="s">
        <v>485</v>
      </c>
      <c r="BV2218" t="s">
        <v>86</v>
      </c>
      <c r="BY2218">
        <v>1200</v>
      </c>
      <c r="CC2218" t="s">
        <v>163</v>
      </c>
      <c r="CD2218">
        <v>3201</v>
      </c>
      <c r="CE2218" t="s">
        <v>290</v>
      </c>
      <c r="CF2218" s="3">
        <v>45885</v>
      </c>
      <c r="CI2218">
        <v>1</v>
      </c>
      <c r="CJ2218">
        <v>1</v>
      </c>
      <c r="CK2218">
        <v>21</v>
      </c>
      <c r="CL2218" t="s">
        <v>90</v>
      </c>
    </row>
    <row r="2219" spans="1:90" x14ac:dyDescent="0.3">
      <c r="A2219" t="s">
        <v>72</v>
      </c>
      <c r="B2219" t="s">
        <v>73</v>
      </c>
      <c r="C2219" t="s">
        <v>74</v>
      </c>
      <c r="E2219" t="str">
        <f>"080067247860"</f>
        <v>080067247860</v>
      </c>
      <c r="F2219" s="3">
        <v>45883</v>
      </c>
      <c r="G2219">
        <v>202605</v>
      </c>
      <c r="H2219" t="s">
        <v>75</v>
      </c>
      <c r="I2219" t="s">
        <v>76</v>
      </c>
      <c r="J2219" t="s">
        <v>77</v>
      </c>
      <c r="K2219" t="s">
        <v>78</v>
      </c>
      <c r="L2219" t="s">
        <v>123</v>
      </c>
      <c r="M2219" t="s">
        <v>124</v>
      </c>
      <c r="N2219" t="s">
        <v>1416</v>
      </c>
      <c r="O2219" t="s">
        <v>82</v>
      </c>
      <c r="P2219" t="str">
        <f>"4170054866                    "</f>
        <v xml:space="preserve">4170054866                    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Q2219">
        <v>23.09</v>
      </c>
      <c r="AR2219">
        <v>0</v>
      </c>
      <c r="AS2219">
        <v>0</v>
      </c>
      <c r="AT2219">
        <v>0</v>
      </c>
      <c r="AU2219">
        <v>0</v>
      </c>
      <c r="AV2219">
        <v>0</v>
      </c>
      <c r="AW2219">
        <v>0</v>
      </c>
      <c r="AX2219">
        <v>0</v>
      </c>
      <c r="AY2219">
        <v>0</v>
      </c>
      <c r="AZ2219">
        <v>0</v>
      </c>
      <c r="BA2219">
        <v>0</v>
      </c>
      <c r="BB2219">
        <v>0</v>
      </c>
      <c r="BC2219">
        <v>0</v>
      </c>
      <c r="BD2219">
        <v>0</v>
      </c>
      <c r="BE2219">
        <v>0</v>
      </c>
      <c r="BF2219">
        <v>0</v>
      </c>
      <c r="BG2219">
        <v>0</v>
      </c>
      <c r="BH2219">
        <v>1</v>
      </c>
      <c r="BI2219">
        <v>1</v>
      </c>
      <c r="BJ2219">
        <v>0.2</v>
      </c>
      <c r="BK2219">
        <v>1</v>
      </c>
      <c r="BL2219">
        <v>71.69</v>
      </c>
      <c r="BM2219">
        <v>10.75</v>
      </c>
      <c r="BN2219">
        <v>82.44</v>
      </c>
      <c r="BO2219">
        <v>82.44</v>
      </c>
      <c r="BQ2219" t="s">
        <v>1417</v>
      </c>
      <c r="BR2219" t="s">
        <v>84</v>
      </c>
      <c r="BS2219" s="3">
        <v>45884</v>
      </c>
      <c r="BT2219" s="4">
        <v>0.45347222222222222</v>
      </c>
      <c r="BU2219" t="s">
        <v>886</v>
      </c>
      <c r="BV2219" t="s">
        <v>90</v>
      </c>
      <c r="BY2219">
        <v>1200</v>
      </c>
      <c r="CA2219" t="s">
        <v>1238</v>
      </c>
      <c r="CC2219" t="s">
        <v>124</v>
      </c>
      <c r="CD2219">
        <v>7480</v>
      </c>
      <c r="CE2219" t="s">
        <v>290</v>
      </c>
      <c r="CF2219" s="3">
        <v>45887</v>
      </c>
      <c r="CI2219">
        <v>1</v>
      </c>
      <c r="CJ2219">
        <v>1</v>
      </c>
      <c r="CK2219">
        <v>21</v>
      </c>
      <c r="CL2219" t="s">
        <v>90</v>
      </c>
    </row>
    <row r="2220" spans="1:90" x14ac:dyDescent="0.3">
      <c r="A2220" t="s">
        <v>72</v>
      </c>
      <c r="B2220" t="s">
        <v>73</v>
      </c>
      <c r="C2220" t="s">
        <v>74</v>
      </c>
      <c r="E2220" t="str">
        <f>"080067247861"</f>
        <v>080067247861</v>
      </c>
      <c r="F2220" s="3">
        <v>45883</v>
      </c>
      <c r="G2220">
        <v>202605</v>
      </c>
      <c r="H2220" t="s">
        <v>75</v>
      </c>
      <c r="I2220" t="s">
        <v>76</v>
      </c>
      <c r="J2220" t="s">
        <v>77</v>
      </c>
      <c r="K2220" t="s">
        <v>78</v>
      </c>
      <c r="L2220" t="s">
        <v>123</v>
      </c>
      <c r="M2220" t="s">
        <v>124</v>
      </c>
      <c r="N2220" t="s">
        <v>1001</v>
      </c>
      <c r="O2220" t="s">
        <v>82</v>
      </c>
      <c r="P2220" t="str">
        <f>"4170054923                    "</f>
        <v xml:space="preserve">4170054923                    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  <c r="AN2220">
        <v>0</v>
      </c>
      <c r="AO2220">
        <v>0</v>
      </c>
      <c r="AP2220">
        <v>0</v>
      </c>
      <c r="AQ2220">
        <v>23.09</v>
      </c>
      <c r="AR2220">
        <v>0</v>
      </c>
      <c r="AS2220">
        <v>0</v>
      </c>
      <c r="AT2220">
        <v>0</v>
      </c>
      <c r="AU2220">
        <v>0</v>
      </c>
      <c r="AV2220">
        <v>0</v>
      </c>
      <c r="AW2220">
        <v>0</v>
      </c>
      <c r="AX2220">
        <v>0</v>
      </c>
      <c r="AY2220">
        <v>0</v>
      </c>
      <c r="AZ2220">
        <v>0</v>
      </c>
      <c r="BA2220">
        <v>0</v>
      </c>
      <c r="BB2220">
        <v>0</v>
      </c>
      <c r="BC2220">
        <v>0</v>
      </c>
      <c r="BD2220">
        <v>0</v>
      </c>
      <c r="BE2220">
        <v>0</v>
      </c>
      <c r="BF2220">
        <v>0</v>
      </c>
      <c r="BG2220">
        <v>0</v>
      </c>
      <c r="BH2220">
        <v>1</v>
      </c>
      <c r="BI2220">
        <v>1</v>
      </c>
      <c r="BJ2220">
        <v>0.2</v>
      </c>
      <c r="BK2220">
        <v>1</v>
      </c>
      <c r="BL2220">
        <v>71.69</v>
      </c>
      <c r="BM2220">
        <v>10.75</v>
      </c>
      <c r="BN2220">
        <v>82.44</v>
      </c>
      <c r="BO2220">
        <v>82.44</v>
      </c>
      <c r="BQ2220" t="s">
        <v>1002</v>
      </c>
      <c r="BR2220" t="s">
        <v>84</v>
      </c>
      <c r="BS2220" s="3">
        <v>45884</v>
      </c>
      <c r="BT2220" s="4">
        <v>0.61319444444444449</v>
      </c>
      <c r="BU2220" t="s">
        <v>2737</v>
      </c>
      <c r="BV2220" t="s">
        <v>90</v>
      </c>
      <c r="BY2220">
        <v>1200</v>
      </c>
      <c r="CA2220" t="s">
        <v>1483</v>
      </c>
      <c r="CC2220" t="s">
        <v>124</v>
      </c>
      <c r="CD2220">
        <v>7945</v>
      </c>
      <c r="CE2220" t="s">
        <v>109</v>
      </c>
      <c r="CF2220" s="3">
        <v>45887</v>
      </c>
      <c r="CI2220">
        <v>1</v>
      </c>
      <c r="CJ2220">
        <v>1</v>
      </c>
      <c r="CK2220">
        <v>21</v>
      </c>
      <c r="CL2220" t="s">
        <v>90</v>
      </c>
    </row>
    <row r="2221" spans="1:90" x14ac:dyDescent="0.3">
      <c r="A2221" t="s">
        <v>72</v>
      </c>
      <c r="B2221" t="s">
        <v>73</v>
      </c>
      <c r="C2221" t="s">
        <v>74</v>
      </c>
      <c r="E2221" t="str">
        <f>"080067247876"</f>
        <v>080067247876</v>
      </c>
      <c r="F2221" s="3">
        <v>45883</v>
      </c>
      <c r="G2221">
        <v>202605</v>
      </c>
      <c r="H2221" t="s">
        <v>75</v>
      </c>
      <c r="I2221" t="s">
        <v>76</v>
      </c>
      <c r="J2221" t="s">
        <v>77</v>
      </c>
      <c r="K2221" t="s">
        <v>78</v>
      </c>
      <c r="L2221" t="s">
        <v>123</v>
      </c>
      <c r="M2221" t="s">
        <v>124</v>
      </c>
      <c r="N2221" t="s">
        <v>1001</v>
      </c>
      <c r="O2221" t="s">
        <v>82</v>
      </c>
      <c r="P2221" t="str">
        <f>"4170055038                    "</f>
        <v xml:space="preserve">4170055038                    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  <c r="AN2221">
        <v>0</v>
      </c>
      <c r="AO2221">
        <v>0</v>
      </c>
      <c r="AP2221">
        <v>0</v>
      </c>
      <c r="AQ2221">
        <v>23.09</v>
      </c>
      <c r="AR2221">
        <v>0</v>
      </c>
      <c r="AS2221">
        <v>0</v>
      </c>
      <c r="AT2221">
        <v>0</v>
      </c>
      <c r="AU2221">
        <v>0</v>
      </c>
      <c r="AV2221">
        <v>0</v>
      </c>
      <c r="AW2221">
        <v>0</v>
      </c>
      <c r="AX2221">
        <v>0</v>
      </c>
      <c r="AY2221">
        <v>0</v>
      </c>
      <c r="AZ2221">
        <v>0</v>
      </c>
      <c r="BA2221">
        <v>0</v>
      </c>
      <c r="BB2221">
        <v>0</v>
      </c>
      <c r="BC2221">
        <v>0</v>
      </c>
      <c r="BD2221">
        <v>0</v>
      </c>
      <c r="BE2221">
        <v>0</v>
      </c>
      <c r="BF2221">
        <v>0</v>
      </c>
      <c r="BG2221">
        <v>0</v>
      </c>
      <c r="BH2221">
        <v>1</v>
      </c>
      <c r="BI2221">
        <v>1</v>
      </c>
      <c r="BJ2221">
        <v>0.2</v>
      </c>
      <c r="BK2221">
        <v>1</v>
      </c>
      <c r="BL2221">
        <v>71.69</v>
      </c>
      <c r="BM2221">
        <v>10.75</v>
      </c>
      <c r="BN2221">
        <v>82.44</v>
      </c>
      <c r="BO2221">
        <v>82.44</v>
      </c>
      <c r="BQ2221" t="s">
        <v>1002</v>
      </c>
      <c r="BR2221" t="s">
        <v>84</v>
      </c>
      <c r="BS2221" s="3">
        <v>45884</v>
      </c>
      <c r="BT2221" s="4">
        <v>0.61319444444444449</v>
      </c>
      <c r="BU2221" t="s">
        <v>2737</v>
      </c>
      <c r="BV2221" t="s">
        <v>90</v>
      </c>
      <c r="BY2221">
        <v>1200</v>
      </c>
      <c r="CA2221" t="s">
        <v>1483</v>
      </c>
      <c r="CC2221" t="s">
        <v>124</v>
      </c>
      <c r="CD2221">
        <v>7945</v>
      </c>
      <c r="CE2221" t="s">
        <v>2730</v>
      </c>
      <c r="CF2221" s="3">
        <v>45887</v>
      </c>
      <c r="CI2221">
        <v>1</v>
      </c>
      <c r="CJ2221">
        <v>1</v>
      </c>
      <c r="CK2221">
        <v>21</v>
      </c>
      <c r="CL2221" t="s">
        <v>90</v>
      </c>
    </row>
    <row r="2222" spans="1:90" x14ac:dyDescent="0.3">
      <c r="A2222" t="s">
        <v>72</v>
      </c>
      <c r="B2222" t="s">
        <v>73</v>
      </c>
      <c r="C2222" t="s">
        <v>74</v>
      </c>
      <c r="E2222" t="str">
        <f>"080067247877"</f>
        <v>080067247877</v>
      </c>
      <c r="F2222" s="3">
        <v>45883</v>
      </c>
      <c r="G2222">
        <v>202605</v>
      </c>
      <c r="H2222" t="s">
        <v>75</v>
      </c>
      <c r="I2222" t="s">
        <v>76</v>
      </c>
      <c r="J2222" t="s">
        <v>77</v>
      </c>
      <c r="K2222" t="s">
        <v>78</v>
      </c>
      <c r="L2222" t="s">
        <v>520</v>
      </c>
      <c r="M2222" t="s">
        <v>521</v>
      </c>
      <c r="N2222" t="s">
        <v>522</v>
      </c>
      <c r="O2222" t="s">
        <v>82</v>
      </c>
      <c r="P2222" t="str">
        <f>"4170054909                    "</f>
        <v xml:space="preserve">4170054909                    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>
        <v>0</v>
      </c>
      <c r="AQ2222">
        <v>54.82</v>
      </c>
      <c r="AR2222">
        <v>0</v>
      </c>
      <c r="AS2222">
        <v>0</v>
      </c>
      <c r="AT2222">
        <v>0</v>
      </c>
      <c r="AU2222">
        <v>0</v>
      </c>
      <c r="AV2222">
        <v>0</v>
      </c>
      <c r="AW2222">
        <v>0</v>
      </c>
      <c r="AX2222">
        <v>0</v>
      </c>
      <c r="AY2222">
        <v>0</v>
      </c>
      <c r="AZ2222">
        <v>0</v>
      </c>
      <c r="BA2222">
        <v>0</v>
      </c>
      <c r="BB2222">
        <v>0</v>
      </c>
      <c r="BC2222">
        <v>0</v>
      </c>
      <c r="BD2222">
        <v>0</v>
      </c>
      <c r="BE2222">
        <v>0</v>
      </c>
      <c r="BF2222">
        <v>0</v>
      </c>
      <c r="BG2222">
        <v>0</v>
      </c>
      <c r="BH2222">
        <v>1</v>
      </c>
      <c r="BI2222">
        <v>1</v>
      </c>
      <c r="BJ2222">
        <v>2.4</v>
      </c>
      <c r="BK2222">
        <v>2.5</v>
      </c>
      <c r="BL2222">
        <v>170.24</v>
      </c>
      <c r="BM2222">
        <v>25.54</v>
      </c>
      <c r="BN2222">
        <v>195.78</v>
      </c>
      <c r="BO2222">
        <v>195.78</v>
      </c>
      <c r="BQ2222" t="s">
        <v>523</v>
      </c>
      <c r="BR2222" t="s">
        <v>84</v>
      </c>
      <c r="BS2222" s="3">
        <v>45884</v>
      </c>
      <c r="BT2222" s="4">
        <v>0.4375</v>
      </c>
      <c r="BU2222" t="s">
        <v>2695</v>
      </c>
      <c r="BV2222" t="s">
        <v>86</v>
      </c>
      <c r="BY2222">
        <v>12030</v>
      </c>
      <c r="CA2222" t="s">
        <v>525</v>
      </c>
      <c r="CC2222" t="s">
        <v>521</v>
      </c>
      <c r="CD2222">
        <v>1871</v>
      </c>
      <c r="CE2222" t="s">
        <v>290</v>
      </c>
      <c r="CF2222" s="3">
        <v>45887</v>
      </c>
      <c r="CI2222">
        <v>1</v>
      </c>
      <c r="CJ2222">
        <v>1</v>
      </c>
      <c r="CK2222">
        <v>23</v>
      </c>
      <c r="CL2222" t="s">
        <v>90</v>
      </c>
    </row>
    <row r="2223" spans="1:90" x14ac:dyDescent="0.3">
      <c r="A2223" t="s">
        <v>72</v>
      </c>
      <c r="B2223" t="s">
        <v>73</v>
      </c>
      <c r="C2223" t="s">
        <v>74</v>
      </c>
      <c r="E2223" t="str">
        <f>"080067247888"</f>
        <v>080067247888</v>
      </c>
      <c r="F2223" s="3">
        <v>45883</v>
      </c>
      <c r="G2223">
        <v>202605</v>
      </c>
      <c r="H2223" t="s">
        <v>75</v>
      </c>
      <c r="I2223" t="s">
        <v>76</v>
      </c>
      <c r="J2223" t="s">
        <v>77</v>
      </c>
      <c r="K2223" t="s">
        <v>78</v>
      </c>
      <c r="L2223" t="s">
        <v>198</v>
      </c>
      <c r="M2223" t="s">
        <v>199</v>
      </c>
      <c r="N2223" t="s">
        <v>667</v>
      </c>
      <c r="O2223" t="s">
        <v>82</v>
      </c>
      <c r="P2223" t="str">
        <f>"4170054927                    "</f>
        <v xml:space="preserve">4170054927                    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>
        <v>0</v>
      </c>
      <c r="AQ2223">
        <v>23.09</v>
      </c>
      <c r="AR2223">
        <v>0</v>
      </c>
      <c r="AS2223">
        <v>0</v>
      </c>
      <c r="AT2223">
        <v>0</v>
      </c>
      <c r="AU2223">
        <v>0</v>
      </c>
      <c r="AV2223">
        <v>0</v>
      </c>
      <c r="AW2223">
        <v>0</v>
      </c>
      <c r="AX2223">
        <v>0</v>
      </c>
      <c r="AY2223">
        <v>0</v>
      </c>
      <c r="AZ2223">
        <v>0</v>
      </c>
      <c r="BA2223">
        <v>0</v>
      </c>
      <c r="BB2223">
        <v>0</v>
      </c>
      <c r="BC2223">
        <v>0</v>
      </c>
      <c r="BD2223">
        <v>0</v>
      </c>
      <c r="BE2223">
        <v>0</v>
      </c>
      <c r="BF2223">
        <v>0</v>
      </c>
      <c r="BG2223">
        <v>0</v>
      </c>
      <c r="BH2223">
        <v>1</v>
      </c>
      <c r="BI2223">
        <v>1</v>
      </c>
      <c r="BJ2223">
        <v>0.2</v>
      </c>
      <c r="BK2223">
        <v>1</v>
      </c>
      <c r="BL2223">
        <v>71.69</v>
      </c>
      <c r="BM2223">
        <v>10.75</v>
      </c>
      <c r="BN2223">
        <v>82.44</v>
      </c>
      <c r="BO2223">
        <v>82.44</v>
      </c>
      <c r="BQ2223" t="s">
        <v>668</v>
      </c>
      <c r="BR2223" t="s">
        <v>84</v>
      </c>
      <c r="BS2223" s="3">
        <v>45884</v>
      </c>
      <c r="BT2223" s="4">
        <v>0.61597222222222225</v>
      </c>
      <c r="BU2223" t="s">
        <v>2738</v>
      </c>
      <c r="BV2223" t="s">
        <v>90</v>
      </c>
      <c r="BY2223">
        <v>1200</v>
      </c>
      <c r="CC2223" t="s">
        <v>199</v>
      </c>
      <c r="CD2223">
        <v>6001</v>
      </c>
      <c r="CE2223" t="s">
        <v>109</v>
      </c>
      <c r="CF2223" s="3">
        <v>45884</v>
      </c>
      <c r="CI2223">
        <v>1</v>
      </c>
      <c r="CJ2223">
        <v>1</v>
      </c>
      <c r="CK2223">
        <v>21</v>
      </c>
      <c r="CL2223" t="s">
        <v>90</v>
      </c>
    </row>
    <row r="2224" spans="1:90" x14ac:dyDescent="0.3">
      <c r="A2224" t="s">
        <v>72</v>
      </c>
      <c r="B2224" t="s">
        <v>73</v>
      </c>
      <c r="C2224" t="s">
        <v>74</v>
      </c>
      <c r="E2224" t="str">
        <f>"080067247892"</f>
        <v>080067247892</v>
      </c>
      <c r="F2224" s="3">
        <v>45883</v>
      </c>
      <c r="G2224">
        <v>202605</v>
      </c>
      <c r="H2224" t="s">
        <v>75</v>
      </c>
      <c r="I2224" t="s">
        <v>76</v>
      </c>
      <c r="J2224" t="s">
        <v>77</v>
      </c>
      <c r="K2224" t="s">
        <v>78</v>
      </c>
      <c r="L2224" t="s">
        <v>217</v>
      </c>
      <c r="M2224" t="s">
        <v>218</v>
      </c>
      <c r="N2224" t="s">
        <v>1956</v>
      </c>
      <c r="O2224" t="s">
        <v>82</v>
      </c>
      <c r="P2224" t="str">
        <f>"4170054955                    "</f>
        <v xml:space="preserve">4170054955                    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N2224">
        <v>0</v>
      </c>
      <c r="AO2224">
        <v>0</v>
      </c>
      <c r="AP2224">
        <v>0</v>
      </c>
      <c r="AQ2224">
        <v>23.09</v>
      </c>
      <c r="AR2224">
        <v>0</v>
      </c>
      <c r="AS2224">
        <v>0</v>
      </c>
      <c r="AT2224">
        <v>0</v>
      </c>
      <c r="AU2224">
        <v>0</v>
      </c>
      <c r="AV2224">
        <v>0</v>
      </c>
      <c r="AW2224">
        <v>0</v>
      </c>
      <c r="AX2224">
        <v>0</v>
      </c>
      <c r="AY2224">
        <v>0</v>
      </c>
      <c r="AZ2224">
        <v>0</v>
      </c>
      <c r="BA2224">
        <v>0</v>
      </c>
      <c r="BB2224">
        <v>0</v>
      </c>
      <c r="BC2224">
        <v>0</v>
      </c>
      <c r="BD2224">
        <v>0</v>
      </c>
      <c r="BE2224">
        <v>0</v>
      </c>
      <c r="BF2224">
        <v>0</v>
      </c>
      <c r="BG2224">
        <v>0</v>
      </c>
      <c r="BH2224">
        <v>1</v>
      </c>
      <c r="BI2224">
        <v>1</v>
      </c>
      <c r="BJ2224">
        <v>0.2</v>
      </c>
      <c r="BK2224">
        <v>1</v>
      </c>
      <c r="BL2224">
        <v>71.69</v>
      </c>
      <c r="BM2224">
        <v>10.75</v>
      </c>
      <c r="BN2224">
        <v>82.44</v>
      </c>
      <c r="BO2224">
        <v>82.44</v>
      </c>
      <c r="BQ2224" t="s">
        <v>1957</v>
      </c>
      <c r="BR2224" t="s">
        <v>84</v>
      </c>
      <c r="BS2224" s="3">
        <v>45884</v>
      </c>
      <c r="BT2224" s="4">
        <v>0.3576388888888889</v>
      </c>
      <c r="BU2224" t="s">
        <v>2739</v>
      </c>
      <c r="BV2224" t="s">
        <v>86</v>
      </c>
      <c r="BY2224">
        <v>1200</v>
      </c>
      <c r="CA2224" t="s">
        <v>136</v>
      </c>
      <c r="CC2224" t="s">
        <v>218</v>
      </c>
      <c r="CD2224">
        <v>4052</v>
      </c>
      <c r="CE2224" t="s">
        <v>109</v>
      </c>
      <c r="CF2224" s="3">
        <v>45885</v>
      </c>
      <c r="CI2224">
        <v>1</v>
      </c>
      <c r="CJ2224">
        <v>1</v>
      </c>
      <c r="CK2224">
        <v>21</v>
      </c>
      <c r="CL2224" t="s">
        <v>90</v>
      </c>
    </row>
    <row r="2225" spans="1:90" x14ac:dyDescent="0.3">
      <c r="A2225" t="s">
        <v>72</v>
      </c>
      <c r="B2225" t="s">
        <v>73</v>
      </c>
      <c r="C2225" t="s">
        <v>74</v>
      </c>
      <c r="E2225" t="str">
        <f>"080067247903"</f>
        <v>080067247903</v>
      </c>
      <c r="F2225" s="3">
        <v>45883</v>
      </c>
      <c r="G2225">
        <v>202605</v>
      </c>
      <c r="H2225" t="s">
        <v>75</v>
      </c>
      <c r="I2225" t="s">
        <v>76</v>
      </c>
      <c r="J2225" t="s">
        <v>77</v>
      </c>
      <c r="K2225" t="s">
        <v>78</v>
      </c>
      <c r="L2225" t="s">
        <v>234</v>
      </c>
      <c r="M2225" t="s">
        <v>235</v>
      </c>
      <c r="N2225" t="s">
        <v>236</v>
      </c>
      <c r="O2225" t="s">
        <v>82</v>
      </c>
      <c r="P2225" t="str">
        <f>"4170054901                    "</f>
        <v xml:space="preserve">4170054901                    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0</v>
      </c>
      <c r="AI2225">
        <v>0</v>
      </c>
      <c r="AJ2225">
        <v>0</v>
      </c>
      <c r="AK2225">
        <v>0</v>
      </c>
      <c r="AL2225">
        <v>0</v>
      </c>
      <c r="AM2225">
        <v>0</v>
      </c>
      <c r="AN2225">
        <v>0</v>
      </c>
      <c r="AO2225">
        <v>0</v>
      </c>
      <c r="AP2225">
        <v>0</v>
      </c>
      <c r="AQ2225">
        <v>23.09</v>
      </c>
      <c r="AR2225">
        <v>0</v>
      </c>
      <c r="AS2225">
        <v>0</v>
      </c>
      <c r="AT2225">
        <v>0</v>
      </c>
      <c r="AU2225">
        <v>0</v>
      </c>
      <c r="AV2225">
        <v>0</v>
      </c>
      <c r="AW2225">
        <v>0</v>
      </c>
      <c r="AX2225">
        <v>0</v>
      </c>
      <c r="AY2225">
        <v>0</v>
      </c>
      <c r="AZ2225">
        <v>0</v>
      </c>
      <c r="BA2225">
        <v>0</v>
      </c>
      <c r="BB2225">
        <v>0</v>
      </c>
      <c r="BC2225">
        <v>0</v>
      </c>
      <c r="BD2225">
        <v>0</v>
      </c>
      <c r="BE2225">
        <v>0</v>
      </c>
      <c r="BF2225">
        <v>0</v>
      </c>
      <c r="BG2225">
        <v>0</v>
      </c>
      <c r="BH2225">
        <v>1</v>
      </c>
      <c r="BI2225">
        <v>1</v>
      </c>
      <c r="BJ2225">
        <v>0.2</v>
      </c>
      <c r="BK2225">
        <v>1</v>
      </c>
      <c r="BL2225">
        <v>71.69</v>
      </c>
      <c r="BM2225">
        <v>10.75</v>
      </c>
      <c r="BN2225">
        <v>82.44</v>
      </c>
      <c r="BO2225">
        <v>82.44</v>
      </c>
      <c r="BQ2225" t="s">
        <v>237</v>
      </c>
      <c r="BR2225" t="s">
        <v>84</v>
      </c>
      <c r="BS2225" s="3">
        <v>45884</v>
      </c>
      <c r="BT2225" s="4">
        <v>0.38124999999999998</v>
      </c>
      <c r="BU2225" t="s">
        <v>650</v>
      </c>
      <c r="BV2225" t="s">
        <v>86</v>
      </c>
      <c r="BY2225">
        <v>1200</v>
      </c>
      <c r="CA2225" t="s">
        <v>239</v>
      </c>
      <c r="CC2225" t="s">
        <v>235</v>
      </c>
      <c r="CD2225" s="5" t="s">
        <v>240</v>
      </c>
      <c r="CE2225" t="s">
        <v>109</v>
      </c>
      <c r="CF2225" s="3">
        <v>45884</v>
      </c>
      <c r="CI2225">
        <v>1</v>
      </c>
      <c r="CJ2225">
        <v>1</v>
      </c>
      <c r="CK2225">
        <v>21</v>
      </c>
      <c r="CL2225" t="s">
        <v>90</v>
      </c>
    </row>
    <row r="2226" spans="1:90" x14ac:dyDescent="0.3">
      <c r="A2226" t="s">
        <v>72</v>
      </c>
      <c r="B2226" t="s">
        <v>73</v>
      </c>
      <c r="C2226" t="s">
        <v>74</v>
      </c>
      <c r="E2226" t="str">
        <f>"080067247911"</f>
        <v>080067247911</v>
      </c>
      <c r="F2226" s="3">
        <v>45883</v>
      </c>
      <c r="G2226">
        <v>202605</v>
      </c>
      <c r="H2226" t="s">
        <v>75</v>
      </c>
      <c r="I2226" t="s">
        <v>76</v>
      </c>
      <c r="J2226" t="s">
        <v>77</v>
      </c>
      <c r="K2226" t="s">
        <v>78</v>
      </c>
      <c r="L2226" t="s">
        <v>198</v>
      </c>
      <c r="M2226" t="s">
        <v>199</v>
      </c>
      <c r="N2226" t="s">
        <v>1933</v>
      </c>
      <c r="O2226" t="s">
        <v>82</v>
      </c>
      <c r="P2226" t="str">
        <f>"4170054850                    "</f>
        <v xml:space="preserve">4170054850                    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  <c r="AN2226">
        <v>0</v>
      </c>
      <c r="AO2226">
        <v>0</v>
      </c>
      <c r="AP2226">
        <v>0</v>
      </c>
      <c r="AQ2226">
        <v>23.09</v>
      </c>
      <c r="AR2226">
        <v>0</v>
      </c>
      <c r="AS2226">
        <v>0</v>
      </c>
      <c r="AT2226">
        <v>0</v>
      </c>
      <c r="AU2226">
        <v>0</v>
      </c>
      <c r="AV2226">
        <v>0</v>
      </c>
      <c r="AW2226">
        <v>0</v>
      </c>
      <c r="AX2226">
        <v>0</v>
      </c>
      <c r="AY2226">
        <v>0</v>
      </c>
      <c r="AZ2226">
        <v>0</v>
      </c>
      <c r="BA2226">
        <v>0</v>
      </c>
      <c r="BB2226">
        <v>0</v>
      </c>
      <c r="BC2226">
        <v>0</v>
      </c>
      <c r="BD2226">
        <v>0</v>
      </c>
      <c r="BE2226">
        <v>0</v>
      </c>
      <c r="BF2226">
        <v>0</v>
      </c>
      <c r="BG2226">
        <v>0</v>
      </c>
      <c r="BH2226">
        <v>1</v>
      </c>
      <c r="BI2226">
        <v>1</v>
      </c>
      <c r="BJ2226">
        <v>0.2</v>
      </c>
      <c r="BK2226">
        <v>1</v>
      </c>
      <c r="BL2226">
        <v>71.69</v>
      </c>
      <c r="BM2226">
        <v>10.75</v>
      </c>
      <c r="BN2226">
        <v>82.44</v>
      </c>
      <c r="BO2226">
        <v>82.44</v>
      </c>
      <c r="BQ2226" t="s">
        <v>1934</v>
      </c>
      <c r="BR2226" t="s">
        <v>84</v>
      </c>
      <c r="BS2226" s="3">
        <v>45884</v>
      </c>
      <c r="BT2226" s="4">
        <v>0.3840277777777778</v>
      </c>
      <c r="BU2226" t="s">
        <v>2488</v>
      </c>
      <c r="BV2226" t="s">
        <v>86</v>
      </c>
      <c r="BY2226">
        <v>1200</v>
      </c>
      <c r="CA2226" t="s">
        <v>1570</v>
      </c>
      <c r="CC2226" t="s">
        <v>199</v>
      </c>
      <c r="CD2226">
        <v>6001</v>
      </c>
      <c r="CE2226" t="s">
        <v>2740</v>
      </c>
      <c r="CF2226" s="3">
        <v>45884</v>
      </c>
      <c r="CI2226">
        <v>1</v>
      </c>
      <c r="CJ2226">
        <v>1</v>
      </c>
      <c r="CK2226">
        <v>21</v>
      </c>
      <c r="CL2226" t="s">
        <v>90</v>
      </c>
    </row>
    <row r="2227" spans="1:90" x14ac:dyDescent="0.3">
      <c r="A2227" t="s">
        <v>72</v>
      </c>
      <c r="B2227" t="s">
        <v>73</v>
      </c>
      <c r="C2227" t="s">
        <v>74</v>
      </c>
      <c r="E2227" t="str">
        <f>"080067247942"</f>
        <v>080067247942</v>
      </c>
      <c r="F2227" s="3">
        <v>45883</v>
      </c>
      <c r="G2227">
        <v>202605</v>
      </c>
      <c r="H2227" t="s">
        <v>75</v>
      </c>
      <c r="I2227" t="s">
        <v>76</v>
      </c>
      <c r="J2227" t="s">
        <v>77</v>
      </c>
      <c r="K2227" t="s">
        <v>78</v>
      </c>
      <c r="L2227" t="s">
        <v>278</v>
      </c>
      <c r="M2227" t="s">
        <v>279</v>
      </c>
      <c r="N2227" t="s">
        <v>880</v>
      </c>
      <c r="O2227" t="s">
        <v>82</v>
      </c>
      <c r="P2227" t="str">
        <f>"4170054878                    "</f>
        <v xml:space="preserve">4170054878                    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N2227">
        <v>0</v>
      </c>
      <c r="AO2227">
        <v>0</v>
      </c>
      <c r="AP2227">
        <v>0</v>
      </c>
      <c r="AQ2227">
        <v>23.09</v>
      </c>
      <c r="AR2227">
        <v>0</v>
      </c>
      <c r="AS2227">
        <v>0</v>
      </c>
      <c r="AT2227">
        <v>0</v>
      </c>
      <c r="AU2227">
        <v>0</v>
      </c>
      <c r="AV2227">
        <v>0</v>
      </c>
      <c r="AW2227">
        <v>0</v>
      </c>
      <c r="AX2227">
        <v>0</v>
      </c>
      <c r="AY2227">
        <v>0</v>
      </c>
      <c r="AZ2227">
        <v>0</v>
      </c>
      <c r="BA2227">
        <v>0</v>
      </c>
      <c r="BB2227">
        <v>0</v>
      </c>
      <c r="BC2227">
        <v>0</v>
      </c>
      <c r="BD2227">
        <v>0</v>
      </c>
      <c r="BE2227">
        <v>0</v>
      </c>
      <c r="BF2227">
        <v>0</v>
      </c>
      <c r="BG2227">
        <v>0</v>
      </c>
      <c r="BH2227">
        <v>1</v>
      </c>
      <c r="BI2227">
        <v>1</v>
      </c>
      <c r="BJ2227">
        <v>0.2</v>
      </c>
      <c r="BK2227">
        <v>1</v>
      </c>
      <c r="BL2227">
        <v>71.69</v>
      </c>
      <c r="BM2227">
        <v>10.75</v>
      </c>
      <c r="BN2227">
        <v>82.44</v>
      </c>
      <c r="BO2227">
        <v>82.44</v>
      </c>
      <c r="BQ2227" t="s">
        <v>881</v>
      </c>
      <c r="BR2227" t="s">
        <v>84</v>
      </c>
      <c r="BS2227" s="3">
        <v>45884</v>
      </c>
      <c r="BT2227" s="4">
        <v>0.3263888888888889</v>
      </c>
      <c r="BU2227" t="s">
        <v>2614</v>
      </c>
      <c r="BV2227" t="s">
        <v>86</v>
      </c>
      <c r="BY2227">
        <v>1200</v>
      </c>
      <c r="CA2227" t="s">
        <v>2615</v>
      </c>
      <c r="CC2227" t="s">
        <v>279</v>
      </c>
      <c r="CD2227" s="5" t="s">
        <v>883</v>
      </c>
      <c r="CE2227" t="s">
        <v>109</v>
      </c>
      <c r="CF2227" s="3">
        <v>45884</v>
      </c>
      <c r="CI2227">
        <v>1</v>
      </c>
      <c r="CJ2227">
        <v>1</v>
      </c>
      <c r="CK2227">
        <v>21</v>
      </c>
      <c r="CL2227" t="s">
        <v>90</v>
      </c>
    </row>
    <row r="2228" spans="1:90" x14ac:dyDescent="0.3">
      <c r="A2228" t="s">
        <v>72</v>
      </c>
      <c r="B2228" t="s">
        <v>73</v>
      </c>
      <c r="C2228" t="s">
        <v>74</v>
      </c>
      <c r="E2228" t="str">
        <f>"080067247955"</f>
        <v>080067247955</v>
      </c>
      <c r="F2228" s="3">
        <v>45883</v>
      </c>
      <c r="G2228">
        <v>202605</v>
      </c>
      <c r="H2228" t="s">
        <v>75</v>
      </c>
      <c r="I2228" t="s">
        <v>76</v>
      </c>
      <c r="J2228" t="s">
        <v>77</v>
      </c>
      <c r="K2228" t="s">
        <v>78</v>
      </c>
      <c r="L2228" t="s">
        <v>278</v>
      </c>
      <c r="M2228" t="s">
        <v>279</v>
      </c>
      <c r="N2228" t="s">
        <v>2741</v>
      </c>
      <c r="O2228" t="s">
        <v>82</v>
      </c>
      <c r="P2228" t="str">
        <f>"4170054043                    "</f>
        <v xml:space="preserve">4170054043                    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0</v>
      </c>
      <c r="AI2228">
        <v>0</v>
      </c>
      <c r="AJ2228">
        <v>0</v>
      </c>
      <c r="AK2228">
        <v>0</v>
      </c>
      <c r="AL2228">
        <v>0</v>
      </c>
      <c r="AM2228">
        <v>0</v>
      </c>
      <c r="AN2228">
        <v>0</v>
      </c>
      <c r="AO2228">
        <v>0</v>
      </c>
      <c r="AP2228">
        <v>0</v>
      </c>
      <c r="AQ2228">
        <v>23.09</v>
      </c>
      <c r="AR2228">
        <v>0</v>
      </c>
      <c r="AS2228">
        <v>0</v>
      </c>
      <c r="AT2228">
        <v>0</v>
      </c>
      <c r="AU2228">
        <v>0</v>
      </c>
      <c r="AV2228">
        <v>0</v>
      </c>
      <c r="AW2228">
        <v>0</v>
      </c>
      <c r="AX2228">
        <v>0</v>
      </c>
      <c r="AY2228">
        <v>0</v>
      </c>
      <c r="AZ2228">
        <v>0</v>
      </c>
      <c r="BA2228">
        <v>0</v>
      </c>
      <c r="BB2228">
        <v>0</v>
      </c>
      <c r="BC2228">
        <v>0</v>
      </c>
      <c r="BD2228">
        <v>0</v>
      </c>
      <c r="BE2228">
        <v>0</v>
      </c>
      <c r="BF2228">
        <v>0</v>
      </c>
      <c r="BG2228">
        <v>0</v>
      </c>
      <c r="BH2228">
        <v>1</v>
      </c>
      <c r="BI2228">
        <v>1</v>
      </c>
      <c r="BJ2228">
        <v>0.2</v>
      </c>
      <c r="BK2228">
        <v>1</v>
      </c>
      <c r="BL2228">
        <v>71.69</v>
      </c>
      <c r="BM2228">
        <v>10.75</v>
      </c>
      <c r="BN2228">
        <v>82.44</v>
      </c>
      <c r="BO2228">
        <v>82.44</v>
      </c>
      <c r="BQ2228" t="s">
        <v>2742</v>
      </c>
      <c r="BR2228" t="s">
        <v>84</v>
      </c>
      <c r="BS2228" s="3">
        <v>45884</v>
      </c>
      <c r="BT2228" s="4">
        <v>0.5</v>
      </c>
      <c r="BU2228" t="s">
        <v>1680</v>
      </c>
      <c r="BV2228" t="s">
        <v>86</v>
      </c>
      <c r="BY2228">
        <v>1200</v>
      </c>
      <c r="CA2228" t="s">
        <v>2743</v>
      </c>
      <c r="CC2228" t="s">
        <v>279</v>
      </c>
      <c r="CD2228" s="5" t="s">
        <v>2744</v>
      </c>
      <c r="CE2228" t="s">
        <v>109</v>
      </c>
      <c r="CF2228" s="3">
        <v>45887</v>
      </c>
      <c r="CI2228">
        <v>1</v>
      </c>
      <c r="CJ2228">
        <v>1</v>
      </c>
      <c r="CK2228">
        <v>21</v>
      </c>
      <c r="CL2228" t="s">
        <v>90</v>
      </c>
    </row>
    <row r="2229" spans="1:90" x14ac:dyDescent="0.3">
      <c r="A2229" t="s">
        <v>72</v>
      </c>
      <c r="B2229" t="s">
        <v>73</v>
      </c>
      <c r="C2229" t="s">
        <v>74</v>
      </c>
      <c r="E2229" t="str">
        <f>"080067247961"</f>
        <v>080067247961</v>
      </c>
      <c r="F2229" s="3">
        <v>45883</v>
      </c>
      <c r="G2229">
        <v>202605</v>
      </c>
      <c r="H2229" t="s">
        <v>75</v>
      </c>
      <c r="I2229" t="s">
        <v>76</v>
      </c>
      <c r="J2229" t="s">
        <v>77</v>
      </c>
      <c r="K2229" t="s">
        <v>78</v>
      </c>
      <c r="L2229" t="s">
        <v>234</v>
      </c>
      <c r="M2229" t="s">
        <v>235</v>
      </c>
      <c r="N2229" t="s">
        <v>236</v>
      </c>
      <c r="O2229" t="s">
        <v>82</v>
      </c>
      <c r="P2229" t="str">
        <f>"4170054900                    "</f>
        <v xml:space="preserve">4170054900                    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0</v>
      </c>
      <c r="AI2229">
        <v>0</v>
      </c>
      <c r="AJ2229">
        <v>0</v>
      </c>
      <c r="AK2229">
        <v>0</v>
      </c>
      <c r="AL2229">
        <v>0</v>
      </c>
      <c r="AM2229">
        <v>0</v>
      </c>
      <c r="AN2229">
        <v>0</v>
      </c>
      <c r="AO2229">
        <v>0</v>
      </c>
      <c r="AP2229">
        <v>0</v>
      </c>
      <c r="AQ2229">
        <v>23.09</v>
      </c>
      <c r="AR2229">
        <v>0</v>
      </c>
      <c r="AS2229">
        <v>0</v>
      </c>
      <c r="AT2229">
        <v>0</v>
      </c>
      <c r="AU2229">
        <v>0</v>
      </c>
      <c r="AV2229">
        <v>0</v>
      </c>
      <c r="AW2229">
        <v>0</v>
      </c>
      <c r="AX2229">
        <v>0</v>
      </c>
      <c r="AY2229">
        <v>0</v>
      </c>
      <c r="AZ2229">
        <v>0</v>
      </c>
      <c r="BA2229">
        <v>0</v>
      </c>
      <c r="BB2229">
        <v>0</v>
      </c>
      <c r="BC2229">
        <v>0</v>
      </c>
      <c r="BD2229">
        <v>0</v>
      </c>
      <c r="BE2229">
        <v>0</v>
      </c>
      <c r="BF2229">
        <v>0</v>
      </c>
      <c r="BG2229">
        <v>0</v>
      </c>
      <c r="BH2229">
        <v>1</v>
      </c>
      <c r="BI2229">
        <v>1</v>
      </c>
      <c r="BJ2229">
        <v>0.2</v>
      </c>
      <c r="BK2229">
        <v>1</v>
      </c>
      <c r="BL2229">
        <v>71.69</v>
      </c>
      <c r="BM2229">
        <v>10.75</v>
      </c>
      <c r="BN2229">
        <v>82.44</v>
      </c>
      <c r="BO2229">
        <v>82.44</v>
      </c>
      <c r="BQ2229" t="s">
        <v>237</v>
      </c>
      <c r="BR2229" t="s">
        <v>84</v>
      </c>
      <c r="BS2229" s="3">
        <v>45884</v>
      </c>
      <c r="BT2229" s="4">
        <v>0.38194444444444442</v>
      </c>
      <c r="BU2229" t="s">
        <v>650</v>
      </c>
      <c r="BV2229" t="s">
        <v>86</v>
      </c>
      <c r="BY2229">
        <v>1200</v>
      </c>
      <c r="CA2229" t="s">
        <v>239</v>
      </c>
      <c r="CC2229" t="s">
        <v>235</v>
      </c>
      <c r="CD2229" s="5" t="s">
        <v>240</v>
      </c>
      <c r="CE2229" t="s">
        <v>109</v>
      </c>
      <c r="CF2229" s="3">
        <v>45884</v>
      </c>
      <c r="CI2229">
        <v>1</v>
      </c>
      <c r="CJ2229">
        <v>1</v>
      </c>
      <c r="CK2229">
        <v>21</v>
      </c>
      <c r="CL2229" t="s">
        <v>90</v>
      </c>
    </row>
    <row r="2230" spans="1:90" x14ac:dyDescent="0.3">
      <c r="A2230" t="s">
        <v>72</v>
      </c>
      <c r="B2230" t="s">
        <v>73</v>
      </c>
      <c r="C2230" t="s">
        <v>74</v>
      </c>
      <c r="E2230" t="str">
        <f>"080067248003"</f>
        <v>080067248003</v>
      </c>
      <c r="F2230" s="3">
        <v>45883</v>
      </c>
      <c r="G2230">
        <v>202605</v>
      </c>
      <c r="H2230" t="s">
        <v>75</v>
      </c>
      <c r="I2230" t="s">
        <v>76</v>
      </c>
      <c r="J2230" t="s">
        <v>77</v>
      </c>
      <c r="K2230" t="s">
        <v>78</v>
      </c>
      <c r="L2230" t="s">
        <v>179</v>
      </c>
      <c r="M2230" t="s">
        <v>180</v>
      </c>
      <c r="N2230" t="s">
        <v>1361</v>
      </c>
      <c r="O2230" t="s">
        <v>82</v>
      </c>
      <c r="P2230" t="str">
        <f>"4170054903                    "</f>
        <v xml:space="preserve">4170054903                    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0</v>
      </c>
      <c r="AQ2230">
        <v>32.47</v>
      </c>
      <c r="AR2230">
        <v>0</v>
      </c>
      <c r="AS2230">
        <v>0</v>
      </c>
      <c r="AT2230">
        <v>0</v>
      </c>
      <c r="AU2230">
        <v>0</v>
      </c>
      <c r="AV2230">
        <v>0</v>
      </c>
      <c r="AW2230">
        <v>0</v>
      </c>
      <c r="AX2230">
        <v>0</v>
      </c>
      <c r="AY2230">
        <v>0</v>
      </c>
      <c r="AZ2230">
        <v>0</v>
      </c>
      <c r="BA2230">
        <v>0</v>
      </c>
      <c r="BB2230">
        <v>0</v>
      </c>
      <c r="BC2230">
        <v>0</v>
      </c>
      <c r="BD2230">
        <v>0</v>
      </c>
      <c r="BE2230">
        <v>0</v>
      </c>
      <c r="BF2230">
        <v>0</v>
      </c>
      <c r="BG2230">
        <v>0</v>
      </c>
      <c r="BH2230">
        <v>1</v>
      </c>
      <c r="BI2230">
        <v>1</v>
      </c>
      <c r="BJ2230">
        <v>0.2</v>
      </c>
      <c r="BK2230">
        <v>1</v>
      </c>
      <c r="BL2230">
        <v>100.82</v>
      </c>
      <c r="BM2230">
        <v>15.12</v>
      </c>
      <c r="BN2230">
        <v>115.94</v>
      </c>
      <c r="BO2230">
        <v>115.94</v>
      </c>
      <c r="BQ2230" t="s">
        <v>1362</v>
      </c>
      <c r="BR2230" t="s">
        <v>84</v>
      </c>
      <c r="BS2230" s="3">
        <v>45884</v>
      </c>
      <c r="BT2230" s="4">
        <v>0.31527777777777777</v>
      </c>
      <c r="BU2230" t="s">
        <v>2745</v>
      </c>
      <c r="BV2230" t="s">
        <v>86</v>
      </c>
      <c r="BY2230">
        <v>1200</v>
      </c>
      <c r="CA2230" t="s">
        <v>2551</v>
      </c>
      <c r="CC2230" t="s">
        <v>180</v>
      </c>
      <c r="CD2230">
        <v>1754</v>
      </c>
      <c r="CE2230" t="s">
        <v>109</v>
      </c>
      <c r="CF2230" s="3">
        <v>45885</v>
      </c>
      <c r="CI2230">
        <v>1</v>
      </c>
      <c r="CJ2230">
        <v>1</v>
      </c>
      <c r="CK2230">
        <v>24</v>
      </c>
      <c r="CL2230" t="s">
        <v>90</v>
      </c>
    </row>
    <row r="2231" spans="1:90" x14ac:dyDescent="0.3">
      <c r="A2231" t="s">
        <v>72</v>
      </c>
      <c r="B2231" t="s">
        <v>73</v>
      </c>
      <c r="C2231" t="s">
        <v>74</v>
      </c>
      <c r="E2231" t="str">
        <f>"080067248005"</f>
        <v>080067248005</v>
      </c>
      <c r="F2231" s="3">
        <v>45883</v>
      </c>
      <c r="G2231">
        <v>202605</v>
      </c>
      <c r="H2231" t="s">
        <v>75</v>
      </c>
      <c r="I2231" t="s">
        <v>76</v>
      </c>
      <c r="J2231" t="s">
        <v>77</v>
      </c>
      <c r="K2231" t="s">
        <v>78</v>
      </c>
      <c r="L2231" t="s">
        <v>75</v>
      </c>
      <c r="M2231" t="s">
        <v>76</v>
      </c>
      <c r="N2231" t="s">
        <v>537</v>
      </c>
      <c r="O2231" t="s">
        <v>82</v>
      </c>
      <c r="P2231" t="str">
        <f>"4170054920                    "</f>
        <v xml:space="preserve">4170054920                    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0</v>
      </c>
      <c r="AI2231">
        <v>0</v>
      </c>
      <c r="AJ2231">
        <v>0</v>
      </c>
      <c r="AK2231">
        <v>0</v>
      </c>
      <c r="AL2231">
        <v>0</v>
      </c>
      <c r="AM2231">
        <v>0</v>
      </c>
      <c r="AN2231">
        <v>0</v>
      </c>
      <c r="AO2231">
        <v>0</v>
      </c>
      <c r="AP2231">
        <v>0</v>
      </c>
      <c r="AQ2231">
        <v>18.03</v>
      </c>
      <c r="AR2231">
        <v>0</v>
      </c>
      <c r="AS2231">
        <v>0</v>
      </c>
      <c r="AT2231">
        <v>0</v>
      </c>
      <c r="AU2231">
        <v>0</v>
      </c>
      <c r="AV2231">
        <v>0</v>
      </c>
      <c r="AW2231">
        <v>0</v>
      </c>
      <c r="AX2231">
        <v>0</v>
      </c>
      <c r="AY2231">
        <v>0</v>
      </c>
      <c r="AZ2231">
        <v>0</v>
      </c>
      <c r="BA2231">
        <v>0</v>
      </c>
      <c r="BB2231">
        <v>0</v>
      </c>
      <c r="BC2231">
        <v>0</v>
      </c>
      <c r="BD2231">
        <v>0</v>
      </c>
      <c r="BE2231">
        <v>0</v>
      </c>
      <c r="BF2231">
        <v>0</v>
      </c>
      <c r="BG2231">
        <v>0</v>
      </c>
      <c r="BH2231">
        <v>1</v>
      </c>
      <c r="BI2231">
        <v>1</v>
      </c>
      <c r="BJ2231">
        <v>0.2</v>
      </c>
      <c r="BK2231">
        <v>1</v>
      </c>
      <c r="BL2231">
        <v>55.99</v>
      </c>
      <c r="BM2231">
        <v>8.4</v>
      </c>
      <c r="BN2231">
        <v>64.39</v>
      </c>
      <c r="BO2231">
        <v>64.39</v>
      </c>
      <c r="BQ2231" t="s">
        <v>538</v>
      </c>
      <c r="BR2231" t="s">
        <v>84</v>
      </c>
      <c r="BS2231" s="3">
        <v>45884</v>
      </c>
      <c r="BT2231" s="4">
        <v>0.39583333333333331</v>
      </c>
      <c r="BU2231" t="s">
        <v>1747</v>
      </c>
      <c r="BV2231" t="s">
        <v>86</v>
      </c>
      <c r="BY2231">
        <v>1200</v>
      </c>
      <c r="CA2231" t="s">
        <v>739</v>
      </c>
      <c r="CC2231" t="s">
        <v>76</v>
      </c>
      <c r="CD2231">
        <v>1619</v>
      </c>
      <c r="CE2231" t="s">
        <v>109</v>
      </c>
      <c r="CF2231" s="3">
        <v>45884</v>
      </c>
      <c r="CI2231">
        <v>1</v>
      </c>
      <c r="CJ2231">
        <v>1</v>
      </c>
      <c r="CK2231">
        <v>22</v>
      </c>
      <c r="CL2231" t="s">
        <v>90</v>
      </c>
    </row>
    <row r="2232" spans="1:90" x14ac:dyDescent="0.3">
      <c r="A2232" t="s">
        <v>72</v>
      </c>
      <c r="B2232" t="s">
        <v>73</v>
      </c>
      <c r="C2232" t="s">
        <v>74</v>
      </c>
      <c r="E2232" t="str">
        <f>"080067248021"</f>
        <v>080067248021</v>
      </c>
      <c r="F2232" s="3">
        <v>45883</v>
      </c>
      <c r="G2232">
        <v>202605</v>
      </c>
      <c r="H2232" t="s">
        <v>75</v>
      </c>
      <c r="I2232" t="s">
        <v>76</v>
      </c>
      <c r="J2232" t="s">
        <v>77</v>
      </c>
      <c r="K2232" t="s">
        <v>78</v>
      </c>
      <c r="L2232" t="s">
        <v>278</v>
      </c>
      <c r="M2232" t="s">
        <v>279</v>
      </c>
      <c r="N2232" t="s">
        <v>1421</v>
      </c>
      <c r="O2232" t="s">
        <v>82</v>
      </c>
      <c r="P2232" t="str">
        <f>"4170054817                    "</f>
        <v xml:space="preserve">4170054817                    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N2232">
        <v>0</v>
      </c>
      <c r="AO2232">
        <v>0</v>
      </c>
      <c r="AP2232">
        <v>0</v>
      </c>
      <c r="AQ2232">
        <v>23.09</v>
      </c>
      <c r="AR2232">
        <v>0</v>
      </c>
      <c r="AS2232">
        <v>0</v>
      </c>
      <c r="AT2232">
        <v>0</v>
      </c>
      <c r="AU2232">
        <v>0</v>
      </c>
      <c r="AV2232">
        <v>0</v>
      </c>
      <c r="AW2232">
        <v>0</v>
      </c>
      <c r="AX2232">
        <v>0</v>
      </c>
      <c r="AY2232">
        <v>0</v>
      </c>
      <c r="AZ2232">
        <v>0</v>
      </c>
      <c r="BA2232">
        <v>0</v>
      </c>
      <c r="BB2232">
        <v>0</v>
      </c>
      <c r="BC2232">
        <v>0</v>
      </c>
      <c r="BD2232">
        <v>0</v>
      </c>
      <c r="BE2232">
        <v>0</v>
      </c>
      <c r="BF2232">
        <v>0</v>
      </c>
      <c r="BG2232">
        <v>0</v>
      </c>
      <c r="BH2232">
        <v>1</v>
      </c>
      <c r="BI2232">
        <v>1</v>
      </c>
      <c r="BJ2232">
        <v>0.2</v>
      </c>
      <c r="BK2232">
        <v>1</v>
      </c>
      <c r="BL2232">
        <v>71.69</v>
      </c>
      <c r="BM2232">
        <v>10.75</v>
      </c>
      <c r="BN2232">
        <v>82.44</v>
      </c>
      <c r="BO2232">
        <v>82.44</v>
      </c>
      <c r="BQ2232" t="s">
        <v>1422</v>
      </c>
      <c r="BR2232" t="s">
        <v>84</v>
      </c>
      <c r="BS2232" s="3">
        <v>45884</v>
      </c>
      <c r="BT2232" s="4">
        <v>0.40555555555555556</v>
      </c>
      <c r="BU2232" t="s">
        <v>2689</v>
      </c>
      <c r="BV2232" t="s">
        <v>86</v>
      </c>
      <c r="BY2232">
        <v>1200</v>
      </c>
      <c r="CA2232" t="s">
        <v>1987</v>
      </c>
      <c r="CC2232" t="s">
        <v>279</v>
      </c>
      <c r="CD2232" s="5" t="s">
        <v>533</v>
      </c>
      <c r="CE2232" t="s">
        <v>109</v>
      </c>
      <c r="CF2232" s="3">
        <v>45884</v>
      </c>
      <c r="CI2232">
        <v>1</v>
      </c>
      <c r="CJ2232">
        <v>1</v>
      </c>
      <c r="CK2232">
        <v>21</v>
      </c>
      <c r="CL2232" t="s">
        <v>90</v>
      </c>
    </row>
    <row r="2233" spans="1:90" x14ac:dyDescent="0.3">
      <c r="A2233" t="s">
        <v>72</v>
      </c>
      <c r="B2233" t="s">
        <v>73</v>
      </c>
      <c r="C2233" t="s">
        <v>74</v>
      </c>
      <c r="E2233" t="str">
        <f>"080067248022"</f>
        <v>080067248022</v>
      </c>
      <c r="F2233" s="3">
        <v>45883</v>
      </c>
      <c r="G2233">
        <v>202605</v>
      </c>
      <c r="H2233" t="s">
        <v>75</v>
      </c>
      <c r="I2233" t="s">
        <v>76</v>
      </c>
      <c r="J2233" t="s">
        <v>77</v>
      </c>
      <c r="K2233" t="s">
        <v>78</v>
      </c>
      <c r="L2233" t="s">
        <v>137</v>
      </c>
      <c r="M2233" t="s">
        <v>138</v>
      </c>
      <c r="N2233" t="s">
        <v>261</v>
      </c>
      <c r="O2233" t="s">
        <v>82</v>
      </c>
      <c r="P2233" t="str">
        <f>"4170054841                    "</f>
        <v xml:space="preserve">4170054841                    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0</v>
      </c>
      <c r="AI2233">
        <v>0</v>
      </c>
      <c r="AJ2233">
        <v>0</v>
      </c>
      <c r="AK2233">
        <v>0</v>
      </c>
      <c r="AL2233">
        <v>0</v>
      </c>
      <c r="AM2233">
        <v>0</v>
      </c>
      <c r="AN2233">
        <v>0</v>
      </c>
      <c r="AO2233">
        <v>0</v>
      </c>
      <c r="AP2233">
        <v>0</v>
      </c>
      <c r="AQ2233">
        <v>23.09</v>
      </c>
      <c r="AR2233">
        <v>0</v>
      </c>
      <c r="AS2233">
        <v>0</v>
      </c>
      <c r="AT2233">
        <v>0</v>
      </c>
      <c r="AU2233">
        <v>0</v>
      </c>
      <c r="AV2233">
        <v>0</v>
      </c>
      <c r="AW2233">
        <v>0</v>
      </c>
      <c r="AX2233">
        <v>0</v>
      </c>
      <c r="AY2233">
        <v>0</v>
      </c>
      <c r="AZ2233">
        <v>0</v>
      </c>
      <c r="BA2233">
        <v>0</v>
      </c>
      <c r="BB2233">
        <v>0</v>
      </c>
      <c r="BC2233">
        <v>0</v>
      </c>
      <c r="BD2233">
        <v>0</v>
      </c>
      <c r="BE2233">
        <v>0</v>
      </c>
      <c r="BF2233">
        <v>0</v>
      </c>
      <c r="BG2233">
        <v>0</v>
      </c>
      <c r="BH2233">
        <v>1</v>
      </c>
      <c r="BI2233">
        <v>1</v>
      </c>
      <c r="BJ2233">
        <v>0.2</v>
      </c>
      <c r="BK2233">
        <v>1</v>
      </c>
      <c r="BL2233">
        <v>71.69</v>
      </c>
      <c r="BM2233">
        <v>10.75</v>
      </c>
      <c r="BN2233">
        <v>82.44</v>
      </c>
      <c r="BO2233">
        <v>82.44</v>
      </c>
      <c r="BQ2233" t="s">
        <v>262</v>
      </c>
      <c r="BR2233" t="s">
        <v>84</v>
      </c>
      <c r="BS2233" s="3">
        <v>45884</v>
      </c>
      <c r="BT2233" s="4">
        <v>0.41875000000000001</v>
      </c>
      <c r="BU2233" t="s">
        <v>263</v>
      </c>
      <c r="BV2233" t="s">
        <v>86</v>
      </c>
      <c r="BY2233">
        <v>1200</v>
      </c>
      <c r="CA2233" t="s">
        <v>264</v>
      </c>
      <c r="CC2233" t="s">
        <v>138</v>
      </c>
      <c r="CD2233">
        <v>3608</v>
      </c>
      <c r="CE2233" t="s">
        <v>109</v>
      </c>
      <c r="CF2233" s="3">
        <v>45884</v>
      </c>
      <c r="CI2233">
        <v>1</v>
      </c>
      <c r="CJ2233">
        <v>1</v>
      </c>
      <c r="CK2233">
        <v>21</v>
      </c>
      <c r="CL2233" t="s">
        <v>90</v>
      </c>
    </row>
    <row r="2234" spans="1:90" x14ac:dyDescent="0.3">
      <c r="A2234" t="s">
        <v>72</v>
      </c>
      <c r="B2234" t="s">
        <v>73</v>
      </c>
      <c r="C2234" t="s">
        <v>74</v>
      </c>
      <c r="E2234" t="str">
        <f>"080067248045"</f>
        <v>080067248045</v>
      </c>
      <c r="F2234" s="3">
        <v>45883</v>
      </c>
      <c r="G2234">
        <v>202605</v>
      </c>
      <c r="H2234" t="s">
        <v>75</v>
      </c>
      <c r="I2234" t="s">
        <v>76</v>
      </c>
      <c r="J2234" t="s">
        <v>77</v>
      </c>
      <c r="K2234" t="s">
        <v>78</v>
      </c>
      <c r="L2234" t="s">
        <v>118</v>
      </c>
      <c r="M2234" t="s">
        <v>118</v>
      </c>
      <c r="N2234" t="s">
        <v>669</v>
      </c>
      <c r="O2234" t="s">
        <v>82</v>
      </c>
      <c r="P2234" t="str">
        <f>"4170054946                    "</f>
        <v xml:space="preserve">4170054946                    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N2234">
        <v>0</v>
      </c>
      <c r="AO2234">
        <v>0</v>
      </c>
      <c r="AP2234">
        <v>0</v>
      </c>
      <c r="AQ2234">
        <v>44.73</v>
      </c>
      <c r="AR2234">
        <v>0</v>
      </c>
      <c r="AS2234">
        <v>0</v>
      </c>
      <c r="AT2234">
        <v>0</v>
      </c>
      <c r="AU2234">
        <v>0</v>
      </c>
      <c r="AV2234">
        <v>0</v>
      </c>
      <c r="AW2234">
        <v>0</v>
      </c>
      <c r="AX2234">
        <v>0</v>
      </c>
      <c r="AY2234">
        <v>0</v>
      </c>
      <c r="AZ2234">
        <v>0</v>
      </c>
      <c r="BA2234">
        <v>0</v>
      </c>
      <c r="BB2234">
        <v>0</v>
      </c>
      <c r="BC2234">
        <v>0</v>
      </c>
      <c r="BD2234">
        <v>0</v>
      </c>
      <c r="BE2234">
        <v>0</v>
      </c>
      <c r="BF2234">
        <v>0</v>
      </c>
      <c r="BG2234">
        <v>0</v>
      </c>
      <c r="BH2234">
        <v>1</v>
      </c>
      <c r="BI2234">
        <v>1</v>
      </c>
      <c r="BJ2234">
        <v>0.2</v>
      </c>
      <c r="BK2234">
        <v>1</v>
      </c>
      <c r="BL2234">
        <v>138.88999999999999</v>
      </c>
      <c r="BM2234">
        <v>20.83</v>
      </c>
      <c r="BN2234">
        <v>159.72</v>
      </c>
      <c r="BO2234">
        <v>159.72</v>
      </c>
      <c r="BQ2234" t="s">
        <v>670</v>
      </c>
      <c r="BR2234" t="s">
        <v>84</v>
      </c>
      <c r="BS2234" s="3">
        <v>45884</v>
      </c>
      <c r="BT2234" s="4">
        <v>0.54027777777777775</v>
      </c>
      <c r="BU2234" t="s">
        <v>2702</v>
      </c>
      <c r="BV2234" t="s">
        <v>86</v>
      </c>
      <c r="BY2234">
        <v>1200</v>
      </c>
      <c r="CA2234" t="s">
        <v>122</v>
      </c>
      <c r="CC2234" t="s">
        <v>118</v>
      </c>
      <c r="CD2234">
        <v>7646</v>
      </c>
      <c r="CE2234" t="s">
        <v>109</v>
      </c>
      <c r="CF2234" s="3">
        <v>45887</v>
      </c>
      <c r="CI2234">
        <v>1</v>
      </c>
      <c r="CJ2234">
        <v>1</v>
      </c>
      <c r="CK2234">
        <v>23</v>
      </c>
      <c r="CL2234" t="s">
        <v>90</v>
      </c>
    </row>
    <row r="2235" spans="1:90" x14ac:dyDescent="0.3">
      <c r="A2235" t="s">
        <v>72</v>
      </c>
      <c r="B2235" t="s">
        <v>73</v>
      </c>
      <c r="C2235" t="s">
        <v>74</v>
      </c>
      <c r="E2235" t="str">
        <f>"080067152547"</f>
        <v>080067152547</v>
      </c>
      <c r="F2235" s="3">
        <v>45880</v>
      </c>
      <c r="G2235">
        <v>202605</v>
      </c>
      <c r="H2235" t="s">
        <v>75</v>
      </c>
      <c r="I2235" t="s">
        <v>76</v>
      </c>
      <c r="J2235" t="s">
        <v>77</v>
      </c>
      <c r="K2235" t="s">
        <v>78</v>
      </c>
      <c r="L2235" t="s">
        <v>278</v>
      </c>
      <c r="M2235" t="s">
        <v>279</v>
      </c>
      <c r="N2235" t="s">
        <v>735</v>
      </c>
      <c r="O2235" t="s">
        <v>95</v>
      </c>
      <c r="P2235" t="str">
        <f>"4170053804                    "</f>
        <v xml:space="preserve">4170053804                    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N2235">
        <v>0</v>
      </c>
      <c r="AO2235">
        <v>0</v>
      </c>
      <c r="AP2235">
        <v>0</v>
      </c>
      <c r="AQ2235">
        <v>0</v>
      </c>
      <c r="AR2235">
        <v>0</v>
      </c>
      <c r="AS2235">
        <v>0</v>
      </c>
      <c r="AT2235">
        <v>0</v>
      </c>
      <c r="AU2235">
        <v>0</v>
      </c>
      <c r="AV2235">
        <v>0</v>
      </c>
      <c r="AW2235">
        <v>0</v>
      </c>
      <c r="AX2235">
        <v>0</v>
      </c>
      <c r="AY2235">
        <v>0</v>
      </c>
      <c r="AZ2235">
        <v>0</v>
      </c>
      <c r="BA2235">
        <v>0</v>
      </c>
      <c r="BB2235">
        <v>0</v>
      </c>
      <c r="BC2235">
        <v>0</v>
      </c>
      <c r="BD2235">
        <v>0</v>
      </c>
      <c r="BE2235">
        <v>0</v>
      </c>
      <c r="BF2235">
        <v>0</v>
      </c>
      <c r="BG2235">
        <v>0</v>
      </c>
      <c r="BH2235">
        <v>1</v>
      </c>
      <c r="BI2235">
        <v>19</v>
      </c>
      <c r="BJ2235">
        <v>0</v>
      </c>
      <c r="BK2235">
        <v>19</v>
      </c>
      <c r="BL2235">
        <v>0</v>
      </c>
      <c r="BM2235">
        <v>0</v>
      </c>
      <c r="BN2235">
        <v>0</v>
      </c>
      <c r="BO2235">
        <v>0</v>
      </c>
      <c r="BQ2235" t="s">
        <v>736</v>
      </c>
      <c r="BR2235" t="s">
        <v>84</v>
      </c>
      <c r="BS2235" s="3">
        <v>45880</v>
      </c>
      <c r="BT2235" s="4">
        <v>0.47361111111111109</v>
      </c>
      <c r="BU2235" t="s">
        <v>85</v>
      </c>
      <c r="BV2235" t="s">
        <v>86</v>
      </c>
      <c r="BY2235">
        <v>16560</v>
      </c>
      <c r="BZ2235" t="s">
        <v>2746</v>
      </c>
      <c r="CA2235" t="s">
        <v>2747</v>
      </c>
      <c r="CC2235" t="s">
        <v>279</v>
      </c>
      <c r="CD2235" s="5" t="s">
        <v>533</v>
      </c>
      <c r="CE2235" t="s">
        <v>147</v>
      </c>
      <c r="CF2235" s="3">
        <v>45881</v>
      </c>
      <c r="CI2235">
        <v>1</v>
      </c>
      <c r="CJ2235">
        <v>0</v>
      </c>
      <c r="CK2235">
        <v>-1</v>
      </c>
      <c r="CL2235" t="s">
        <v>90</v>
      </c>
    </row>
    <row r="2236" spans="1:90" x14ac:dyDescent="0.3">
      <c r="A2236" t="s">
        <v>72</v>
      </c>
      <c r="B2236" t="s">
        <v>73</v>
      </c>
      <c r="C2236" t="s">
        <v>74</v>
      </c>
      <c r="E2236" t="str">
        <f>"080067238032"</f>
        <v>080067238032</v>
      </c>
      <c r="F2236" s="3">
        <v>45883</v>
      </c>
      <c r="G2236">
        <v>202605</v>
      </c>
      <c r="H2236" t="s">
        <v>75</v>
      </c>
      <c r="I2236" t="s">
        <v>76</v>
      </c>
      <c r="J2236" t="s">
        <v>2221</v>
      </c>
      <c r="K2236" t="s">
        <v>78</v>
      </c>
      <c r="L2236" t="s">
        <v>137</v>
      </c>
      <c r="M2236" t="s">
        <v>138</v>
      </c>
      <c r="N2236" t="s">
        <v>1760</v>
      </c>
      <c r="O2236" t="s">
        <v>82</v>
      </c>
      <c r="P2236" t="str">
        <f>"4170054778                    "</f>
        <v xml:space="preserve">4170054778                    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N2236">
        <v>0</v>
      </c>
      <c r="AO2236">
        <v>0</v>
      </c>
      <c r="AP2236">
        <v>0</v>
      </c>
      <c r="AQ2236">
        <v>207.61</v>
      </c>
      <c r="AR2236">
        <v>0</v>
      </c>
      <c r="AS2236">
        <v>0</v>
      </c>
      <c r="AT2236">
        <v>0</v>
      </c>
      <c r="AU2236">
        <v>0</v>
      </c>
      <c r="AV2236">
        <v>0</v>
      </c>
      <c r="AW2236">
        <v>0</v>
      </c>
      <c r="AX2236">
        <v>0</v>
      </c>
      <c r="AY2236">
        <v>0</v>
      </c>
      <c r="AZ2236">
        <v>0</v>
      </c>
      <c r="BA2236">
        <v>0</v>
      </c>
      <c r="BB2236">
        <v>0</v>
      </c>
      <c r="BC2236">
        <v>0</v>
      </c>
      <c r="BD2236">
        <v>0</v>
      </c>
      <c r="BE2236">
        <v>0</v>
      </c>
      <c r="BF2236">
        <v>0</v>
      </c>
      <c r="BG2236">
        <v>0</v>
      </c>
      <c r="BH2236">
        <v>1</v>
      </c>
      <c r="BI2236">
        <v>6</v>
      </c>
      <c r="BJ2236">
        <v>17.7</v>
      </c>
      <c r="BK2236">
        <v>18</v>
      </c>
      <c r="BL2236">
        <v>644.69000000000005</v>
      </c>
      <c r="BM2236">
        <v>96.7</v>
      </c>
      <c r="BN2236">
        <v>741.39</v>
      </c>
      <c r="BO2236">
        <v>741.39</v>
      </c>
      <c r="BQ2236" t="s">
        <v>1761</v>
      </c>
      <c r="BR2236" t="s">
        <v>2223</v>
      </c>
      <c r="BS2236" s="3">
        <v>45884</v>
      </c>
      <c r="BT2236" s="4">
        <v>0.50416666666666665</v>
      </c>
      <c r="BU2236" t="s">
        <v>2748</v>
      </c>
      <c r="BV2236" t="s">
        <v>86</v>
      </c>
      <c r="BY2236">
        <v>88320</v>
      </c>
      <c r="BZ2236" t="s">
        <v>2749</v>
      </c>
      <c r="CC2236" t="s">
        <v>138</v>
      </c>
      <c r="CD2236">
        <v>3610</v>
      </c>
      <c r="CE2236" t="s">
        <v>89</v>
      </c>
      <c r="CF2236" s="3">
        <v>45887</v>
      </c>
      <c r="CI2236">
        <v>1</v>
      </c>
      <c r="CJ2236">
        <v>1</v>
      </c>
      <c r="CK2236">
        <v>21</v>
      </c>
      <c r="CL2236" t="s">
        <v>90</v>
      </c>
    </row>
    <row r="2237" spans="1:90" x14ac:dyDescent="0.3">
      <c r="A2237" t="s">
        <v>72</v>
      </c>
      <c r="B2237" t="s">
        <v>73</v>
      </c>
      <c r="C2237" t="s">
        <v>74</v>
      </c>
      <c r="E2237" t="str">
        <f>"080067238176"</f>
        <v>080067238176</v>
      </c>
      <c r="F2237" s="3">
        <v>45883</v>
      </c>
      <c r="G2237">
        <v>202605</v>
      </c>
      <c r="H2237" t="s">
        <v>75</v>
      </c>
      <c r="I2237" t="s">
        <v>76</v>
      </c>
      <c r="J2237" t="s">
        <v>2221</v>
      </c>
      <c r="K2237" t="s">
        <v>78</v>
      </c>
      <c r="L2237" t="s">
        <v>137</v>
      </c>
      <c r="M2237" t="s">
        <v>138</v>
      </c>
      <c r="N2237" t="s">
        <v>1760</v>
      </c>
      <c r="O2237" t="s">
        <v>95</v>
      </c>
      <c r="P2237" t="str">
        <f>"4170054778                    "</f>
        <v xml:space="preserve">4170054778                    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>
        <v>0</v>
      </c>
      <c r="AQ2237">
        <v>0</v>
      </c>
      <c r="AR2237">
        <v>0</v>
      </c>
      <c r="AS2237">
        <v>0</v>
      </c>
      <c r="AT2237">
        <v>0</v>
      </c>
      <c r="AU2237">
        <v>0</v>
      </c>
      <c r="AV2237">
        <v>0</v>
      </c>
      <c r="AW2237">
        <v>0</v>
      </c>
      <c r="AX2237">
        <v>0</v>
      </c>
      <c r="AY2237">
        <v>0</v>
      </c>
      <c r="AZ2237">
        <v>0</v>
      </c>
      <c r="BA2237">
        <v>0</v>
      </c>
      <c r="BB2237">
        <v>0</v>
      </c>
      <c r="BC2237">
        <v>0</v>
      </c>
      <c r="BD2237">
        <v>0</v>
      </c>
      <c r="BE2237">
        <v>0</v>
      </c>
      <c r="BF2237">
        <v>0</v>
      </c>
      <c r="BG2237">
        <v>0</v>
      </c>
      <c r="BH2237">
        <v>1</v>
      </c>
      <c r="BI2237">
        <v>6</v>
      </c>
      <c r="BJ2237">
        <v>17.7</v>
      </c>
      <c r="BK2237">
        <v>18</v>
      </c>
      <c r="BL2237">
        <v>0</v>
      </c>
      <c r="BM2237">
        <v>0</v>
      </c>
      <c r="BN2237">
        <v>0</v>
      </c>
      <c r="BO2237">
        <v>0</v>
      </c>
      <c r="BQ2237" t="s">
        <v>1761</v>
      </c>
      <c r="BR2237" t="s">
        <v>2223</v>
      </c>
      <c r="BS2237" s="3">
        <v>45884</v>
      </c>
      <c r="BT2237" s="4">
        <v>0.50416666666666665</v>
      </c>
      <c r="BU2237" t="s">
        <v>1819</v>
      </c>
      <c r="BV2237" t="s">
        <v>86</v>
      </c>
      <c r="BY2237">
        <v>88320</v>
      </c>
      <c r="BZ2237" t="s">
        <v>87</v>
      </c>
      <c r="CA2237" t="s">
        <v>953</v>
      </c>
      <c r="CC2237" t="s">
        <v>138</v>
      </c>
      <c r="CD2237">
        <v>3610</v>
      </c>
      <c r="CE2237" t="s">
        <v>89</v>
      </c>
      <c r="CF2237" s="3">
        <v>45884</v>
      </c>
      <c r="CI2237">
        <v>1</v>
      </c>
      <c r="CJ2237">
        <v>1</v>
      </c>
      <c r="CK2237">
        <v>-1</v>
      </c>
      <c r="CL2237" t="s">
        <v>90</v>
      </c>
    </row>
    <row r="2238" spans="1:90" x14ac:dyDescent="0.3">
      <c r="A2238" t="s">
        <v>72</v>
      </c>
      <c r="B2238" t="s">
        <v>73</v>
      </c>
      <c r="C2238" t="s">
        <v>74</v>
      </c>
      <c r="E2238" t="str">
        <f>"080067258353"</f>
        <v>080067258353</v>
      </c>
      <c r="F2238" s="3">
        <v>45884</v>
      </c>
      <c r="G2238">
        <v>202605</v>
      </c>
      <c r="H2238" t="s">
        <v>75</v>
      </c>
      <c r="I2238" t="s">
        <v>76</v>
      </c>
      <c r="J2238" t="s">
        <v>77</v>
      </c>
      <c r="K2238" t="s">
        <v>78</v>
      </c>
      <c r="L2238" t="s">
        <v>137</v>
      </c>
      <c r="M2238" t="s">
        <v>138</v>
      </c>
      <c r="N2238" t="s">
        <v>1717</v>
      </c>
      <c r="O2238" t="s">
        <v>82</v>
      </c>
      <c r="P2238" t="str">
        <f>"4170055047                    "</f>
        <v xml:space="preserve">4170055047                    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0</v>
      </c>
      <c r="AQ2238">
        <v>23.09</v>
      </c>
      <c r="AR2238">
        <v>0</v>
      </c>
      <c r="AS2238">
        <v>0</v>
      </c>
      <c r="AT2238">
        <v>0</v>
      </c>
      <c r="AU2238">
        <v>0</v>
      </c>
      <c r="AV2238">
        <v>0</v>
      </c>
      <c r="AW2238">
        <v>0</v>
      </c>
      <c r="AX2238">
        <v>0</v>
      </c>
      <c r="AY2238">
        <v>0</v>
      </c>
      <c r="AZ2238">
        <v>0</v>
      </c>
      <c r="BA2238">
        <v>0</v>
      </c>
      <c r="BB2238">
        <v>0</v>
      </c>
      <c r="BC2238">
        <v>0</v>
      </c>
      <c r="BD2238">
        <v>0</v>
      </c>
      <c r="BE2238">
        <v>0</v>
      </c>
      <c r="BF2238">
        <v>0</v>
      </c>
      <c r="BG2238">
        <v>0</v>
      </c>
      <c r="BH2238">
        <v>1</v>
      </c>
      <c r="BI2238">
        <v>1</v>
      </c>
      <c r="BJ2238">
        <v>1.4</v>
      </c>
      <c r="BK2238">
        <v>1.5</v>
      </c>
      <c r="BL2238">
        <v>71.69</v>
      </c>
      <c r="BM2238">
        <v>10.75</v>
      </c>
      <c r="BN2238">
        <v>82.44</v>
      </c>
      <c r="BO2238">
        <v>82.44</v>
      </c>
      <c r="BQ2238" t="s">
        <v>1718</v>
      </c>
      <c r="BR2238" t="s">
        <v>84</v>
      </c>
      <c r="BS2238" s="3">
        <v>45887</v>
      </c>
      <c r="BT2238" s="4">
        <v>0.38055555555555554</v>
      </c>
      <c r="BU2238" t="s">
        <v>2639</v>
      </c>
      <c r="BV2238" t="s">
        <v>86</v>
      </c>
      <c r="BY2238">
        <v>7000</v>
      </c>
      <c r="CA2238" t="s">
        <v>264</v>
      </c>
      <c r="CC2238" t="s">
        <v>138</v>
      </c>
      <c r="CD2238">
        <v>3610</v>
      </c>
      <c r="CE2238" t="s">
        <v>147</v>
      </c>
      <c r="CF2238" s="3">
        <v>45887</v>
      </c>
      <c r="CI2238">
        <v>1</v>
      </c>
      <c r="CJ2238">
        <v>1</v>
      </c>
      <c r="CK2238">
        <v>21</v>
      </c>
      <c r="CL2238" t="s">
        <v>90</v>
      </c>
    </row>
    <row r="2239" spans="1:90" x14ac:dyDescent="0.3">
      <c r="A2239" t="s">
        <v>72</v>
      </c>
      <c r="B2239" t="s">
        <v>73</v>
      </c>
      <c r="C2239" t="s">
        <v>74</v>
      </c>
      <c r="E2239" t="str">
        <f>"080067258424"</f>
        <v>080067258424</v>
      </c>
      <c r="F2239" s="3">
        <v>45884</v>
      </c>
      <c r="G2239">
        <v>202605</v>
      </c>
      <c r="H2239" t="s">
        <v>75</v>
      </c>
      <c r="I2239" t="s">
        <v>76</v>
      </c>
      <c r="J2239" t="s">
        <v>77</v>
      </c>
      <c r="K2239" t="s">
        <v>78</v>
      </c>
      <c r="L2239" t="s">
        <v>198</v>
      </c>
      <c r="M2239" t="s">
        <v>199</v>
      </c>
      <c r="N2239" t="s">
        <v>598</v>
      </c>
      <c r="O2239" t="s">
        <v>82</v>
      </c>
      <c r="P2239" t="str">
        <f>"4170054941                    "</f>
        <v xml:space="preserve">4170054941                    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>
        <v>0</v>
      </c>
      <c r="AQ2239">
        <v>23.09</v>
      </c>
      <c r="AR2239">
        <v>0</v>
      </c>
      <c r="AS2239">
        <v>0</v>
      </c>
      <c r="AT2239">
        <v>0</v>
      </c>
      <c r="AU2239">
        <v>0</v>
      </c>
      <c r="AV2239">
        <v>0</v>
      </c>
      <c r="AW2239">
        <v>0</v>
      </c>
      <c r="AX2239">
        <v>0</v>
      </c>
      <c r="AY2239">
        <v>0</v>
      </c>
      <c r="AZ2239">
        <v>0</v>
      </c>
      <c r="BA2239">
        <v>0</v>
      </c>
      <c r="BB2239">
        <v>0</v>
      </c>
      <c r="BC2239">
        <v>0</v>
      </c>
      <c r="BD2239">
        <v>0</v>
      </c>
      <c r="BE2239">
        <v>0</v>
      </c>
      <c r="BF2239">
        <v>0</v>
      </c>
      <c r="BG2239">
        <v>0</v>
      </c>
      <c r="BH2239">
        <v>1</v>
      </c>
      <c r="BI2239">
        <v>1</v>
      </c>
      <c r="BJ2239">
        <v>1.1000000000000001</v>
      </c>
      <c r="BK2239">
        <v>1.5</v>
      </c>
      <c r="BL2239">
        <v>71.69</v>
      </c>
      <c r="BM2239">
        <v>10.75</v>
      </c>
      <c r="BN2239">
        <v>82.44</v>
      </c>
      <c r="BO2239">
        <v>82.44</v>
      </c>
      <c r="BQ2239" t="s">
        <v>599</v>
      </c>
      <c r="BR2239" t="s">
        <v>84</v>
      </c>
      <c r="BS2239" s="3">
        <v>45887</v>
      </c>
      <c r="BT2239" s="4">
        <v>0.39444444444444443</v>
      </c>
      <c r="BU2239" t="s">
        <v>1331</v>
      </c>
      <c r="BV2239" t="s">
        <v>86</v>
      </c>
      <c r="BY2239">
        <v>5320</v>
      </c>
      <c r="CA2239" t="s">
        <v>601</v>
      </c>
      <c r="CC2239" t="s">
        <v>199</v>
      </c>
      <c r="CD2239">
        <v>6001</v>
      </c>
      <c r="CE2239" t="s">
        <v>147</v>
      </c>
      <c r="CF2239" s="3">
        <v>45887</v>
      </c>
      <c r="CI2239">
        <v>1</v>
      </c>
      <c r="CJ2239">
        <v>1</v>
      </c>
      <c r="CK2239">
        <v>21</v>
      </c>
      <c r="CL2239" t="s">
        <v>90</v>
      </c>
    </row>
    <row r="2240" spans="1:90" x14ac:dyDescent="0.3">
      <c r="A2240" t="s">
        <v>72</v>
      </c>
      <c r="B2240" t="s">
        <v>73</v>
      </c>
      <c r="C2240" t="s">
        <v>74</v>
      </c>
      <c r="E2240" t="str">
        <f>"080067258500"</f>
        <v>080067258500</v>
      </c>
      <c r="F2240" s="3">
        <v>45884</v>
      </c>
      <c r="G2240">
        <v>202605</v>
      </c>
      <c r="H2240" t="s">
        <v>75</v>
      </c>
      <c r="I2240" t="s">
        <v>76</v>
      </c>
      <c r="J2240" t="s">
        <v>77</v>
      </c>
      <c r="K2240" t="s">
        <v>78</v>
      </c>
      <c r="L2240" t="s">
        <v>118</v>
      </c>
      <c r="M2240" t="s">
        <v>118</v>
      </c>
      <c r="N2240" t="s">
        <v>833</v>
      </c>
      <c r="O2240" t="s">
        <v>82</v>
      </c>
      <c r="P2240" t="str">
        <f>"4170055002                    "</f>
        <v xml:space="preserve">4170055002                    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>
        <v>0</v>
      </c>
      <c r="AQ2240">
        <v>44.73</v>
      </c>
      <c r="AR2240">
        <v>0</v>
      </c>
      <c r="AS2240">
        <v>0</v>
      </c>
      <c r="AT2240">
        <v>0</v>
      </c>
      <c r="AU2240">
        <v>0</v>
      </c>
      <c r="AV2240">
        <v>0</v>
      </c>
      <c r="AW2240">
        <v>0</v>
      </c>
      <c r="AX2240">
        <v>0</v>
      </c>
      <c r="AY2240">
        <v>0</v>
      </c>
      <c r="AZ2240">
        <v>0</v>
      </c>
      <c r="BA2240">
        <v>0</v>
      </c>
      <c r="BB2240">
        <v>0</v>
      </c>
      <c r="BC2240">
        <v>0</v>
      </c>
      <c r="BD2240">
        <v>0</v>
      </c>
      <c r="BE2240">
        <v>0</v>
      </c>
      <c r="BF2240">
        <v>0</v>
      </c>
      <c r="BG2240">
        <v>0</v>
      </c>
      <c r="BH2240">
        <v>1</v>
      </c>
      <c r="BI2240">
        <v>1</v>
      </c>
      <c r="BJ2240">
        <v>0.2</v>
      </c>
      <c r="BK2240">
        <v>1</v>
      </c>
      <c r="BL2240">
        <v>138.88999999999999</v>
      </c>
      <c r="BM2240">
        <v>20.83</v>
      </c>
      <c r="BN2240">
        <v>159.72</v>
      </c>
      <c r="BO2240">
        <v>159.72</v>
      </c>
      <c r="BQ2240" t="s">
        <v>834</v>
      </c>
      <c r="BR2240" t="s">
        <v>84</v>
      </c>
      <c r="BS2240" s="3">
        <v>45887</v>
      </c>
      <c r="BT2240" s="4">
        <v>0.54166666666666663</v>
      </c>
      <c r="BU2240" t="s">
        <v>835</v>
      </c>
      <c r="BV2240" t="s">
        <v>86</v>
      </c>
      <c r="BY2240">
        <v>1200</v>
      </c>
      <c r="CA2240" t="s">
        <v>122</v>
      </c>
      <c r="CC2240" t="s">
        <v>118</v>
      </c>
      <c r="CD2240">
        <v>7646</v>
      </c>
      <c r="CE2240" t="s">
        <v>109</v>
      </c>
      <c r="CI2240">
        <v>1</v>
      </c>
      <c r="CJ2240">
        <v>1</v>
      </c>
      <c r="CK2240">
        <v>23</v>
      </c>
      <c r="CL2240" t="s">
        <v>90</v>
      </c>
    </row>
    <row r="2241" spans="1:90" x14ac:dyDescent="0.3">
      <c r="A2241" t="s">
        <v>72</v>
      </c>
      <c r="B2241" t="s">
        <v>73</v>
      </c>
      <c r="C2241" t="s">
        <v>74</v>
      </c>
      <c r="E2241" t="str">
        <f>"080067258540"</f>
        <v>080067258540</v>
      </c>
      <c r="F2241" s="3">
        <v>45884</v>
      </c>
      <c r="G2241">
        <v>202605</v>
      </c>
      <c r="H2241" t="s">
        <v>75</v>
      </c>
      <c r="I2241" t="s">
        <v>76</v>
      </c>
      <c r="J2241" t="s">
        <v>77</v>
      </c>
      <c r="K2241" t="s">
        <v>78</v>
      </c>
      <c r="L2241" t="s">
        <v>75</v>
      </c>
      <c r="M2241" t="s">
        <v>76</v>
      </c>
      <c r="N2241" t="s">
        <v>152</v>
      </c>
      <c r="O2241" t="s">
        <v>82</v>
      </c>
      <c r="P2241" t="str">
        <f>"4170054943                    "</f>
        <v xml:space="preserve">4170054943                    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0</v>
      </c>
      <c r="AL2241">
        <v>0</v>
      </c>
      <c r="AM2241">
        <v>0</v>
      </c>
      <c r="AN2241">
        <v>0</v>
      </c>
      <c r="AO2241">
        <v>0</v>
      </c>
      <c r="AP2241">
        <v>0</v>
      </c>
      <c r="AQ2241">
        <v>18.03</v>
      </c>
      <c r="AR2241">
        <v>0</v>
      </c>
      <c r="AS2241">
        <v>0</v>
      </c>
      <c r="AT2241">
        <v>0</v>
      </c>
      <c r="AU2241">
        <v>0</v>
      </c>
      <c r="AV2241">
        <v>0</v>
      </c>
      <c r="AW2241">
        <v>0</v>
      </c>
      <c r="AX2241">
        <v>0</v>
      </c>
      <c r="AY2241">
        <v>0</v>
      </c>
      <c r="AZ2241">
        <v>0</v>
      </c>
      <c r="BA2241">
        <v>0</v>
      </c>
      <c r="BB2241">
        <v>0</v>
      </c>
      <c r="BC2241">
        <v>0</v>
      </c>
      <c r="BD2241">
        <v>0</v>
      </c>
      <c r="BE2241">
        <v>0</v>
      </c>
      <c r="BF2241">
        <v>0</v>
      </c>
      <c r="BG2241">
        <v>0</v>
      </c>
      <c r="BH2241">
        <v>1</v>
      </c>
      <c r="BI2241">
        <v>1</v>
      </c>
      <c r="BJ2241">
        <v>0.2</v>
      </c>
      <c r="BK2241">
        <v>1</v>
      </c>
      <c r="BL2241">
        <v>55.99</v>
      </c>
      <c r="BM2241">
        <v>8.4</v>
      </c>
      <c r="BN2241">
        <v>64.39</v>
      </c>
      <c r="BO2241">
        <v>64.39</v>
      </c>
      <c r="BQ2241" t="s">
        <v>153</v>
      </c>
      <c r="BR2241" t="s">
        <v>84</v>
      </c>
      <c r="BS2241" s="3">
        <v>45887</v>
      </c>
      <c r="BT2241" s="4">
        <v>0.34305555555555556</v>
      </c>
      <c r="BU2241" t="s">
        <v>154</v>
      </c>
      <c r="BV2241" t="s">
        <v>86</v>
      </c>
      <c r="BY2241">
        <v>1200</v>
      </c>
      <c r="CA2241" t="s">
        <v>155</v>
      </c>
      <c r="CC2241" t="s">
        <v>76</v>
      </c>
      <c r="CD2241">
        <v>1600</v>
      </c>
      <c r="CE2241" t="s">
        <v>109</v>
      </c>
      <c r="CF2241" s="3">
        <v>45887</v>
      </c>
      <c r="CI2241">
        <v>1</v>
      </c>
      <c r="CJ2241">
        <v>1</v>
      </c>
      <c r="CK2241">
        <v>22</v>
      </c>
      <c r="CL2241" t="s">
        <v>90</v>
      </c>
    </row>
    <row r="2242" spans="1:90" x14ac:dyDescent="0.3">
      <c r="A2242" t="s">
        <v>72</v>
      </c>
      <c r="B2242" t="s">
        <v>73</v>
      </c>
      <c r="C2242" t="s">
        <v>74</v>
      </c>
      <c r="E2242" t="str">
        <f>"080067258567"</f>
        <v>080067258567</v>
      </c>
      <c r="F2242" s="3">
        <v>45884</v>
      </c>
      <c r="G2242">
        <v>202605</v>
      </c>
      <c r="H2242" t="s">
        <v>75</v>
      </c>
      <c r="I2242" t="s">
        <v>76</v>
      </c>
      <c r="J2242" t="s">
        <v>77</v>
      </c>
      <c r="K2242" t="s">
        <v>78</v>
      </c>
      <c r="L2242" t="s">
        <v>234</v>
      </c>
      <c r="M2242" t="s">
        <v>235</v>
      </c>
      <c r="N2242" t="s">
        <v>821</v>
      </c>
      <c r="O2242" t="s">
        <v>82</v>
      </c>
      <c r="P2242" t="str">
        <f>"4170054902                    "</f>
        <v xml:space="preserve">4170054902                    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>
        <v>0</v>
      </c>
      <c r="AQ2242">
        <v>23.09</v>
      </c>
      <c r="AR2242">
        <v>0</v>
      </c>
      <c r="AS2242">
        <v>0</v>
      </c>
      <c r="AT2242">
        <v>0</v>
      </c>
      <c r="AU2242">
        <v>0</v>
      </c>
      <c r="AV2242">
        <v>0</v>
      </c>
      <c r="AW2242">
        <v>0</v>
      </c>
      <c r="AX2242">
        <v>0</v>
      </c>
      <c r="AY2242">
        <v>0</v>
      </c>
      <c r="AZ2242">
        <v>0</v>
      </c>
      <c r="BA2242">
        <v>0</v>
      </c>
      <c r="BB2242">
        <v>0</v>
      </c>
      <c r="BC2242">
        <v>0</v>
      </c>
      <c r="BD2242">
        <v>0</v>
      </c>
      <c r="BE2242">
        <v>0</v>
      </c>
      <c r="BF2242">
        <v>0</v>
      </c>
      <c r="BG2242">
        <v>0</v>
      </c>
      <c r="BH2242">
        <v>1</v>
      </c>
      <c r="BI2242">
        <v>1</v>
      </c>
      <c r="BJ2242">
        <v>0.2</v>
      </c>
      <c r="BK2242">
        <v>1</v>
      </c>
      <c r="BL2242">
        <v>71.69</v>
      </c>
      <c r="BM2242">
        <v>10.75</v>
      </c>
      <c r="BN2242">
        <v>82.44</v>
      </c>
      <c r="BO2242">
        <v>82.44</v>
      </c>
      <c r="BQ2242" t="s">
        <v>822</v>
      </c>
      <c r="BR2242" t="s">
        <v>84</v>
      </c>
      <c r="BS2242" s="3">
        <v>45887</v>
      </c>
      <c r="BT2242" s="4">
        <v>0.33750000000000002</v>
      </c>
      <c r="BU2242" t="s">
        <v>1572</v>
      </c>
      <c r="BV2242" t="s">
        <v>86</v>
      </c>
      <c r="BY2242">
        <v>1200</v>
      </c>
      <c r="BZ2242" t="s">
        <v>330</v>
      </c>
      <c r="CA2242" t="s">
        <v>824</v>
      </c>
      <c r="CC2242" t="s">
        <v>235</v>
      </c>
      <c r="CD2242" s="5" t="s">
        <v>240</v>
      </c>
      <c r="CE2242" t="s">
        <v>109</v>
      </c>
      <c r="CF2242" s="3">
        <v>45887</v>
      </c>
      <c r="CI2242">
        <v>1</v>
      </c>
      <c r="CJ2242">
        <v>1</v>
      </c>
      <c r="CK2242">
        <v>21</v>
      </c>
      <c r="CL2242" t="s">
        <v>90</v>
      </c>
    </row>
    <row r="2243" spans="1:90" x14ac:dyDescent="0.3">
      <c r="A2243" t="s">
        <v>72</v>
      </c>
      <c r="B2243" t="s">
        <v>73</v>
      </c>
      <c r="C2243" t="s">
        <v>74</v>
      </c>
      <c r="E2243" t="str">
        <f>"080067258778"</f>
        <v>080067258778</v>
      </c>
      <c r="F2243" s="3">
        <v>45884</v>
      </c>
      <c r="G2243">
        <v>202605</v>
      </c>
      <c r="H2243" t="s">
        <v>75</v>
      </c>
      <c r="I2243" t="s">
        <v>76</v>
      </c>
      <c r="J2243" t="s">
        <v>77</v>
      </c>
      <c r="K2243" t="s">
        <v>78</v>
      </c>
      <c r="L2243" t="s">
        <v>137</v>
      </c>
      <c r="M2243" t="s">
        <v>138</v>
      </c>
      <c r="N2243" t="s">
        <v>1239</v>
      </c>
      <c r="O2243" t="s">
        <v>82</v>
      </c>
      <c r="P2243" t="str">
        <f>"4170055037                    "</f>
        <v xml:space="preserve">4170055037                    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0</v>
      </c>
      <c r="AI2243">
        <v>0</v>
      </c>
      <c r="AJ2243">
        <v>0</v>
      </c>
      <c r="AK2243">
        <v>0</v>
      </c>
      <c r="AL2243">
        <v>0</v>
      </c>
      <c r="AM2243">
        <v>0</v>
      </c>
      <c r="AN2243">
        <v>0</v>
      </c>
      <c r="AO2243">
        <v>0</v>
      </c>
      <c r="AP2243">
        <v>0</v>
      </c>
      <c r="AQ2243">
        <v>23.09</v>
      </c>
      <c r="AR2243">
        <v>0</v>
      </c>
      <c r="AS2243">
        <v>0</v>
      </c>
      <c r="AT2243">
        <v>0</v>
      </c>
      <c r="AU2243">
        <v>0</v>
      </c>
      <c r="AV2243">
        <v>0</v>
      </c>
      <c r="AW2243">
        <v>0</v>
      </c>
      <c r="AX2243">
        <v>0</v>
      </c>
      <c r="AY2243">
        <v>0</v>
      </c>
      <c r="AZ2243">
        <v>0</v>
      </c>
      <c r="BA2243">
        <v>0</v>
      </c>
      <c r="BB2243">
        <v>0</v>
      </c>
      <c r="BC2243">
        <v>0</v>
      </c>
      <c r="BD2243">
        <v>0</v>
      </c>
      <c r="BE2243">
        <v>0</v>
      </c>
      <c r="BF2243">
        <v>0</v>
      </c>
      <c r="BG2243">
        <v>0</v>
      </c>
      <c r="BH2243">
        <v>1</v>
      </c>
      <c r="BI2243">
        <v>1</v>
      </c>
      <c r="BJ2243">
        <v>0.2</v>
      </c>
      <c r="BK2243">
        <v>1</v>
      </c>
      <c r="BL2243">
        <v>71.69</v>
      </c>
      <c r="BM2243">
        <v>10.75</v>
      </c>
      <c r="BN2243">
        <v>82.44</v>
      </c>
      <c r="BO2243">
        <v>82.44</v>
      </c>
      <c r="BQ2243" t="s">
        <v>1240</v>
      </c>
      <c r="BR2243" t="s">
        <v>84</v>
      </c>
      <c r="BS2243" s="3">
        <v>45887</v>
      </c>
      <c r="BT2243" s="4">
        <v>0.37638888888888888</v>
      </c>
      <c r="BU2243" t="s">
        <v>1605</v>
      </c>
      <c r="BV2243" t="s">
        <v>86</v>
      </c>
      <c r="BY2243">
        <v>1200</v>
      </c>
      <c r="CA2243" t="s">
        <v>953</v>
      </c>
      <c r="CC2243" t="s">
        <v>138</v>
      </c>
      <c r="CD2243">
        <v>3610</v>
      </c>
      <c r="CE2243" t="s">
        <v>109</v>
      </c>
      <c r="CF2243" s="3">
        <v>45888</v>
      </c>
      <c r="CI2243">
        <v>1</v>
      </c>
      <c r="CJ2243">
        <v>1</v>
      </c>
      <c r="CK2243">
        <v>21</v>
      </c>
      <c r="CL2243" t="s">
        <v>90</v>
      </c>
    </row>
    <row r="2244" spans="1:90" x14ac:dyDescent="0.3">
      <c r="A2244" t="s">
        <v>72</v>
      </c>
      <c r="B2244" t="s">
        <v>73</v>
      </c>
      <c r="C2244" t="s">
        <v>74</v>
      </c>
      <c r="E2244" t="str">
        <f>"080067258810"</f>
        <v>080067258810</v>
      </c>
      <c r="F2244" s="3">
        <v>45884</v>
      </c>
      <c r="G2244">
        <v>202605</v>
      </c>
      <c r="H2244" t="s">
        <v>75</v>
      </c>
      <c r="I2244" t="s">
        <v>76</v>
      </c>
      <c r="J2244" t="s">
        <v>77</v>
      </c>
      <c r="K2244" t="s">
        <v>78</v>
      </c>
      <c r="L2244" t="s">
        <v>198</v>
      </c>
      <c r="M2244" t="s">
        <v>199</v>
      </c>
      <c r="N2244" t="s">
        <v>680</v>
      </c>
      <c r="O2244" t="s">
        <v>82</v>
      </c>
      <c r="P2244" t="str">
        <f>"4170054789                    "</f>
        <v xml:space="preserve">4170054789                    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N2244">
        <v>0</v>
      </c>
      <c r="AO2244">
        <v>0</v>
      </c>
      <c r="AP2244">
        <v>0</v>
      </c>
      <c r="AQ2244">
        <v>51.92</v>
      </c>
      <c r="AR2244">
        <v>0</v>
      </c>
      <c r="AS2244">
        <v>0</v>
      </c>
      <c r="AT2244">
        <v>0</v>
      </c>
      <c r="AU2244">
        <v>0</v>
      </c>
      <c r="AV2244">
        <v>0</v>
      </c>
      <c r="AW2244">
        <v>0</v>
      </c>
      <c r="AX2244">
        <v>0</v>
      </c>
      <c r="AY2244">
        <v>0</v>
      </c>
      <c r="AZ2244">
        <v>0</v>
      </c>
      <c r="BA2244">
        <v>0</v>
      </c>
      <c r="BB2244">
        <v>0</v>
      </c>
      <c r="BC2244">
        <v>0</v>
      </c>
      <c r="BD2244">
        <v>0</v>
      </c>
      <c r="BE2244">
        <v>0</v>
      </c>
      <c r="BF2244">
        <v>0</v>
      </c>
      <c r="BG2244">
        <v>0</v>
      </c>
      <c r="BH2244">
        <v>1</v>
      </c>
      <c r="BI2244">
        <v>4</v>
      </c>
      <c r="BJ2244">
        <v>4.0999999999999996</v>
      </c>
      <c r="BK2244">
        <v>4.5</v>
      </c>
      <c r="BL2244">
        <v>161.22</v>
      </c>
      <c r="BM2244">
        <v>24.18</v>
      </c>
      <c r="BN2244">
        <v>185.4</v>
      </c>
      <c r="BO2244">
        <v>185.4</v>
      </c>
      <c r="BQ2244" t="s">
        <v>681</v>
      </c>
      <c r="BR2244" t="s">
        <v>84</v>
      </c>
      <c r="BS2244" s="3">
        <v>45887</v>
      </c>
      <c r="BT2244" s="4">
        <v>0.40069444444444446</v>
      </c>
      <c r="BU2244" t="s">
        <v>1385</v>
      </c>
      <c r="BV2244" t="s">
        <v>86</v>
      </c>
      <c r="BY2244">
        <v>20358</v>
      </c>
      <c r="CA2244" t="s">
        <v>413</v>
      </c>
      <c r="CC2244" t="s">
        <v>199</v>
      </c>
      <c r="CD2244">
        <v>6001</v>
      </c>
      <c r="CE2244" t="s">
        <v>147</v>
      </c>
      <c r="CF2244" s="3">
        <v>45887</v>
      </c>
      <c r="CI2244">
        <v>1</v>
      </c>
      <c r="CJ2244">
        <v>1</v>
      </c>
      <c r="CK2244">
        <v>21</v>
      </c>
      <c r="CL2244" t="s">
        <v>90</v>
      </c>
    </row>
    <row r="2245" spans="1:90" x14ac:dyDescent="0.3">
      <c r="A2245" t="s">
        <v>72</v>
      </c>
      <c r="B2245" t="s">
        <v>73</v>
      </c>
      <c r="C2245" t="s">
        <v>74</v>
      </c>
      <c r="E2245" t="str">
        <f>"080067259946"</f>
        <v>080067259946</v>
      </c>
      <c r="F2245" s="3">
        <v>45884</v>
      </c>
      <c r="G2245">
        <v>202605</v>
      </c>
      <c r="H2245" t="s">
        <v>75</v>
      </c>
      <c r="I2245" t="s">
        <v>76</v>
      </c>
      <c r="J2245" t="s">
        <v>77</v>
      </c>
      <c r="K2245" t="s">
        <v>78</v>
      </c>
      <c r="L2245" t="s">
        <v>303</v>
      </c>
      <c r="M2245" t="s">
        <v>304</v>
      </c>
      <c r="N2245" t="s">
        <v>1923</v>
      </c>
      <c r="O2245" t="s">
        <v>82</v>
      </c>
      <c r="P2245" t="str">
        <f>"4170054999                    "</f>
        <v xml:space="preserve">4170054999                    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N2245">
        <v>0</v>
      </c>
      <c r="AO2245">
        <v>0</v>
      </c>
      <c r="AP2245">
        <v>0</v>
      </c>
      <c r="AQ2245">
        <v>44.73</v>
      </c>
      <c r="AR2245">
        <v>0</v>
      </c>
      <c r="AS2245">
        <v>0</v>
      </c>
      <c r="AT2245">
        <v>0</v>
      </c>
      <c r="AU2245">
        <v>0</v>
      </c>
      <c r="AV2245">
        <v>0</v>
      </c>
      <c r="AW2245">
        <v>0</v>
      </c>
      <c r="AX2245">
        <v>0</v>
      </c>
      <c r="AY2245">
        <v>0</v>
      </c>
      <c r="AZ2245">
        <v>0</v>
      </c>
      <c r="BA2245">
        <v>0</v>
      </c>
      <c r="BB2245">
        <v>0</v>
      </c>
      <c r="BC2245">
        <v>0</v>
      </c>
      <c r="BD2245">
        <v>0</v>
      </c>
      <c r="BE2245">
        <v>0</v>
      </c>
      <c r="BF2245">
        <v>0</v>
      </c>
      <c r="BG2245">
        <v>0</v>
      </c>
      <c r="BH2245">
        <v>1</v>
      </c>
      <c r="BI2245">
        <v>1</v>
      </c>
      <c r="BJ2245">
        <v>0.2</v>
      </c>
      <c r="BK2245">
        <v>1</v>
      </c>
      <c r="BL2245">
        <v>138.88999999999999</v>
      </c>
      <c r="BM2245">
        <v>20.83</v>
      </c>
      <c r="BN2245">
        <v>159.72</v>
      </c>
      <c r="BO2245">
        <v>159.72</v>
      </c>
      <c r="BQ2245" t="s">
        <v>1924</v>
      </c>
      <c r="BR2245" t="s">
        <v>84</v>
      </c>
      <c r="BS2245" s="3">
        <v>45887</v>
      </c>
      <c r="BT2245" s="4">
        <v>0.44513888888888886</v>
      </c>
      <c r="BU2245" t="s">
        <v>1925</v>
      </c>
      <c r="BV2245" t="s">
        <v>86</v>
      </c>
      <c r="BY2245">
        <v>1200</v>
      </c>
      <c r="CA2245" t="s">
        <v>308</v>
      </c>
      <c r="CC2245" t="s">
        <v>304</v>
      </c>
      <c r="CD2245">
        <v>7130</v>
      </c>
      <c r="CE2245" t="s">
        <v>109</v>
      </c>
      <c r="CI2245">
        <v>1</v>
      </c>
      <c r="CJ2245">
        <v>1</v>
      </c>
      <c r="CK2245">
        <v>23</v>
      </c>
      <c r="CL2245" t="s">
        <v>90</v>
      </c>
    </row>
    <row r="2246" spans="1:90" x14ac:dyDescent="0.3">
      <c r="A2246" t="s">
        <v>72</v>
      </c>
      <c r="B2246" t="s">
        <v>73</v>
      </c>
      <c r="C2246" t="s">
        <v>74</v>
      </c>
      <c r="E2246" t="str">
        <f>"080067260035"</f>
        <v>080067260035</v>
      </c>
      <c r="F2246" s="3">
        <v>45884</v>
      </c>
      <c r="G2246">
        <v>202605</v>
      </c>
      <c r="H2246" t="s">
        <v>75</v>
      </c>
      <c r="I2246" t="s">
        <v>76</v>
      </c>
      <c r="J2246" t="s">
        <v>77</v>
      </c>
      <c r="K2246" t="s">
        <v>78</v>
      </c>
      <c r="L2246" t="s">
        <v>319</v>
      </c>
      <c r="M2246" t="s">
        <v>320</v>
      </c>
      <c r="N2246" t="s">
        <v>321</v>
      </c>
      <c r="O2246" t="s">
        <v>82</v>
      </c>
      <c r="P2246" t="str">
        <f>"4170055000                    "</f>
        <v xml:space="preserve">4170055000                    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0</v>
      </c>
      <c r="AQ2246">
        <v>44.73</v>
      </c>
      <c r="AR2246">
        <v>0</v>
      </c>
      <c r="AS2246">
        <v>0</v>
      </c>
      <c r="AT2246">
        <v>0</v>
      </c>
      <c r="AU2246">
        <v>0</v>
      </c>
      <c r="AV2246">
        <v>0</v>
      </c>
      <c r="AW2246">
        <v>0</v>
      </c>
      <c r="AX2246">
        <v>0</v>
      </c>
      <c r="AY2246">
        <v>0</v>
      </c>
      <c r="AZ2246">
        <v>0</v>
      </c>
      <c r="BA2246">
        <v>0</v>
      </c>
      <c r="BB2246">
        <v>0</v>
      </c>
      <c r="BC2246">
        <v>0</v>
      </c>
      <c r="BD2246">
        <v>0</v>
      </c>
      <c r="BE2246">
        <v>0</v>
      </c>
      <c r="BF2246">
        <v>0</v>
      </c>
      <c r="BG2246">
        <v>0</v>
      </c>
      <c r="BH2246">
        <v>1</v>
      </c>
      <c r="BI2246">
        <v>1</v>
      </c>
      <c r="BJ2246">
        <v>0.2</v>
      </c>
      <c r="BK2246">
        <v>1</v>
      </c>
      <c r="BL2246">
        <v>138.88999999999999</v>
      </c>
      <c r="BM2246">
        <v>20.83</v>
      </c>
      <c r="BN2246">
        <v>159.72</v>
      </c>
      <c r="BO2246">
        <v>159.72</v>
      </c>
      <c r="BQ2246" t="s">
        <v>322</v>
      </c>
      <c r="BR2246" t="s">
        <v>84</v>
      </c>
      <c r="BS2246" s="3">
        <v>45887</v>
      </c>
      <c r="BT2246" s="4">
        <v>0.53125</v>
      </c>
      <c r="BU2246" t="s">
        <v>323</v>
      </c>
      <c r="BV2246" t="s">
        <v>86</v>
      </c>
      <c r="BY2246">
        <v>1200</v>
      </c>
      <c r="CA2246" t="s">
        <v>324</v>
      </c>
      <c r="CC2246" t="s">
        <v>320</v>
      </c>
      <c r="CD2246">
        <v>2531</v>
      </c>
      <c r="CE2246" t="s">
        <v>109</v>
      </c>
      <c r="CI2246">
        <v>1</v>
      </c>
      <c r="CJ2246">
        <v>1</v>
      </c>
      <c r="CK2246">
        <v>23</v>
      </c>
      <c r="CL2246" t="s">
        <v>90</v>
      </c>
    </row>
    <row r="2247" spans="1:90" x14ac:dyDescent="0.3">
      <c r="A2247" t="s">
        <v>72</v>
      </c>
      <c r="B2247" t="s">
        <v>73</v>
      </c>
      <c r="C2247" t="s">
        <v>74</v>
      </c>
      <c r="E2247" t="str">
        <f>"080067260179"</f>
        <v>080067260179</v>
      </c>
      <c r="F2247" s="3">
        <v>45884</v>
      </c>
      <c r="G2247">
        <v>202605</v>
      </c>
      <c r="H2247" t="s">
        <v>75</v>
      </c>
      <c r="I2247" t="s">
        <v>76</v>
      </c>
      <c r="J2247" t="s">
        <v>77</v>
      </c>
      <c r="K2247" t="s">
        <v>78</v>
      </c>
      <c r="L2247" t="s">
        <v>217</v>
      </c>
      <c r="M2247" t="s">
        <v>218</v>
      </c>
      <c r="N2247" t="s">
        <v>249</v>
      </c>
      <c r="O2247" t="s">
        <v>82</v>
      </c>
      <c r="P2247" t="str">
        <f>"4170055056                    "</f>
        <v xml:space="preserve">4170055056                    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>
        <v>0</v>
      </c>
      <c r="AQ2247">
        <v>23.09</v>
      </c>
      <c r="AR2247">
        <v>0</v>
      </c>
      <c r="AS2247">
        <v>0</v>
      </c>
      <c r="AT2247">
        <v>0</v>
      </c>
      <c r="AU2247">
        <v>0</v>
      </c>
      <c r="AV2247">
        <v>0</v>
      </c>
      <c r="AW2247">
        <v>0</v>
      </c>
      <c r="AX2247">
        <v>0</v>
      </c>
      <c r="AY2247">
        <v>0</v>
      </c>
      <c r="AZ2247">
        <v>0</v>
      </c>
      <c r="BA2247">
        <v>0</v>
      </c>
      <c r="BB2247">
        <v>0</v>
      </c>
      <c r="BC2247">
        <v>0</v>
      </c>
      <c r="BD2247">
        <v>0</v>
      </c>
      <c r="BE2247">
        <v>0</v>
      </c>
      <c r="BF2247">
        <v>0</v>
      </c>
      <c r="BG2247">
        <v>0</v>
      </c>
      <c r="BH2247">
        <v>1</v>
      </c>
      <c r="BI2247">
        <v>1</v>
      </c>
      <c r="BJ2247">
        <v>0.2</v>
      </c>
      <c r="BK2247">
        <v>1</v>
      </c>
      <c r="BL2247">
        <v>71.69</v>
      </c>
      <c r="BM2247">
        <v>10.75</v>
      </c>
      <c r="BN2247">
        <v>82.44</v>
      </c>
      <c r="BO2247">
        <v>82.44</v>
      </c>
      <c r="BQ2247" t="s">
        <v>250</v>
      </c>
      <c r="BR2247" t="s">
        <v>84</v>
      </c>
      <c r="BS2247" s="3">
        <v>45887</v>
      </c>
      <c r="BT2247" s="4">
        <v>0.37152777777777779</v>
      </c>
      <c r="BU2247" t="s">
        <v>2750</v>
      </c>
      <c r="BV2247" t="s">
        <v>86</v>
      </c>
      <c r="BY2247">
        <v>1200</v>
      </c>
      <c r="CC2247" t="s">
        <v>218</v>
      </c>
      <c r="CD2247">
        <v>4052</v>
      </c>
      <c r="CE2247" t="s">
        <v>109</v>
      </c>
      <c r="CF2247" s="3">
        <v>45888</v>
      </c>
      <c r="CI2247">
        <v>1</v>
      </c>
      <c r="CJ2247">
        <v>1</v>
      </c>
      <c r="CK2247">
        <v>21</v>
      </c>
      <c r="CL2247" t="s">
        <v>90</v>
      </c>
    </row>
    <row r="2248" spans="1:90" x14ac:dyDescent="0.3">
      <c r="A2248" t="s">
        <v>72</v>
      </c>
      <c r="B2248" t="s">
        <v>73</v>
      </c>
      <c r="C2248" t="s">
        <v>74</v>
      </c>
      <c r="E2248" t="str">
        <f>"080067260222"</f>
        <v>080067260222</v>
      </c>
      <c r="F2248" s="3">
        <v>45884</v>
      </c>
      <c r="G2248">
        <v>202605</v>
      </c>
      <c r="H2248" t="s">
        <v>75</v>
      </c>
      <c r="I2248" t="s">
        <v>76</v>
      </c>
      <c r="J2248" t="s">
        <v>77</v>
      </c>
      <c r="K2248" t="s">
        <v>78</v>
      </c>
      <c r="L2248" t="s">
        <v>123</v>
      </c>
      <c r="M2248" t="s">
        <v>124</v>
      </c>
      <c r="N2248" t="s">
        <v>406</v>
      </c>
      <c r="O2248" t="s">
        <v>95</v>
      </c>
      <c r="P2248" t="str">
        <f>"4170055032                    "</f>
        <v xml:space="preserve">4170055032                    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>
        <v>0</v>
      </c>
      <c r="AQ2248">
        <v>74.13</v>
      </c>
      <c r="AR2248">
        <v>0</v>
      </c>
      <c r="AS2248">
        <v>0</v>
      </c>
      <c r="AT2248">
        <v>0</v>
      </c>
      <c r="AU2248">
        <v>0</v>
      </c>
      <c r="AV2248">
        <v>0</v>
      </c>
      <c r="AW2248">
        <v>0</v>
      </c>
      <c r="AX2248">
        <v>0</v>
      </c>
      <c r="AY2248">
        <v>0</v>
      </c>
      <c r="AZ2248">
        <v>0</v>
      </c>
      <c r="BA2248">
        <v>0</v>
      </c>
      <c r="BB2248">
        <v>0</v>
      </c>
      <c r="BC2248">
        <v>0</v>
      </c>
      <c r="BD2248">
        <v>0</v>
      </c>
      <c r="BE2248">
        <v>0</v>
      </c>
      <c r="BF2248">
        <v>0</v>
      </c>
      <c r="BG2248">
        <v>0</v>
      </c>
      <c r="BH2248">
        <v>1</v>
      </c>
      <c r="BI2248">
        <v>21</v>
      </c>
      <c r="BJ2248">
        <v>30.9</v>
      </c>
      <c r="BK2248">
        <v>31</v>
      </c>
      <c r="BL2248">
        <v>236.06</v>
      </c>
      <c r="BM2248">
        <v>35.409999999999997</v>
      </c>
      <c r="BN2248">
        <v>271.47000000000003</v>
      </c>
      <c r="BO2248">
        <v>271.47000000000003</v>
      </c>
      <c r="BQ2248" t="s">
        <v>407</v>
      </c>
      <c r="BR2248" t="s">
        <v>84</v>
      </c>
      <c r="BS2248" s="3">
        <v>45887</v>
      </c>
      <c r="BT2248" s="4">
        <v>0.58611111111111114</v>
      </c>
      <c r="BU2248" t="s">
        <v>2751</v>
      </c>
      <c r="BV2248" t="s">
        <v>86</v>
      </c>
      <c r="BY2248">
        <v>154560</v>
      </c>
      <c r="CA2248" t="s">
        <v>2752</v>
      </c>
      <c r="CC2248" t="s">
        <v>124</v>
      </c>
      <c r="CD2248">
        <v>7441</v>
      </c>
      <c r="CE2248" t="s">
        <v>147</v>
      </c>
      <c r="CI2248">
        <v>3</v>
      </c>
      <c r="CJ2248">
        <v>1</v>
      </c>
      <c r="CK2248">
        <v>41</v>
      </c>
      <c r="CL2248" t="s">
        <v>90</v>
      </c>
    </row>
    <row r="2249" spans="1:90" x14ac:dyDescent="0.3">
      <c r="A2249" t="s">
        <v>72</v>
      </c>
      <c r="B2249" t="s">
        <v>73</v>
      </c>
      <c r="C2249" t="s">
        <v>74</v>
      </c>
      <c r="E2249" t="str">
        <f>"080067260962"</f>
        <v>080067260962</v>
      </c>
      <c r="F2249" s="3">
        <v>45884</v>
      </c>
      <c r="G2249">
        <v>202605</v>
      </c>
      <c r="H2249" t="s">
        <v>75</v>
      </c>
      <c r="I2249" t="s">
        <v>76</v>
      </c>
      <c r="J2249" t="s">
        <v>77</v>
      </c>
      <c r="K2249" t="s">
        <v>78</v>
      </c>
      <c r="L2249" t="s">
        <v>123</v>
      </c>
      <c r="M2249" t="s">
        <v>124</v>
      </c>
      <c r="N2249" t="s">
        <v>406</v>
      </c>
      <c r="O2249" t="s">
        <v>82</v>
      </c>
      <c r="P2249" t="str">
        <f>"4170055086                    "</f>
        <v xml:space="preserve">4170055086                    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>
        <v>0</v>
      </c>
      <c r="AQ2249">
        <v>23.09</v>
      </c>
      <c r="AR2249">
        <v>0</v>
      </c>
      <c r="AS2249">
        <v>0</v>
      </c>
      <c r="AT2249">
        <v>0</v>
      </c>
      <c r="AU2249">
        <v>0</v>
      </c>
      <c r="AV2249">
        <v>0</v>
      </c>
      <c r="AW2249">
        <v>0</v>
      </c>
      <c r="AX2249">
        <v>0</v>
      </c>
      <c r="AY2249">
        <v>0</v>
      </c>
      <c r="AZ2249">
        <v>0</v>
      </c>
      <c r="BA2249">
        <v>0</v>
      </c>
      <c r="BB2249">
        <v>0</v>
      </c>
      <c r="BC2249">
        <v>0</v>
      </c>
      <c r="BD2249">
        <v>0</v>
      </c>
      <c r="BE2249">
        <v>0</v>
      </c>
      <c r="BF2249">
        <v>0</v>
      </c>
      <c r="BG2249">
        <v>0</v>
      </c>
      <c r="BH2249">
        <v>1</v>
      </c>
      <c r="BI2249">
        <v>1</v>
      </c>
      <c r="BJ2249">
        <v>0.2</v>
      </c>
      <c r="BK2249">
        <v>1</v>
      </c>
      <c r="BL2249">
        <v>71.69</v>
      </c>
      <c r="BM2249">
        <v>10.75</v>
      </c>
      <c r="BN2249">
        <v>82.44</v>
      </c>
      <c r="BO2249">
        <v>82.44</v>
      </c>
      <c r="BQ2249" t="s">
        <v>407</v>
      </c>
      <c r="BR2249" t="s">
        <v>84</v>
      </c>
      <c r="BS2249" s="3">
        <v>45887</v>
      </c>
      <c r="BT2249" s="4">
        <v>0.42499999999999999</v>
      </c>
      <c r="BU2249" t="s">
        <v>2753</v>
      </c>
      <c r="BV2249" t="s">
        <v>86</v>
      </c>
      <c r="BY2249">
        <v>1200</v>
      </c>
      <c r="CA2249" t="s">
        <v>2361</v>
      </c>
      <c r="CC2249" t="s">
        <v>124</v>
      </c>
      <c r="CD2249">
        <v>7441</v>
      </c>
      <c r="CE2249" t="s">
        <v>109</v>
      </c>
      <c r="CI2249">
        <v>1</v>
      </c>
      <c r="CJ2249">
        <v>1</v>
      </c>
      <c r="CK2249">
        <v>21</v>
      </c>
      <c r="CL2249" t="s">
        <v>90</v>
      </c>
    </row>
    <row r="2250" spans="1:90" x14ac:dyDescent="0.3">
      <c r="A2250" t="s">
        <v>72</v>
      </c>
      <c r="B2250" t="s">
        <v>73</v>
      </c>
      <c r="C2250" t="s">
        <v>74</v>
      </c>
      <c r="E2250" t="str">
        <f>"080067260987"</f>
        <v>080067260987</v>
      </c>
      <c r="F2250" s="3">
        <v>45884</v>
      </c>
      <c r="G2250">
        <v>202605</v>
      </c>
      <c r="H2250" t="s">
        <v>75</v>
      </c>
      <c r="I2250" t="s">
        <v>76</v>
      </c>
      <c r="J2250" t="s">
        <v>77</v>
      </c>
      <c r="K2250" t="s">
        <v>78</v>
      </c>
      <c r="L2250" t="s">
        <v>385</v>
      </c>
      <c r="M2250" t="s">
        <v>386</v>
      </c>
      <c r="N2250" t="s">
        <v>397</v>
      </c>
      <c r="O2250" t="s">
        <v>95</v>
      </c>
      <c r="P2250" t="str">
        <f>"4170055107                    "</f>
        <v xml:space="preserve">4170055107                    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>
        <v>0</v>
      </c>
      <c r="AQ2250">
        <v>36.46</v>
      </c>
      <c r="AR2250">
        <v>0</v>
      </c>
      <c r="AS2250">
        <v>0</v>
      </c>
      <c r="AT2250">
        <v>0</v>
      </c>
      <c r="AU2250">
        <v>0</v>
      </c>
      <c r="AV2250">
        <v>0</v>
      </c>
      <c r="AW2250">
        <v>0</v>
      </c>
      <c r="AX2250">
        <v>0</v>
      </c>
      <c r="AY2250">
        <v>0</v>
      </c>
      <c r="AZ2250">
        <v>0</v>
      </c>
      <c r="BA2250">
        <v>0</v>
      </c>
      <c r="BB2250">
        <v>0</v>
      </c>
      <c r="BC2250">
        <v>0</v>
      </c>
      <c r="BD2250">
        <v>0</v>
      </c>
      <c r="BE2250">
        <v>0</v>
      </c>
      <c r="BF2250">
        <v>0</v>
      </c>
      <c r="BG2250">
        <v>0</v>
      </c>
      <c r="BH2250">
        <v>1</v>
      </c>
      <c r="BI2250">
        <v>17</v>
      </c>
      <c r="BJ2250">
        <v>15.3</v>
      </c>
      <c r="BK2250">
        <v>17</v>
      </c>
      <c r="BL2250">
        <v>119.09</v>
      </c>
      <c r="BM2250">
        <v>17.86</v>
      </c>
      <c r="BN2250">
        <v>136.94999999999999</v>
      </c>
      <c r="BO2250">
        <v>136.94999999999999</v>
      </c>
      <c r="BQ2250" t="s">
        <v>398</v>
      </c>
      <c r="BR2250" t="s">
        <v>84</v>
      </c>
      <c r="BS2250" s="3">
        <v>45887</v>
      </c>
      <c r="BT2250" s="4">
        <v>0.40972222222222221</v>
      </c>
      <c r="BU2250" t="s">
        <v>1747</v>
      </c>
      <c r="BV2250" t="s">
        <v>86</v>
      </c>
      <c r="BY2250">
        <v>76380</v>
      </c>
      <c r="CA2250" t="s">
        <v>2754</v>
      </c>
      <c r="CC2250" t="s">
        <v>386</v>
      </c>
      <c r="CD2250">
        <v>1559</v>
      </c>
      <c r="CE2250" t="s">
        <v>1304</v>
      </c>
      <c r="CF2250" s="3">
        <v>45887</v>
      </c>
      <c r="CI2250">
        <v>1</v>
      </c>
      <c r="CJ2250">
        <v>1</v>
      </c>
      <c r="CK2250">
        <v>42</v>
      </c>
      <c r="CL2250" t="s">
        <v>90</v>
      </c>
    </row>
    <row r="2251" spans="1:90" x14ac:dyDescent="0.3">
      <c r="A2251" t="s">
        <v>72</v>
      </c>
      <c r="B2251" t="s">
        <v>73</v>
      </c>
      <c r="C2251" t="s">
        <v>74</v>
      </c>
      <c r="E2251" t="str">
        <f>"080067261024"</f>
        <v>080067261024</v>
      </c>
      <c r="F2251" s="3">
        <v>45884</v>
      </c>
      <c r="G2251">
        <v>202605</v>
      </c>
      <c r="H2251" t="s">
        <v>75</v>
      </c>
      <c r="I2251" t="s">
        <v>76</v>
      </c>
      <c r="J2251" t="s">
        <v>77</v>
      </c>
      <c r="K2251" t="s">
        <v>78</v>
      </c>
      <c r="L2251" t="s">
        <v>217</v>
      </c>
      <c r="M2251" t="s">
        <v>218</v>
      </c>
      <c r="N2251" t="s">
        <v>249</v>
      </c>
      <c r="O2251" t="s">
        <v>82</v>
      </c>
      <c r="P2251" t="str">
        <f>"4170055055                    "</f>
        <v xml:space="preserve">4170055055                    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0</v>
      </c>
      <c r="AL2251">
        <v>0</v>
      </c>
      <c r="AM2251">
        <v>0</v>
      </c>
      <c r="AN2251">
        <v>0</v>
      </c>
      <c r="AO2251">
        <v>0</v>
      </c>
      <c r="AP2251">
        <v>0</v>
      </c>
      <c r="AQ2251">
        <v>23.09</v>
      </c>
      <c r="AR2251">
        <v>0</v>
      </c>
      <c r="AS2251">
        <v>0</v>
      </c>
      <c r="AT2251">
        <v>0</v>
      </c>
      <c r="AU2251">
        <v>0</v>
      </c>
      <c r="AV2251">
        <v>0</v>
      </c>
      <c r="AW2251">
        <v>0</v>
      </c>
      <c r="AX2251">
        <v>0</v>
      </c>
      <c r="AY2251">
        <v>0</v>
      </c>
      <c r="AZ2251">
        <v>0</v>
      </c>
      <c r="BA2251">
        <v>0</v>
      </c>
      <c r="BB2251">
        <v>0</v>
      </c>
      <c r="BC2251">
        <v>0</v>
      </c>
      <c r="BD2251">
        <v>0</v>
      </c>
      <c r="BE2251">
        <v>0</v>
      </c>
      <c r="BF2251">
        <v>0</v>
      </c>
      <c r="BG2251">
        <v>0</v>
      </c>
      <c r="BH2251">
        <v>1</v>
      </c>
      <c r="BI2251">
        <v>1</v>
      </c>
      <c r="BJ2251">
        <v>0.2</v>
      </c>
      <c r="BK2251">
        <v>1</v>
      </c>
      <c r="BL2251">
        <v>71.69</v>
      </c>
      <c r="BM2251">
        <v>10.75</v>
      </c>
      <c r="BN2251">
        <v>82.44</v>
      </c>
      <c r="BO2251">
        <v>82.44</v>
      </c>
      <c r="BQ2251" t="s">
        <v>250</v>
      </c>
      <c r="BR2251" t="s">
        <v>84</v>
      </c>
      <c r="BS2251" s="3">
        <v>45887</v>
      </c>
      <c r="BT2251" s="4">
        <v>0.37361111111111112</v>
      </c>
      <c r="BU2251" t="s">
        <v>2755</v>
      </c>
      <c r="BV2251" t="s">
        <v>86</v>
      </c>
      <c r="BY2251">
        <v>1200</v>
      </c>
      <c r="CC2251" t="s">
        <v>218</v>
      </c>
      <c r="CD2251">
        <v>4052</v>
      </c>
      <c r="CE2251" t="s">
        <v>109</v>
      </c>
      <c r="CF2251" s="3">
        <v>45888</v>
      </c>
      <c r="CI2251">
        <v>1</v>
      </c>
      <c r="CJ2251">
        <v>1</v>
      </c>
      <c r="CK2251">
        <v>21</v>
      </c>
      <c r="CL2251" t="s">
        <v>90</v>
      </c>
    </row>
    <row r="2252" spans="1:90" x14ac:dyDescent="0.3">
      <c r="A2252" t="s">
        <v>72</v>
      </c>
      <c r="B2252" t="s">
        <v>73</v>
      </c>
      <c r="C2252" t="s">
        <v>74</v>
      </c>
      <c r="E2252" t="str">
        <f>"080067261045"</f>
        <v>080067261045</v>
      </c>
      <c r="F2252" s="3">
        <v>45884</v>
      </c>
      <c r="G2252">
        <v>202605</v>
      </c>
      <c r="H2252" t="s">
        <v>75</v>
      </c>
      <c r="I2252" t="s">
        <v>76</v>
      </c>
      <c r="J2252" t="s">
        <v>77</v>
      </c>
      <c r="K2252" t="s">
        <v>78</v>
      </c>
      <c r="L2252" t="s">
        <v>241</v>
      </c>
      <c r="M2252" t="s">
        <v>242</v>
      </c>
      <c r="N2252" t="s">
        <v>978</v>
      </c>
      <c r="O2252" t="s">
        <v>82</v>
      </c>
      <c r="P2252" t="str">
        <f>"4170054875                    "</f>
        <v xml:space="preserve">4170054875                    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0</v>
      </c>
      <c r="AI2252">
        <v>0</v>
      </c>
      <c r="AJ2252">
        <v>0</v>
      </c>
      <c r="AK2252">
        <v>0</v>
      </c>
      <c r="AL2252">
        <v>0</v>
      </c>
      <c r="AM2252">
        <v>0</v>
      </c>
      <c r="AN2252">
        <v>0</v>
      </c>
      <c r="AO2252">
        <v>0</v>
      </c>
      <c r="AP2252">
        <v>0</v>
      </c>
      <c r="AQ2252">
        <v>18.03</v>
      </c>
      <c r="AR2252">
        <v>0</v>
      </c>
      <c r="AS2252">
        <v>0</v>
      </c>
      <c r="AT2252">
        <v>0</v>
      </c>
      <c r="AU2252">
        <v>0</v>
      </c>
      <c r="AV2252">
        <v>0</v>
      </c>
      <c r="AW2252">
        <v>0</v>
      </c>
      <c r="AX2252">
        <v>0</v>
      </c>
      <c r="AY2252">
        <v>0</v>
      </c>
      <c r="AZ2252">
        <v>0</v>
      </c>
      <c r="BA2252">
        <v>0</v>
      </c>
      <c r="BB2252">
        <v>0</v>
      </c>
      <c r="BC2252">
        <v>0</v>
      </c>
      <c r="BD2252">
        <v>0</v>
      </c>
      <c r="BE2252">
        <v>0</v>
      </c>
      <c r="BF2252">
        <v>0</v>
      </c>
      <c r="BG2252">
        <v>0</v>
      </c>
      <c r="BH2252">
        <v>1</v>
      </c>
      <c r="BI2252">
        <v>1</v>
      </c>
      <c r="BJ2252">
        <v>0.2</v>
      </c>
      <c r="BK2252">
        <v>1</v>
      </c>
      <c r="BL2252">
        <v>55.99</v>
      </c>
      <c r="BM2252">
        <v>8.4</v>
      </c>
      <c r="BN2252">
        <v>64.39</v>
      </c>
      <c r="BO2252">
        <v>64.39</v>
      </c>
      <c r="BQ2252" t="s">
        <v>1774</v>
      </c>
      <c r="BR2252" t="s">
        <v>84</v>
      </c>
      <c r="BS2252" s="3">
        <v>45887</v>
      </c>
      <c r="BT2252" s="4">
        <v>0.35972222222222222</v>
      </c>
      <c r="BU2252" t="s">
        <v>2756</v>
      </c>
      <c r="BV2252" t="s">
        <v>86</v>
      </c>
      <c r="BY2252">
        <v>1200</v>
      </c>
      <c r="CA2252" t="s">
        <v>720</v>
      </c>
      <c r="CC2252" t="s">
        <v>242</v>
      </c>
      <c r="CD2252">
        <v>1459</v>
      </c>
      <c r="CE2252" t="s">
        <v>109</v>
      </c>
      <c r="CF2252" s="3">
        <v>45888</v>
      </c>
      <c r="CI2252">
        <v>1</v>
      </c>
      <c r="CJ2252">
        <v>1</v>
      </c>
      <c r="CK2252">
        <v>22</v>
      </c>
      <c r="CL2252" t="s">
        <v>90</v>
      </c>
    </row>
    <row r="2253" spans="1:90" x14ac:dyDescent="0.3">
      <c r="A2253" t="s">
        <v>72</v>
      </c>
      <c r="B2253" t="s">
        <v>73</v>
      </c>
      <c r="C2253" t="s">
        <v>74</v>
      </c>
      <c r="E2253" t="str">
        <f>"080067261063"</f>
        <v>080067261063</v>
      </c>
      <c r="F2253" s="3">
        <v>45884</v>
      </c>
      <c r="G2253">
        <v>202605</v>
      </c>
      <c r="H2253" t="s">
        <v>75</v>
      </c>
      <c r="I2253" t="s">
        <v>76</v>
      </c>
      <c r="J2253" t="s">
        <v>77</v>
      </c>
      <c r="K2253" t="s">
        <v>78</v>
      </c>
      <c r="L2253" t="s">
        <v>198</v>
      </c>
      <c r="M2253" t="s">
        <v>199</v>
      </c>
      <c r="N2253" t="s">
        <v>2151</v>
      </c>
      <c r="O2253" t="s">
        <v>82</v>
      </c>
      <c r="P2253" t="str">
        <f>"4170054994                    "</f>
        <v xml:space="preserve">4170054994                    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0</v>
      </c>
      <c r="AN2253">
        <v>0</v>
      </c>
      <c r="AO2253">
        <v>0</v>
      </c>
      <c r="AP2253">
        <v>0</v>
      </c>
      <c r="AQ2253">
        <v>23.09</v>
      </c>
      <c r="AR2253">
        <v>0</v>
      </c>
      <c r="AS2253">
        <v>0</v>
      </c>
      <c r="AT2253">
        <v>0</v>
      </c>
      <c r="AU2253">
        <v>0</v>
      </c>
      <c r="AV2253">
        <v>0</v>
      </c>
      <c r="AW2253">
        <v>0</v>
      </c>
      <c r="AX2253">
        <v>0</v>
      </c>
      <c r="AY2253">
        <v>0</v>
      </c>
      <c r="AZ2253">
        <v>0</v>
      </c>
      <c r="BA2253">
        <v>0</v>
      </c>
      <c r="BB2253">
        <v>0</v>
      </c>
      <c r="BC2253">
        <v>0</v>
      </c>
      <c r="BD2253">
        <v>0</v>
      </c>
      <c r="BE2253">
        <v>0</v>
      </c>
      <c r="BF2253">
        <v>0</v>
      </c>
      <c r="BG2253">
        <v>0</v>
      </c>
      <c r="BH2253">
        <v>1</v>
      </c>
      <c r="BI2253">
        <v>1</v>
      </c>
      <c r="BJ2253">
        <v>0.2</v>
      </c>
      <c r="BK2253">
        <v>1</v>
      </c>
      <c r="BL2253">
        <v>71.69</v>
      </c>
      <c r="BM2253">
        <v>10.75</v>
      </c>
      <c r="BN2253">
        <v>82.44</v>
      </c>
      <c r="BO2253">
        <v>82.44</v>
      </c>
      <c r="BQ2253" t="s">
        <v>2152</v>
      </c>
      <c r="BR2253" t="s">
        <v>84</v>
      </c>
      <c r="BS2253" s="3">
        <v>45887</v>
      </c>
      <c r="BT2253" s="4">
        <v>0.40138888888888891</v>
      </c>
      <c r="BU2253" t="s">
        <v>2153</v>
      </c>
      <c r="BV2253" t="s">
        <v>86</v>
      </c>
      <c r="BY2253">
        <v>1200</v>
      </c>
      <c r="CA2253" t="s">
        <v>2154</v>
      </c>
      <c r="CC2253" t="s">
        <v>199</v>
      </c>
      <c r="CD2253">
        <v>6001</v>
      </c>
      <c r="CE2253" t="s">
        <v>109</v>
      </c>
      <c r="CF2253" s="3">
        <v>45887</v>
      </c>
      <c r="CI2253">
        <v>1</v>
      </c>
      <c r="CJ2253">
        <v>1</v>
      </c>
      <c r="CK2253">
        <v>21</v>
      </c>
      <c r="CL2253" t="s">
        <v>90</v>
      </c>
    </row>
    <row r="2254" spans="1:90" x14ac:dyDescent="0.3">
      <c r="A2254" t="s">
        <v>72</v>
      </c>
      <c r="B2254" t="s">
        <v>73</v>
      </c>
      <c r="C2254" t="s">
        <v>74</v>
      </c>
      <c r="E2254" t="str">
        <f>"080067261083"</f>
        <v>080067261083</v>
      </c>
      <c r="F2254" s="3">
        <v>45884</v>
      </c>
      <c r="G2254">
        <v>202605</v>
      </c>
      <c r="H2254" t="s">
        <v>75</v>
      </c>
      <c r="I2254" t="s">
        <v>76</v>
      </c>
      <c r="J2254" t="s">
        <v>77</v>
      </c>
      <c r="K2254" t="s">
        <v>78</v>
      </c>
      <c r="L2254" t="s">
        <v>217</v>
      </c>
      <c r="M2254" t="s">
        <v>218</v>
      </c>
      <c r="N2254" t="s">
        <v>249</v>
      </c>
      <c r="O2254" t="s">
        <v>82</v>
      </c>
      <c r="P2254" t="str">
        <f>"4170055053                    "</f>
        <v xml:space="preserve">4170055053                    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N2254">
        <v>0</v>
      </c>
      <c r="AO2254">
        <v>0</v>
      </c>
      <c r="AP2254">
        <v>0</v>
      </c>
      <c r="AQ2254">
        <v>23.09</v>
      </c>
      <c r="AR2254">
        <v>0</v>
      </c>
      <c r="AS2254">
        <v>0</v>
      </c>
      <c r="AT2254">
        <v>0</v>
      </c>
      <c r="AU2254">
        <v>0</v>
      </c>
      <c r="AV2254">
        <v>0</v>
      </c>
      <c r="AW2254">
        <v>0</v>
      </c>
      <c r="AX2254">
        <v>0</v>
      </c>
      <c r="AY2254">
        <v>0</v>
      </c>
      <c r="AZ2254">
        <v>0</v>
      </c>
      <c r="BA2254">
        <v>0</v>
      </c>
      <c r="BB2254">
        <v>0</v>
      </c>
      <c r="BC2254">
        <v>0</v>
      </c>
      <c r="BD2254">
        <v>0</v>
      </c>
      <c r="BE2254">
        <v>0</v>
      </c>
      <c r="BF2254">
        <v>0</v>
      </c>
      <c r="BG2254">
        <v>0</v>
      </c>
      <c r="BH2254">
        <v>1</v>
      </c>
      <c r="BI2254">
        <v>1</v>
      </c>
      <c r="BJ2254">
        <v>0.2</v>
      </c>
      <c r="BK2254">
        <v>1</v>
      </c>
      <c r="BL2254">
        <v>71.69</v>
      </c>
      <c r="BM2254">
        <v>10.75</v>
      </c>
      <c r="BN2254">
        <v>82.44</v>
      </c>
      <c r="BO2254">
        <v>82.44</v>
      </c>
      <c r="BQ2254" t="s">
        <v>250</v>
      </c>
      <c r="BR2254" t="s">
        <v>84</v>
      </c>
      <c r="BS2254" s="3">
        <v>45887</v>
      </c>
      <c r="BT2254" s="4">
        <v>0.37013888888888891</v>
      </c>
      <c r="BU2254" t="s">
        <v>2750</v>
      </c>
      <c r="BV2254" t="s">
        <v>86</v>
      </c>
      <c r="BY2254">
        <v>1200</v>
      </c>
      <c r="CC2254" t="s">
        <v>218</v>
      </c>
      <c r="CD2254">
        <v>4052</v>
      </c>
      <c r="CE2254" t="s">
        <v>109</v>
      </c>
      <c r="CF2254" s="3">
        <v>45888</v>
      </c>
      <c r="CI2254">
        <v>1</v>
      </c>
      <c r="CJ2254">
        <v>1</v>
      </c>
      <c r="CK2254">
        <v>21</v>
      </c>
      <c r="CL2254" t="s">
        <v>90</v>
      </c>
    </row>
    <row r="2255" spans="1:90" x14ac:dyDescent="0.3">
      <c r="A2255" t="s">
        <v>72</v>
      </c>
      <c r="B2255" t="s">
        <v>73</v>
      </c>
      <c r="C2255" t="s">
        <v>74</v>
      </c>
      <c r="E2255" t="str">
        <f>"080067261159"</f>
        <v>080067261159</v>
      </c>
      <c r="F2255" s="3">
        <v>45884</v>
      </c>
      <c r="G2255">
        <v>202605</v>
      </c>
      <c r="H2255" t="s">
        <v>75</v>
      </c>
      <c r="I2255" t="s">
        <v>76</v>
      </c>
      <c r="J2255" t="s">
        <v>77</v>
      </c>
      <c r="K2255" t="s">
        <v>78</v>
      </c>
      <c r="L2255" t="s">
        <v>75</v>
      </c>
      <c r="M2255" t="s">
        <v>76</v>
      </c>
      <c r="N2255" t="s">
        <v>537</v>
      </c>
      <c r="O2255" t="s">
        <v>95</v>
      </c>
      <c r="P2255" t="str">
        <f>"4170055121                    "</f>
        <v xml:space="preserve">4170055121                    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>
        <v>0</v>
      </c>
      <c r="AL2255">
        <v>0</v>
      </c>
      <c r="AM2255">
        <v>0</v>
      </c>
      <c r="AN2255">
        <v>0</v>
      </c>
      <c r="AO2255">
        <v>0</v>
      </c>
      <c r="AP2255">
        <v>0</v>
      </c>
      <c r="AQ2255">
        <v>166.36</v>
      </c>
      <c r="AR2255">
        <v>0</v>
      </c>
      <c r="AS2255">
        <v>0</v>
      </c>
      <c r="AT2255">
        <v>0</v>
      </c>
      <c r="AU2255">
        <v>0</v>
      </c>
      <c r="AV2255">
        <v>0</v>
      </c>
      <c r="AW2255">
        <v>0</v>
      </c>
      <c r="AX2255">
        <v>0</v>
      </c>
      <c r="AY2255">
        <v>0</v>
      </c>
      <c r="AZ2255">
        <v>0</v>
      </c>
      <c r="BA2255">
        <v>0</v>
      </c>
      <c r="BB2255">
        <v>0</v>
      </c>
      <c r="BC2255">
        <v>0</v>
      </c>
      <c r="BD2255">
        <v>0</v>
      </c>
      <c r="BE2255">
        <v>0</v>
      </c>
      <c r="BF2255">
        <v>0</v>
      </c>
      <c r="BG2255">
        <v>0</v>
      </c>
      <c r="BH2255">
        <v>8</v>
      </c>
      <c r="BI2255">
        <v>112</v>
      </c>
      <c r="BJ2255">
        <v>145.4</v>
      </c>
      <c r="BK2255">
        <v>146</v>
      </c>
      <c r="BL2255">
        <v>522.47</v>
      </c>
      <c r="BM2255">
        <v>78.37</v>
      </c>
      <c r="BN2255">
        <v>600.84</v>
      </c>
      <c r="BO2255">
        <v>600.84</v>
      </c>
      <c r="BQ2255" t="s">
        <v>538</v>
      </c>
      <c r="BR2255" t="s">
        <v>84</v>
      </c>
      <c r="BS2255" s="3">
        <v>45887</v>
      </c>
      <c r="BT2255" s="4">
        <v>0.49513888888888891</v>
      </c>
      <c r="BU2255" t="s">
        <v>2757</v>
      </c>
      <c r="BV2255" t="s">
        <v>86</v>
      </c>
      <c r="BY2255">
        <v>143856</v>
      </c>
      <c r="CA2255" t="s">
        <v>589</v>
      </c>
      <c r="CC2255" t="s">
        <v>76</v>
      </c>
      <c r="CD2255">
        <v>1619</v>
      </c>
      <c r="CE2255" t="s">
        <v>1204</v>
      </c>
      <c r="CF2255" s="3">
        <v>45888</v>
      </c>
      <c r="CI2255">
        <v>1</v>
      </c>
      <c r="CJ2255">
        <v>1</v>
      </c>
      <c r="CK2255">
        <v>42</v>
      </c>
      <c r="CL2255" t="s">
        <v>90</v>
      </c>
    </row>
    <row r="2256" spans="1:90" x14ac:dyDescent="0.3">
      <c r="A2256" t="s">
        <v>72</v>
      </c>
      <c r="B2256" t="s">
        <v>73</v>
      </c>
      <c r="C2256" t="s">
        <v>74</v>
      </c>
      <c r="E2256" t="str">
        <f>"080067261273"</f>
        <v>080067261273</v>
      </c>
      <c r="F2256" s="3">
        <v>45884</v>
      </c>
      <c r="G2256">
        <v>202605</v>
      </c>
      <c r="H2256" t="s">
        <v>75</v>
      </c>
      <c r="I2256" t="s">
        <v>76</v>
      </c>
      <c r="J2256" t="s">
        <v>77</v>
      </c>
      <c r="K2256" t="s">
        <v>78</v>
      </c>
      <c r="L2256" t="s">
        <v>278</v>
      </c>
      <c r="M2256" t="s">
        <v>279</v>
      </c>
      <c r="N2256" t="s">
        <v>928</v>
      </c>
      <c r="O2256" t="s">
        <v>82</v>
      </c>
      <c r="P2256" t="str">
        <f>"4170055054                    "</f>
        <v xml:space="preserve">4170055054                    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0</v>
      </c>
      <c r="AL2256">
        <v>0</v>
      </c>
      <c r="AM2256">
        <v>0</v>
      </c>
      <c r="AN2256">
        <v>0</v>
      </c>
      <c r="AO2256">
        <v>0</v>
      </c>
      <c r="AP2256">
        <v>0</v>
      </c>
      <c r="AQ2256">
        <v>23.09</v>
      </c>
      <c r="AR2256">
        <v>0</v>
      </c>
      <c r="AS2256">
        <v>0</v>
      </c>
      <c r="AT2256">
        <v>0</v>
      </c>
      <c r="AU2256">
        <v>0</v>
      </c>
      <c r="AV2256">
        <v>0</v>
      </c>
      <c r="AW2256">
        <v>0</v>
      </c>
      <c r="AX2256">
        <v>0</v>
      </c>
      <c r="AY2256">
        <v>0</v>
      </c>
      <c r="AZ2256">
        <v>0</v>
      </c>
      <c r="BA2256">
        <v>0</v>
      </c>
      <c r="BB2256">
        <v>0</v>
      </c>
      <c r="BC2256">
        <v>0</v>
      </c>
      <c r="BD2256">
        <v>0</v>
      </c>
      <c r="BE2256">
        <v>0</v>
      </c>
      <c r="BF2256">
        <v>0</v>
      </c>
      <c r="BG2256">
        <v>0</v>
      </c>
      <c r="BH2256">
        <v>1</v>
      </c>
      <c r="BI2256">
        <v>1</v>
      </c>
      <c r="BJ2256">
        <v>0.2</v>
      </c>
      <c r="BK2256">
        <v>1</v>
      </c>
      <c r="BL2256">
        <v>71.69</v>
      </c>
      <c r="BM2256">
        <v>10.75</v>
      </c>
      <c r="BN2256">
        <v>82.44</v>
      </c>
      <c r="BO2256">
        <v>82.44</v>
      </c>
      <c r="BQ2256" t="s">
        <v>929</v>
      </c>
      <c r="BR2256" t="s">
        <v>84</v>
      </c>
      <c r="BS2256" s="3">
        <v>45887</v>
      </c>
      <c r="BT2256" s="4">
        <v>0.33263888888888887</v>
      </c>
      <c r="BU2256" t="s">
        <v>1230</v>
      </c>
      <c r="BV2256" t="s">
        <v>86</v>
      </c>
      <c r="BY2256">
        <v>1200</v>
      </c>
      <c r="CA2256" t="s">
        <v>511</v>
      </c>
      <c r="CC2256" t="s">
        <v>279</v>
      </c>
      <c r="CD2256" s="5" t="s">
        <v>512</v>
      </c>
      <c r="CE2256" t="s">
        <v>109</v>
      </c>
      <c r="CF2256" s="3">
        <v>45887</v>
      </c>
      <c r="CI2256">
        <v>1</v>
      </c>
      <c r="CJ2256">
        <v>1</v>
      </c>
      <c r="CK2256">
        <v>21</v>
      </c>
      <c r="CL2256" t="s">
        <v>90</v>
      </c>
    </row>
    <row r="2257" spans="1:90" x14ac:dyDescent="0.3">
      <c r="A2257" t="s">
        <v>72</v>
      </c>
      <c r="B2257" t="s">
        <v>73</v>
      </c>
      <c r="C2257" t="s">
        <v>74</v>
      </c>
      <c r="E2257" t="str">
        <f>"080067261336"</f>
        <v>080067261336</v>
      </c>
      <c r="F2257" s="3">
        <v>45884</v>
      </c>
      <c r="G2257">
        <v>202605</v>
      </c>
      <c r="H2257" t="s">
        <v>75</v>
      </c>
      <c r="I2257" t="s">
        <v>76</v>
      </c>
      <c r="J2257" t="s">
        <v>77</v>
      </c>
      <c r="K2257" t="s">
        <v>78</v>
      </c>
      <c r="L2257" t="s">
        <v>291</v>
      </c>
      <c r="M2257" t="s">
        <v>292</v>
      </c>
      <c r="N2257" t="s">
        <v>131</v>
      </c>
      <c r="O2257" t="s">
        <v>82</v>
      </c>
      <c r="P2257" t="str">
        <f>"4170054812                    "</f>
        <v xml:space="preserve">4170054812                    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>
        <v>0</v>
      </c>
      <c r="AQ2257">
        <v>18.03</v>
      </c>
      <c r="AR2257">
        <v>0</v>
      </c>
      <c r="AS2257">
        <v>0</v>
      </c>
      <c r="AT2257">
        <v>0</v>
      </c>
      <c r="AU2257">
        <v>0</v>
      </c>
      <c r="AV2257">
        <v>0</v>
      </c>
      <c r="AW2257">
        <v>0</v>
      </c>
      <c r="AX2257">
        <v>0</v>
      </c>
      <c r="AY2257">
        <v>0</v>
      </c>
      <c r="AZ2257">
        <v>0</v>
      </c>
      <c r="BA2257">
        <v>0</v>
      </c>
      <c r="BB2257">
        <v>0</v>
      </c>
      <c r="BC2257">
        <v>0</v>
      </c>
      <c r="BD2257">
        <v>0</v>
      </c>
      <c r="BE2257">
        <v>0</v>
      </c>
      <c r="BF2257">
        <v>0</v>
      </c>
      <c r="BG2257">
        <v>0</v>
      </c>
      <c r="BH2257">
        <v>1</v>
      </c>
      <c r="BI2257">
        <v>1</v>
      </c>
      <c r="BJ2257">
        <v>1.7</v>
      </c>
      <c r="BK2257">
        <v>2</v>
      </c>
      <c r="BL2257">
        <v>55.99</v>
      </c>
      <c r="BM2257">
        <v>8.4</v>
      </c>
      <c r="BN2257">
        <v>64.39</v>
      </c>
      <c r="BO2257">
        <v>64.39</v>
      </c>
      <c r="BQ2257" t="s">
        <v>132</v>
      </c>
      <c r="BR2257" t="s">
        <v>84</v>
      </c>
      <c r="BS2257" s="3">
        <v>45887</v>
      </c>
      <c r="BT2257" s="4">
        <v>0.33680555555555558</v>
      </c>
      <c r="BU2257" t="s">
        <v>1471</v>
      </c>
      <c r="BV2257" t="s">
        <v>86</v>
      </c>
      <c r="BY2257">
        <v>8512</v>
      </c>
      <c r="CA2257" t="s">
        <v>296</v>
      </c>
      <c r="CC2257" t="s">
        <v>292</v>
      </c>
      <c r="CD2257">
        <v>1451</v>
      </c>
      <c r="CE2257" t="s">
        <v>147</v>
      </c>
      <c r="CF2257" s="3">
        <v>45887</v>
      </c>
      <c r="CI2257">
        <v>1</v>
      </c>
      <c r="CJ2257">
        <v>1</v>
      </c>
      <c r="CK2257">
        <v>22</v>
      </c>
      <c r="CL2257" t="s">
        <v>90</v>
      </c>
    </row>
    <row r="2258" spans="1:90" x14ac:dyDescent="0.3">
      <c r="A2258" t="s">
        <v>72</v>
      </c>
      <c r="B2258" t="s">
        <v>73</v>
      </c>
      <c r="C2258" t="s">
        <v>74</v>
      </c>
      <c r="E2258" t="str">
        <f>"080067261438"</f>
        <v>080067261438</v>
      </c>
      <c r="F2258" s="3">
        <v>45884</v>
      </c>
      <c r="G2258">
        <v>202605</v>
      </c>
      <c r="H2258" t="s">
        <v>75</v>
      </c>
      <c r="I2258" t="s">
        <v>76</v>
      </c>
      <c r="J2258" t="s">
        <v>77</v>
      </c>
      <c r="K2258" t="s">
        <v>78</v>
      </c>
      <c r="L2258" t="s">
        <v>198</v>
      </c>
      <c r="M2258" t="s">
        <v>199</v>
      </c>
      <c r="N2258" t="s">
        <v>1357</v>
      </c>
      <c r="O2258" t="s">
        <v>95</v>
      </c>
      <c r="P2258" t="str">
        <f>"4170054840                    "</f>
        <v xml:space="preserve">4170054840                    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0</v>
      </c>
      <c r="AL2258">
        <v>0</v>
      </c>
      <c r="AM2258">
        <v>0</v>
      </c>
      <c r="AN2258">
        <v>0</v>
      </c>
      <c r="AO2258">
        <v>0</v>
      </c>
      <c r="AP2258">
        <v>0</v>
      </c>
      <c r="AQ2258">
        <v>48.33</v>
      </c>
      <c r="AR2258">
        <v>0</v>
      </c>
      <c r="AS2258">
        <v>0</v>
      </c>
      <c r="AT2258">
        <v>0</v>
      </c>
      <c r="AU2258">
        <v>0</v>
      </c>
      <c r="AV2258">
        <v>0</v>
      </c>
      <c r="AW2258">
        <v>0</v>
      </c>
      <c r="AX2258">
        <v>0</v>
      </c>
      <c r="AY2258">
        <v>0</v>
      </c>
      <c r="AZ2258">
        <v>0</v>
      </c>
      <c r="BA2258">
        <v>0</v>
      </c>
      <c r="BB2258">
        <v>0</v>
      </c>
      <c r="BC2258">
        <v>0</v>
      </c>
      <c r="BD2258">
        <v>0</v>
      </c>
      <c r="BE2258">
        <v>0</v>
      </c>
      <c r="BF2258">
        <v>0</v>
      </c>
      <c r="BG2258">
        <v>0</v>
      </c>
      <c r="BH2258">
        <v>1</v>
      </c>
      <c r="BI2258">
        <v>9</v>
      </c>
      <c r="BJ2258">
        <v>16.100000000000001</v>
      </c>
      <c r="BK2258">
        <v>17</v>
      </c>
      <c r="BL2258">
        <v>155.94</v>
      </c>
      <c r="BM2258">
        <v>23.39</v>
      </c>
      <c r="BN2258">
        <v>179.33</v>
      </c>
      <c r="BO2258">
        <v>179.33</v>
      </c>
      <c r="BQ2258" t="s">
        <v>1358</v>
      </c>
      <c r="BR2258" t="s">
        <v>84</v>
      </c>
      <c r="BS2258" s="3">
        <v>45887</v>
      </c>
      <c r="BT2258" s="4">
        <v>0.37847222222222221</v>
      </c>
      <c r="BU2258" t="s">
        <v>2758</v>
      </c>
      <c r="BV2258" t="s">
        <v>86</v>
      </c>
      <c r="BY2258">
        <v>80640</v>
      </c>
      <c r="CA2258" t="s">
        <v>2759</v>
      </c>
      <c r="CC2258" t="s">
        <v>199</v>
      </c>
      <c r="CD2258">
        <v>6001</v>
      </c>
      <c r="CE2258" t="s">
        <v>117</v>
      </c>
      <c r="CF2258" s="3">
        <v>45887</v>
      </c>
      <c r="CI2258">
        <v>3</v>
      </c>
      <c r="CJ2258">
        <v>1</v>
      </c>
      <c r="CK2258">
        <v>41</v>
      </c>
      <c r="CL2258" t="s">
        <v>90</v>
      </c>
    </row>
    <row r="2259" spans="1:90" x14ac:dyDescent="0.3">
      <c r="A2259" t="s">
        <v>72</v>
      </c>
      <c r="B2259" t="s">
        <v>73</v>
      </c>
      <c r="C2259" t="s">
        <v>74</v>
      </c>
      <c r="E2259" t="str">
        <f>"080067261520"</f>
        <v>080067261520</v>
      </c>
      <c r="F2259" s="3">
        <v>45884</v>
      </c>
      <c r="G2259">
        <v>202605</v>
      </c>
      <c r="H2259" t="s">
        <v>75</v>
      </c>
      <c r="I2259" t="s">
        <v>76</v>
      </c>
      <c r="J2259" t="s">
        <v>77</v>
      </c>
      <c r="K2259" t="s">
        <v>78</v>
      </c>
      <c r="L2259" t="s">
        <v>75</v>
      </c>
      <c r="M2259" t="s">
        <v>76</v>
      </c>
      <c r="N2259" t="s">
        <v>537</v>
      </c>
      <c r="O2259" t="s">
        <v>113</v>
      </c>
      <c r="P2259" t="str">
        <f>"4170055128                    "</f>
        <v xml:space="preserve">4170055128                    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>
        <v>0</v>
      </c>
      <c r="AQ2259">
        <v>24.11</v>
      </c>
      <c r="AR2259">
        <v>0</v>
      </c>
      <c r="AS2259">
        <v>0</v>
      </c>
      <c r="AT2259">
        <v>0</v>
      </c>
      <c r="AU2259">
        <v>0</v>
      </c>
      <c r="AV2259">
        <v>0</v>
      </c>
      <c r="AW2259">
        <v>0</v>
      </c>
      <c r="AX2259">
        <v>0</v>
      </c>
      <c r="AY2259">
        <v>0</v>
      </c>
      <c r="AZ2259">
        <v>0</v>
      </c>
      <c r="BA2259">
        <v>0</v>
      </c>
      <c r="BB2259">
        <v>0</v>
      </c>
      <c r="BC2259">
        <v>0</v>
      </c>
      <c r="BD2259">
        <v>0</v>
      </c>
      <c r="BE2259">
        <v>0</v>
      </c>
      <c r="BF2259">
        <v>0</v>
      </c>
      <c r="BG2259">
        <v>0</v>
      </c>
      <c r="BH2259">
        <v>1</v>
      </c>
      <c r="BI2259">
        <v>11</v>
      </c>
      <c r="BJ2259">
        <v>9.6999999999999993</v>
      </c>
      <c r="BK2259">
        <v>11</v>
      </c>
      <c r="BL2259">
        <v>74.86</v>
      </c>
      <c r="BM2259">
        <v>11.23</v>
      </c>
      <c r="BN2259">
        <v>86.09</v>
      </c>
      <c r="BO2259">
        <v>86.09</v>
      </c>
      <c r="BQ2259" t="s">
        <v>538</v>
      </c>
      <c r="BR2259" t="s">
        <v>84</v>
      </c>
      <c r="BS2259" s="3">
        <v>45887</v>
      </c>
      <c r="BT2259" s="4">
        <v>0.49513888888888891</v>
      </c>
      <c r="BU2259" t="s">
        <v>2757</v>
      </c>
      <c r="BV2259" t="s">
        <v>86</v>
      </c>
      <c r="BY2259">
        <v>48400</v>
      </c>
      <c r="CC2259" t="s">
        <v>76</v>
      </c>
      <c r="CD2259">
        <v>1619</v>
      </c>
      <c r="CE2259" t="s">
        <v>1204</v>
      </c>
      <c r="CF2259" s="3">
        <v>45888</v>
      </c>
      <c r="CI2259">
        <v>1</v>
      </c>
      <c r="CJ2259">
        <v>1</v>
      </c>
      <c r="CK2259">
        <v>32</v>
      </c>
      <c r="CL2259" t="s">
        <v>90</v>
      </c>
    </row>
    <row r="2260" spans="1:90" x14ac:dyDescent="0.3">
      <c r="A2260" t="s">
        <v>72</v>
      </c>
      <c r="B2260" t="s">
        <v>73</v>
      </c>
      <c r="C2260" t="s">
        <v>74</v>
      </c>
      <c r="E2260" t="str">
        <f>"080067261649"</f>
        <v>080067261649</v>
      </c>
      <c r="F2260" s="3">
        <v>45884</v>
      </c>
      <c r="G2260">
        <v>202605</v>
      </c>
      <c r="H2260" t="s">
        <v>75</v>
      </c>
      <c r="I2260" t="s">
        <v>76</v>
      </c>
      <c r="J2260" t="s">
        <v>77</v>
      </c>
      <c r="K2260" t="s">
        <v>78</v>
      </c>
      <c r="L2260" t="s">
        <v>278</v>
      </c>
      <c r="M2260" t="s">
        <v>279</v>
      </c>
      <c r="N2260" t="s">
        <v>928</v>
      </c>
      <c r="O2260" t="s">
        <v>95</v>
      </c>
      <c r="P2260" t="str">
        <f>"4170054913                    "</f>
        <v xml:space="preserve">4170054913                    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0</v>
      </c>
      <c r="AI2260">
        <v>0</v>
      </c>
      <c r="AJ2260"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>
        <v>0</v>
      </c>
      <c r="AQ2260">
        <v>61.23</v>
      </c>
      <c r="AR2260">
        <v>0</v>
      </c>
      <c r="AS2260">
        <v>0</v>
      </c>
      <c r="AT2260">
        <v>0</v>
      </c>
      <c r="AU2260">
        <v>0</v>
      </c>
      <c r="AV2260">
        <v>0</v>
      </c>
      <c r="AW2260">
        <v>0</v>
      </c>
      <c r="AX2260">
        <v>0</v>
      </c>
      <c r="AY2260">
        <v>0</v>
      </c>
      <c r="AZ2260">
        <v>0</v>
      </c>
      <c r="BA2260">
        <v>0</v>
      </c>
      <c r="BB2260">
        <v>0</v>
      </c>
      <c r="BC2260">
        <v>0</v>
      </c>
      <c r="BD2260">
        <v>0</v>
      </c>
      <c r="BE2260">
        <v>0</v>
      </c>
      <c r="BF2260">
        <v>0</v>
      </c>
      <c r="BG2260">
        <v>0</v>
      </c>
      <c r="BH2260">
        <v>3</v>
      </c>
      <c r="BI2260">
        <v>24</v>
      </c>
      <c r="BJ2260">
        <v>6.1</v>
      </c>
      <c r="BK2260">
        <v>24</v>
      </c>
      <c r="BL2260">
        <v>196</v>
      </c>
      <c r="BM2260">
        <v>29.4</v>
      </c>
      <c r="BN2260">
        <v>225.4</v>
      </c>
      <c r="BO2260">
        <v>225.4</v>
      </c>
      <c r="BQ2260" t="s">
        <v>929</v>
      </c>
      <c r="BR2260" t="s">
        <v>84</v>
      </c>
      <c r="BS2260" s="3">
        <v>45887</v>
      </c>
      <c r="BT2260" s="4">
        <v>0.33263888888888887</v>
      </c>
      <c r="BU2260" t="s">
        <v>1230</v>
      </c>
      <c r="BV2260" t="s">
        <v>86</v>
      </c>
      <c r="BY2260">
        <v>10108</v>
      </c>
      <c r="CA2260" t="s">
        <v>511</v>
      </c>
      <c r="CC2260" t="s">
        <v>279</v>
      </c>
      <c r="CD2260" s="5" t="s">
        <v>512</v>
      </c>
      <c r="CE2260" t="s">
        <v>1095</v>
      </c>
      <c r="CF2260" s="3">
        <v>45887</v>
      </c>
      <c r="CI2260">
        <v>1</v>
      </c>
      <c r="CJ2260">
        <v>1</v>
      </c>
      <c r="CK2260">
        <v>41</v>
      </c>
      <c r="CL2260" t="s">
        <v>90</v>
      </c>
    </row>
    <row r="2261" spans="1:90" x14ac:dyDescent="0.3">
      <c r="A2261" t="s">
        <v>72</v>
      </c>
      <c r="B2261" t="s">
        <v>73</v>
      </c>
      <c r="C2261" t="s">
        <v>74</v>
      </c>
      <c r="E2261" t="str">
        <f>"080067261869"</f>
        <v>080067261869</v>
      </c>
      <c r="F2261" s="3">
        <v>45884</v>
      </c>
      <c r="G2261">
        <v>202605</v>
      </c>
      <c r="H2261" t="s">
        <v>75</v>
      </c>
      <c r="I2261" t="s">
        <v>76</v>
      </c>
      <c r="J2261" t="s">
        <v>77</v>
      </c>
      <c r="K2261" t="s">
        <v>78</v>
      </c>
      <c r="L2261" t="s">
        <v>79</v>
      </c>
      <c r="M2261" t="s">
        <v>80</v>
      </c>
      <c r="N2261" t="s">
        <v>1027</v>
      </c>
      <c r="O2261" t="s">
        <v>95</v>
      </c>
      <c r="P2261" t="str">
        <f>"4170055113                    "</f>
        <v xml:space="preserve">4170055113                    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0</v>
      </c>
      <c r="AL2261">
        <v>0</v>
      </c>
      <c r="AM2261">
        <v>0</v>
      </c>
      <c r="AN2261">
        <v>0</v>
      </c>
      <c r="AO2261">
        <v>0</v>
      </c>
      <c r="AP2261">
        <v>0</v>
      </c>
      <c r="AQ2261">
        <v>144.21</v>
      </c>
      <c r="AR2261">
        <v>0</v>
      </c>
      <c r="AS2261">
        <v>0</v>
      </c>
      <c r="AT2261">
        <v>0</v>
      </c>
      <c r="AU2261">
        <v>0</v>
      </c>
      <c r="AV2261">
        <v>0</v>
      </c>
      <c r="AW2261">
        <v>0</v>
      </c>
      <c r="AX2261">
        <v>0</v>
      </c>
      <c r="AY2261">
        <v>0</v>
      </c>
      <c r="AZ2261">
        <v>0</v>
      </c>
      <c r="BA2261">
        <v>0</v>
      </c>
      <c r="BB2261">
        <v>0</v>
      </c>
      <c r="BC2261">
        <v>0</v>
      </c>
      <c r="BD2261">
        <v>0</v>
      </c>
      <c r="BE2261">
        <v>0</v>
      </c>
      <c r="BF2261">
        <v>0</v>
      </c>
      <c r="BG2261">
        <v>0</v>
      </c>
      <c r="BH2261">
        <v>1</v>
      </c>
      <c r="BI2261">
        <v>63</v>
      </c>
      <c r="BJ2261">
        <v>124</v>
      </c>
      <c r="BK2261">
        <v>124</v>
      </c>
      <c r="BL2261">
        <v>453.68</v>
      </c>
      <c r="BM2261">
        <v>68.05</v>
      </c>
      <c r="BN2261">
        <v>521.73</v>
      </c>
      <c r="BO2261">
        <v>521.73</v>
      </c>
      <c r="BQ2261" t="s">
        <v>2082</v>
      </c>
      <c r="BR2261" t="s">
        <v>84</v>
      </c>
      <c r="BS2261" s="3">
        <v>45887</v>
      </c>
      <c r="BT2261" s="4">
        <v>0.37569444444444444</v>
      </c>
      <c r="BU2261" t="s">
        <v>2760</v>
      </c>
      <c r="BV2261" t="s">
        <v>86</v>
      </c>
      <c r="BY2261">
        <v>620248</v>
      </c>
      <c r="CA2261" t="s">
        <v>2761</v>
      </c>
      <c r="CC2261" t="s">
        <v>80</v>
      </c>
      <c r="CD2261">
        <v>1406</v>
      </c>
      <c r="CE2261" t="s">
        <v>708</v>
      </c>
      <c r="CF2261" s="3">
        <v>45887</v>
      </c>
      <c r="CI2261">
        <v>1</v>
      </c>
      <c r="CJ2261">
        <v>1</v>
      </c>
      <c r="CK2261">
        <v>42</v>
      </c>
      <c r="CL2261" t="s">
        <v>90</v>
      </c>
    </row>
    <row r="2262" spans="1:90" x14ac:dyDescent="0.3">
      <c r="A2262" t="s">
        <v>72</v>
      </c>
      <c r="B2262" t="s">
        <v>73</v>
      </c>
      <c r="C2262" t="s">
        <v>74</v>
      </c>
      <c r="E2262" t="str">
        <f>"080067262064"</f>
        <v>080067262064</v>
      </c>
      <c r="F2262" s="3">
        <v>45884</v>
      </c>
      <c r="G2262">
        <v>202605</v>
      </c>
      <c r="H2262" t="s">
        <v>75</v>
      </c>
      <c r="I2262" t="s">
        <v>76</v>
      </c>
      <c r="J2262" t="s">
        <v>77</v>
      </c>
      <c r="K2262" t="s">
        <v>78</v>
      </c>
      <c r="L2262" t="s">
        <v>855</v>
      </c>
      <c r="M2262" t="s">
        <v>856</v>
      </c>
      <c r="N2262" t="s">
        <v>1838</v>
      </c>
      <c r="O2262" t="s">
        <v>82</v>
      </c>
      <c r="P2262" t="str">
        <f>"4170055018                    "</f>
        <v xml:space="preserve">4170055018                    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>
        <v>0</v>
      </c>
      <c r="AQ2262">
        <v>18.03</v>
      </c>
      <c r="AR2262">
        <v>0</v>
      </c>
      <c r="AS2262">
        <v>0</v>
      </c>
      <c r="AT2262">
        <v>0</v>
      </c>
      <c r="AU2262">
        <v>0</v>
      </c>
      <c r="AV2262">
        <v>0</v>
      </c>
      <c r="AW2262">
        <v>0</v>
      </c>
      <c r="AX2262">
        <v>0</v>
      </c>
      <c r="AY2262">
        <v>0</v>
      </c>
      <c r="AZ2262">
        <v>0</v>
      </c>
      <c r="BA2262">
        <v>0</v>
      </c>
      <c r="BB2262">
        <v>0</v>
      </c>
      <c r="BC2262">
        <v>0</v>
      </c>
      <c r="BD2262">
        <v>0</v>
      </c>
      <c r="BE2262">
        <v>0</v>
      </c>
      <c r="BF2262">
        <v>0</v>
      </c>
      <c r="BG2262">
        <v>0</v>
      </c>
      <c r="BH2262">
        <v>1</v>
      </c>
      <c r="BI2262">
        <v>1</v>
      </c>
      <c r="BJ2262">
        <v>0.2</v>
      </c>
      <c r="BK2262">
        <v>1</v>
      </c>
      <c r="BL2262">
        <v>55.99</v>
      </c>
      <c r="BM2262">
        <v>8.4</v>
      </c>
      <c r="BN2262">
        <v>64.39</v>
      </c>
      <c r="BO2262">
        <v>64.39</v>
      </c>
      <c r="BQ2262" t="s">
        <v>1839</v>
      </c>
      <c r="BR2262" t="s">
        <v>84</v>
      </c>
      <c r="BS2262" s="3">
        <v>45887</v>
      </c>
      <c r="BT2262" s="4">
        <v>0.42291666666666666</v>
      </c>
      <c r="BU2262" t="s">
        <v>1756</v>
      </c>
      <c r="BV2262" t="s">
        <v>86</v>
      </c>
      <c r="BY2262">
        <v>1200</v>
      </c>
      <c r="BZ2262" t="s">
        <v>330</v>
      </c>
      <c r="CA2262" t="s">
        <v>1840</v>
      </c>
      <c r="CC2262" t="s">
        <v>856</v>
      </c>
      <c r="CD2262">
        <v>1682</v>
      </c>
      <c r="CE2262" t="s">
        <v>597</v>
      </c>
      <c r="CF2262" s="3">
        <v>45887</v>
      </c>
      <c r="CI2262">
        <v>1</v>
      </c>
      <c r="CJ2262">
        <v>1</v>
      </c>
      <c r="CK2262">
        <v>22</v>
      </c>
      <c r="CL2262" t="s">
        <v>90</v>
      </c>
    </row>
    <row r="2263" spans="1:90" x14ac:dyDescent="0.3">
      <c r="A2263" t="s">
        <v>72</v>
      </c>
      <c r="B2263" t="s">
        <v>73</v>
      </c>
      <c r="C2263" t="s">
        <v>74</v>
      </c>
      <c r="E2263" t="str">
        <f>"080067262102"</f>
        <v>080067262102</v>
      </c>
      <c r="F2263" s="3">
        <v>45884</v>
      </c>
      <c r="G2263">
        <v>202605</v>
      </c>
      <c r="H2263" t="s">
        <v>75</v>
      </c>
      <c r="I2263" t="s">
        <v>76</v>
      </c>
      <c r="J2263" t="s">
        <v>77</v>
      </c>
      <c r="K2263" t="s">
        <v>78</v>
      </c>
      <c r="L2263" t="s">
        <v>303</v>
      </c>
      <c r="M2263" t="s">
        <v>304</v>
      </c>
      <c r="N2263" t="s">
        <v>1923</v>
      </c>
      <c r="O2263" t="s">
        <v>82</v>
      </c>
      <c r="P2263" t="str">
        <f>"4170055068                    "</f>
        <v xml:space="preserve">4170055068                    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>
        <v>0</v>
      </c>
      <c r="AQ2263">
        <v>44.73</v>
      </c>
      <c r="AR2263">
        <v>0</v>
      </c>
      <c r="AS2263">
        <v>0</v>
      </c>
      <c r="AT2263">
        <v>0</v>
      </c>
      <c r="AU2263">
        <v>0</v>
      </c>
      <c r="AV2263">
        <v>0</v>
      </c>
      <c r="AW2263">
        <v>0</v>
      </c>
      <c r="AX2263">
        <v>0</v>
      </c>
      <c r="AY2263">
        <v>0</v>
      </c>
      <c r="AZ2263">
        <v>0</v>
      </c>
      <c r="BA2263">
        <v>0</v>
      </c>
      <c r="BB2263">
        <v>0</v>
      </c>
      <c r="BC2263">
        <v>0</v>
      </c>
      <c r="BD2263">
        <v>0</v>
      </c>
      <c r="BE2263">
        <v>0</v>
      </c>
      <c r="BF2263">
        <v>0</v>
      </c>
      <c r="BG2263">
        <v>0</v>
      </c>
      <c r="BH2263">
        <v>1</v>
      </c>
      <c r="BI2263">
        <v>1</v>
      </c>
      <c r="BJ2263">
        <v>0.2</v>
      </c>
      <c r="BK2263">
        <v>1</v>
      </c>
      <c r="BL2263">
        <v>138.88999999999999</v>
      </c>
      <c r="BM2263">
        <v>20.83</v>
      </c>
      <c r="BN2263">
        <v>159.72</v>
      </c>
      <c r="BO2263">
        <v>159.72</v>
      </c>
      <c r="BQ2263" t="s">
        <v>1924</v>
      </c>
      <c r="BR2263" t="s">
        <v>84</v>
      </c>
      <c r="BS2263" s="3">
        <v>45887</v>
      </c>
      <c r="BT2263" s="4">
        <v>0.44513888888888886</v>
      </c>
      <c r="BU2263" t="s">
        <v>1925</v>
      </c>
      <c r="BV2263" t="s">
        <v>86</v>
      </c>
      <c r="BY2263">
        <v>1200</v>
      </c>
      <c r="BZ2263" t="s">
        <v>330</v>
      </c>
      <c r="CA2263" t="s">
        <v>308</v>
      </c>
      <c r="CC2263" t="s">
        <v>304</v>
      </c>
      <c r="CD2263">
        <v>7130</v>
      </c>
      <c r="CE2263" t="s">
        <v>597</v>
      </c>
      <c r="CI2263">
        <v>1</v>
      </c>
      <c r="CJ2263">
        <v>1</v>
      </c>
      <c r="CK2263">
        <v>23</v>
      </c>
      <c r="CL2263" t="s">
        <v>90</v>
      </c>
    </row>
    <row r="2264" spans="1:90" x14ac:dyDescent="0.3">
      <c r="A2264" t="s">
        <v>72</v>
      </c>
      <c r="B2264" t="s">
        <v>73</v>
      </c>
      <c r="C2264" t="s">
        <v>74</v>
      </c>
      <c r="E2264" t="str">
        <f>"080067262126"</f>
        <v>080067262126</v>
      </c>
      <c r="F2264" s="3">
        <v>45884</v>
      </c>
      <c r="G2264">
        <v>202605</v>
      </c>
      <c r="H2264" t="s">
        <v>75</v>
      </c>
      <c r="I2264" t="s">
        <v>76</v>
      </c>
      <c r="J2264" t="s">
        <v>77</v>
      </c>
      <c r="K2264" t="s">
        <v>78</v>
      </c>
      <c r="L2264" t="s">
        <v>123</v>
      </c>
      <c r="M2264" t="s">
        <v>124</v>
      </c>
      <c r="N2264" t="s">
        <v>406</v>
      </c>
      <c r="O2264" t="s">
        <v>82</v>
      </c>
      <c r="P2264" t="str">
        <f>"4170055085                    "</f>
        <v xml:space="preserve">4170055085                    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>
        <v>0</v>
      </c>
      <c r="AQ2264">
        <v>23.09</v>
      </c>
      <c r="AR2264">
        <v>0</v>
      </c>
      <c r="AS2264">
        <v>0</v>
      </c>
      <c r="AT2264">
        <v>0</v>
      </c>
      <c r="AU2264">
        <v>0</v>
      </c>
      <c r="AV2264">
        <v>0</v>
      </c>
      <c r="AW2264">
        <v>0</v>
      </c>
      <c r="AX2264">
        <v>0</v>
      </c>
      <c r="AY2264">
        <v>0</v>
      </c>
      <c r="AZ2264">
        <v>0</v>
      </c>
      <c r="BA2264">
        <v>0</v>
      </c>
      <c r="BB2264">
        <v>0</v>
      </c>
      <c r="BC2264">
        <v>0</v>
      </c>
      <c r="BD2264">
        <v>0</v>
      </c>
      <c r="BE2264">
        <v>0</v>
      </c>
      <c r="BF2264">
        <v>0</v>
      </c>
      <c r="BG2264">
        <v>0</v>
      </c>
      <c r="BH2264">
        <v>1</v>
      </c>
      <c r="BI2264">
        <v>1</v>
      </c>
      <c r="BJ2264">
        <v>0.2</v>
      </c>
      <c r="BK2264">
        <v>1</v>
      </c>
      <c r="BL2264">
        <v>71.69</v>
      </c>
      <c r="BM2264">
        <v>10.75</v>
      </c>
      <c r="BN2264">
        <v>82.44</v>
      </c>
      <c r="BO2264">
        <v>82.44</v>
      </c>
      <c r="BQ2264" t="s">
        <v>407</v>
      </c>
      <c r="BR2264" t="s">
        <v>84</v>
      </c>
      <c r="BS2264" s="3">
        <v>45887</v>
      </c>
      <c r="BT2264" s="4">
        <v>0.42499999999999999</v>
      </c>
      <c r="BU2264" t="s">
        <v>2753</v>
      </c>
      <c r="BV2264" t="s">
        <v>86</v>
      </c>
      <c r="BY2264">
        <v>1200</v>
      </c>
      <c r="CA2264" t="s">
        <v>2361</v>
      </c>
      <c r="CC2264" t="s">
        <v>124</v>
      </c>
      <c r="CD2264">
        <v>7441</v>
      </c>
      <c r="CE2264" t="s">
        <v>109</v>
      </c>
      <c r="CI2264">
        <v>1</v>
      </c>
      <c r="CJ2264">
        <v>1</v>
      </c>
      <c r="CK2264">
        <v>21</v>
      </c>
      <c r="CL2264" t="s">
        <v>90</v>
      </c>
    </row>
    <row r="2265" spans="1:90" x14ac:dyDescent="0.3">
      <c r="A2265" t="s">
        <v>72</v>
      </c>
      <c r="B2265" t="s">
        <v>73</v>
      </c>
      <c r="C2265" t="s">
        <v>74</v>
      </c>
      <c r="E2265" t="str">
        <f>"080067262167"</f>
        <v>080067262167</v>
      </c>
      <c r="F2265" s="3">
        <v>45884</v>
      </c>
      <c r="G2265">
        <v>202605</v>
      </c>
      <c r="H2265" t="s">
        <v>75</v>
      </c>
      <c r="I2265" t="s">
        <v>76</v>
      </c>
      <c r="J2265" t="s">
        <v>77</v>
      </c>
      <c r="K2265" t="s">
        <v>78</v>
      </c>
      <c r="L2265" t="s">
        <v>373</v>
      </c>
      <c r="M2265" t="s">
        <v>374</v>
      </c>
      <c r="N2265" t="s">
        <v>1084</v>
      </c>
      <c r="O2265" t="s">
        <v>82</v>
      </c>
      <c r="P2265" t="str">
        <f>"4170054983                    "</f>
        <v xml:space="preserve">4170054983                    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>
        <v>0</v>
      </c>
      <c r="AQ2265">
        <v>23.09</v>
      </c>
      <c r="AR2265">
        <v>0</v>
      </c>
      <c r="AS2265">
        <v>0</v>
      </c>
      <c r="AT2265">
        <v>0</v>
      </c>
      <c r="AU2265">
        <v>0</v>
      </c>
      <c r="AV2265">
        <v>0</v>
      </c>
      <c r="AW2265">
        <v>0</v>
      </c>
      <c r="AX2265">
        <v>0</v>
      </c>
      <c r="AY2265">
        <v>0</v>
      </c>
      <c r="AZ2265">
        <v>0</v>
      </c>
      <c r="BA2265">
        <v>0</v>
      </c>
      <c r="BB2265">
        <v>0</v>
      </c>
      <c r="BC2265">
        <v>0</v>
      </c>
      <c r="BD2265">
        <v>0</v>
      </c>
      <c r="BE2265">
        <v>0</v>
      </c>
      <c r="BF2265">
        <v>0</v>
      </c>
      <c r="BG2265">
        <v>0</v>
      </c>
      <c r="BH2265">
        <v>1</v>
      </c>
      <c r="BI2265">
        <v>1</v>
      </c>
      <c r="BJ2265">
        <v>0.2</v>
      </c>
      <c r="BK2265">
        <v>1</v>
      </c>
      <c r="BL2265">
        <v>71.69</v>
      </c>
      <c r="BM2265">
        <v>10.75</v>
      </c>
      <c r="BN2265">
        <v>82.44</v>
      </c>
      <c r="BO2265">
        <v>82.44</v>
      </c>
      <c r="BQ2265" t="s">
        <v>1085</v>
      </c>
      <c r="BR2265" t="s">
        <v>84</v>
      </c>
      <c r="BS2265" s="3">
        <v>45887</v>
      </c>
      <c r="BT2265" s="4">
        <v>0.41041666666666665</v>
      </c>
      <c r="BU2265" t="s">
        <v>2762</v>
      </c>
      <c r="BV2265" t="s">
        <v>86</v>
      </c>
      <c r="BY2265">
        <v>1200</v>
      </c>
      <c r="CA2265" t="s">
        <v>2759</v>
      </c>
      <c r="CC2265" t="s">
        <v>374</v>
      </c>
      <c r="CD2265">
        <v>6220</v>
      </c>
      <c r="CE2265" t="s">
        <v>109</v>
      </c>
      <c r="CF2265" s="3">
        <v>45887</v>
      </c>
      <c r="CI2265">
        <v>1</v>
      </c>
      <c r="CJ2265">
        <v>1</v>
      </c>
      <c r="CK2265">
        <v>21</v>
      </c>
      <c r="CL2265" t="s">
        <v>90</v>
      </c>
    </row>
    <row r="2266" spans="1:90" x14ac:dyDescent="0.3">
      <c r="A2266" t="s">
        <v>72</v>
      </c>
      <c r="B2266" t="s">
        <v>73</v>
      </c>
      <c r="C2266" t="s">
        <v>74</v>
      </c>
      <c r="E2266" t="str">
        <f>"080067262185"</f>
        <v>080067262185</v>
      </c>
      <c r="F2266" s="3">
        <v>45884</v>
      </c>
      <c r="G2266">
        <v>202605</v>
      </c>
      <c r="H2266" t="s">
        <v>75</v>
      </c>
      <c r="I2266" t="s">
        <v>76</v>
      </c>
      <c r="J2266" t="s">
        <v>77</v>
      </c>
      <c r="K2266" t="s">
        <v>78</v>
      </c>
      <c r="L2266" t="s">
        <v>193</v>
      </c>
      <c r="M2266" t="s">
        <v>194</v>
      </c>
      <c r="N2266" t="s">
        <v>551</v>
      </c>
      <c r="O2266" t="s">
        <v>82</v>
      </c>
      <c r="P2266" t="str">
        <f>"4170054880                    "</f>
        <v xml:space="preserve">4170054880                    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>
        <v>0</v>
      </c>
      <c r="AQ2266">
        <v>44.73</v>
      </c>
      <c r="AR2266">
        <v>0</v>
      </c>
      <c r="AS2266">
        <v>0</v>
      </c>
      <c r="AT2266">
        <v>0</v>
      </c>
      <c r="AU2266">
        <v>0</v>
      </c>
      <c r="AV2266">
        <v>0</v>
      </c>
      <c r="AW2266">
        <v>0</v>
      </c>
      <c r="AX2266">
        <v>0</v>
      </c>
      <c r="AY2266">
        <v>0</v>
      </c>
      <c r="AZ2266">
        <v>0</v>
      </c>
      <c r="BA2266">
        <v>0</v>
      </c>
      <c r="BB2266">
        <v>0</v>
      </c>
      <c r="BC2266">
        <v>0</v>
      </c>
      <c r="BD2266">
        <v>0</v>
      </c>
      <c r="BE2266">
        <v>0</v>
      </c>
      <c r="BF2266">
        <v>0</v>
      </c>
      <c r="BG2266">
        <v>0</v>
      </c>
      <c r="BH2266">
        <v>1</v>
      </c>
      <c r="BI2266">
        <v>1</v>
      </c>
      <c r="BJ2266">
        <v>0.2</v>
      </c>
      <c r="BK2266">
        <v>1</v>
      </c>
      <c r="BL2266">
        <v>138.88999999999999</v>
      </c>
      <c r="BM2266">
        <v>20.83</v>
      </c>
      <c r="BN2266">
        <v>159.72</v>
      </c>
      <c r="BO2266">
        <v>159.72</v>
      </c>
      <c r="BQ2266" t="s">
        <v>552</v>
      </c>
      <c r="BR2266" t="s">
        <v>84</v>
      </c>
      <c r="BS2266" s="3">
        <v>45887</v>
      </c>
      <c r="BT2266" s="4">
        <v>0.4201388888888889</v>
      </c>
      <c r="BU2266" t="s">
        <v>2763</v>
      </c>
      <c r="BV2266" t="s">
        <v>86</v>
      </c>
      <c r="BY2266">
        <v>1200</v>
      </c>
      <c r="CA2266" t="s">
        <v>554</v>
      </c>
      <c r="CC2266" t="s">
        <v>194</v>
      </c>
      <c r="CD2266">
        <v>1035</v>
      </c>
      <c r="CE2266" t="s">
        <v>109</v>
      </c>
      <c r="CF2266" s="3">
        <v>45888</v>
      </c>
      <c r="CI2266">
        <v>1</v>
      </c>
      <c r="CJ2266">
        <v>1</v>
      </c>
      <c r="CK2266">
        <v>23</v>
      </c>
      <c r="CL2266" t="s">
        <v>90</v>
      </c>
    </row>
    <row r="2267" spans="1:90" x14ac:dyDescent="0.3">
      <c r="A2267" t="s">
        <v>72</v>
      </c>
      <c r="B2267" t="s">
        <v>73</v>
      </c>
      <c r="C2267" t="s">
        <v>74</v>
      </c>
      <c r="E2267" t="str">
        <f>"080067262205"</f>
        <v>080067262205</v>
      </c>
      <c r="F2267" s="3">
        <v>45884</v>
      </c>
      <c r="G2267">
        <v>202605</v>
      </c>
      <c r="H2267" t="s">
        <v>75</v>
      </c>
      <c r="I2267" t="s">
        <v>76</v>
      </c>
      <c r="J2267" t="s">
        <v>77</v>
      </c>
      <c r="K2267" t="s">
        <v>78</v>
      </c>
      <c r="L2267" t="s">
        <v>278</v>
      </c>
      <c r="M2267" t="s">
        <v>279</v>
      </c>
      <c r="N2267" t="s">
        <v>690</v>
      </c>
      <c r="O2267" t="s">
        <v>82</v>
      </c>
      <c r="P2267" t="str">
        <f>"4170054979                    "</f>
        <v xml:space="preserve">4170054979                    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N2267">
        <v>0</v>
      </c>
      <c r="AO2267">
        <v>0</v>
      </c>
      <c r="AP2267">
        <v>0</v>
      </c>
      <c r="AQ2267">
        <v>23.09</v>
      </c>
      <c r="AR2267">
        <v>0</v>
      </c>
      <c r="AS2267">
        <v>0</v>
      </c>
      <c r="AT2267">
        <v>0</v>
      </c>
      <c r="AU2267">
        <v>0</v>
      </c>
      <c r="AV2267">
        <v>0</v>
      </c>
      <c r="AW2267">
        <v>0</v>
      </c>
      <c r="AX2267">
        <v>0</v>
      </c>
      <c r="AY2267">
        <v>0</v>
      </c>
      <c r="AZ2267">
        <v>0</v>
      </c>
      <c r="BA2267">
        <v>0</v>
      </c>
      <c r="BB2267">
        <v>0</v>
      </c>
      <c r="BC2267">
        <v>0</v>
      </c>
      <c r="BD2267">
        <v>0</v>
      </c>
      <c r="BE2267">
        <v>0</v>
      </c>
      <c r="BF2267">
        <v>0</v>
      </c>
      <c r="BG2267">
        <v>0</v>
      </c>
      <c r="BH2267">
        <v>1</v>
      </c>
      <c r="BI2267">
        <v>1</v>
      </c>
      <c r="BJ2267">
        <v>0.2</v>
      </c>
      <c r="BK2267">
        <v>1</v>
      </c>
      <c r="BL2267">
        <v>71.69</v>
      </c>
      <c r="BM2267">
        <v>10.75</v>
      </c>
      <c r="BN2267">
        <v>82.44</v>
      </c>
      <c r="BO2267">
        <v>82.44</v>
      </c>
      <c r="BQ2267" t="s">
        <v>691</v>
      </c>
      <c r="BR2267" t="s">
        <v>84</v>
      </c>
      <c r="BS2267" s="3">
        <v>45887</v>
      </c>
      <c r="BT2267" s="4">
        <v>0.39097222222222222</v>
      </c>
      <c r="BU2267" t="s">
        <v>692</v>
      </c>
      <c r="BV2267" t="s">
        <v>86</v>
      </c>
      <c r="BY2267">
        <v>1200</v>
      </c>
      <c r="CA2267" t="s">
        <v>693</v>
      </c>
      <c r="CC2267" t="s">
        <v>279</v>
      </c>
      <c r="CD2267" s="5" t="s">
        <v>289</v>
      </c>
      <c r="CE2267" t="s">
        <v>109</v>
      </c>
      <c r="CF2267" s="3">
        <v>45887</v>
      </c>
      <c r="CI2267">
        <v>1</v>
      </c>
      <c r="CJ2267">
        <v>1</v>
      </c>
      <c r="CK2267">
        <v>21</v>
      </c>
      <c r="CL2267" t="s">
        <v>90</v>
      </c>
    </row>
    <row r="2268" spans="1:90" x14ac:dyDescent="0.3">
      <c r="A2268" t="s">
        <v>72</v>
      </c>
      <c r="B2268" t="s">
        <v>73</v>
      </c>
      <c r="C2268" t="s">
        <v>74</v>
      </c>
      <c r="E2268" t="str">
        <f>"080067262229"</f>
        <v>080067262229</v>
      </c>
      <c r="F2268" s="3">
        <v>45884</v>
      </c>
      <c r="G2268">
        <v>202605</v>
      </c>
      <c r="H2268" t="s">
        <v>75</v>
      </c>
      <c r="I2268" t="s">
        <v>76</v>
      </c>
      <c r="J2268" t="s">
        <v>77</v>
      </c>
      <c r="K2268" t="s">
        <v>78</v>
      </c>
      <c r="L2268" t="s">
        <v>217</v>
      </c>
      <c r="M2268" t="s">
        <v>218</v>
      </c>
      <c r="N2268" t="s">
        <v>249</v>
      </c>
      <c r="O2268" t="s">
        <v>82</v>
      </c>
      <c r="P2268" t="str">
        <f>"4170054886                    "</f>
        <v xml:space="preserve">4170054886                    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>
        <v>0</v>
      </c>
      <c r="AQ2268">
        <v>23.09</v>
      </c>
      <c r="AR2268">
        <v>0</v>
      </c>
      <c r="AS2268">
        <v>0</v>
      </c>
      <c r="AT2268">
        <v>0</v>
      </c>
      <c r="AU2268">
        <v>0</v>
      </c>
      <c r="AV2268">
        <v>0</v>
      </c>
      <c r="AW2268">
        <v>0</v>
      </c>
      <c r="AX2268">
        <v>0</v>
      </c>
      <c r="AY2268">
        <v>0</v>
      </c>
      <c r="AZ2268">
        <v>0</v>
      </c>
      <c r="BA2268">
        <v>0</v>
      </c>
      <c r="BB2268">
        <v>0</v>
      </c>
      <c r="BC2268">
        <v>0</v>
      </c>
      <c r="BD2268">
        <v>0</v>
      </c>
      <c r="BE2268">
        <v>0</v>
      </c>
      <c r="BF2268">
        <v>0</v>
      </c>
      <c r="BG2268">
        <v>0</v>
      </c>
      <c r="BH2268">
        <v>1</v>
      </c>
      <c r="BI2268">
        <v>1</v>
      </c>
      <c r="BJ2268">
        <v>0.2</v>
      </c>
      <c r="BK2268">
        <v>1</v>
      </c>
      <c r="BL2268">
        <v>71.69</v>
      </c>
      <c r="BM2268">
        <v>10.75</v>
      </c>
      <c r="BN2268">
        <v>82.44</v>
      </c>
      <c r="BO2268">
        <v>82.44</v>
      </c>
      <c r="BQ2268" t="s">
        <v>250</v>
      </c>
      <c r="BR2268" t="s">
        <v>84</v>
      </c>
      <c r="BS2268" s="3">
        <v>45887</v>
      </c>
      <c r="BT2268" s="4">
        <v>0.37152777777777779</v>
      </c>
      <c r="BU2268" t="s">
        <v>2750</v>
      </c>
      <c r="BV2268" t="s">
        <v>86</v>
      </c>
      <c r="BY2268">
        <v>1200</v>
      </c>
      <c r="CC2268" t="s">
        <v>218</v>
      </c>
      <c r="CD2268">
        <v>4052</v>
      </c>
      <c r="CE2268" t="s">
        <v>109</v>
      </c>
      <c r="CF2268" s="3">
        <v>45888</v>
      </c>
      <c r="CI2268">
        <v>1</v>
      </c>
      <c r="CJ2268">
        <v>1</v>
      </c>
      <c r="CK2268">
        <v>21</v>
      </c>
      <c r="CL2268" t="s">
        <v>90</v>
      </c>
    </row>
    <row r="2269" spans="1:90" x14ac:dyDescent="0.3">
      <c r="A2269" t="s">
        <v>72</v>
      </c>
      <c r="B2269" t="s">
        <v>73</v>
      </c>
      <c r="C2269" t="s">
        <v>74</v>
      </c>
      <c r="E2269" t="str">
        <f>"080067262254"</f>
        <v>080067262254</v>
      </c>
      <c r="F2269" s="3">
        <v>45884</v>
      </c>
      <c r="G2269">
        <v>202605</v>
      </c>
      <c r="H2269" t="s">
        <v>75</v>
      </c>
      <c r="I2269" t="s">
        <v>76</v>
      </c>
      <c r="J2269" t="s">
        <v>77</v>
      </c>
      <c r="K2269" t="s">
        <v>78</v>
      </c>
      <c r="L2269" t="s">
        <v>137</v>
      </c>
      <c r="M2269" t="s">
        <v>138</v>
      </c>
      <c r="N2269" t="s">
        <v>1760</v>
      </c>
      <c r="O2269" t="s">
        <v>82</v>
      </c>
      <c r="P2269" t="str">
        <f>"4170054462                    "</f>
        <v xml:space="preserve">4170054462                    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>
        <v>0</v>
      </c>
      <c r="AQ2269">
        <v>23.09</v>
      </c>
      <c r="AR2269">
        <v>0</v>
      </c>
      <c r="AS2269">
        <v>0</v>
      </c>
      <c r="AT2269">
        <v>0</v>
      </c>
      <c r="AU2269">
        <v>0</v>
      </c>
      <c r="AV2269">
        <v>0</v>
      </c>
      <c r="AW2269">
        <v>0</v>
      </c>
      <c r="AX2269">
        <v>0</v>
      </c>
      <c r="AY2269">
        <v>0</v>
      </c>
      <c r="AZ2269">
        <v>0</v>
      </c>
      <c r="BA2269">
        <v>0</v>
      </c>
      <c r="BB2269">
        <v>0</v>
      </c>
      <c r="BC2269">
        <v>0</v>
      </c>
      <c r="BD2269">
        <v>0</v>
      </c>
      <c r="BE2269">
        <v>0</v>
      </c>
      <c r="BF2269">
        <v>0</v>
      </c>
      <c r="BG2269">
        <v>0</v>
      </c>
      <c r="BH2269">
        <v>1</v>
      </c>
      <c r="BI2269">
        <v>1</v>
      </c>
      <c r="BJ2269">
        <v>1.1000000000000001</v>
      </c>
      <c r="BK2269">
        <v>1.5</v>
      </c>
      <c r="BL2269">
        <v>71.69</v>
      </c>
      <c r="BM2269">
        <v>10.75</v>
      </c>
      <c r="BN2269">
        <v>82.44</v>
      </c>
      <c r="BO2269">
        <v>82.44</v>
      </c>
      <c r="BQ2269" t="s">
        <v>1761</v>
      </c>
      <c r="BR2269" t="s">
        <v>84</v>
      </c>
      <c r="BS2269" s="3">
        <v>45887</v>
      </c>
      <c r="BT2269" s="4">
        <v>0.45624999999999999</v>
      </c>
      <c r="BU2269" t="s">
        <v>1819</v>
      </c>
      <c r="BV2269" t="s">
        <v>86</v>
      </c>
      <c r="BY2269">
        <v>5320</v>
      </c>
      <c r="CA2269" t="s">
        <v>953</v>
      </c>
      <c r="CC2269" t="s">
        <v>138</v>
      </c>
      <c r="CD2269">
        <v>3610</v>
      </c>
      <c r="CE2269" t="s">
        <v>147</v>
      </c>
      <c r="CF2269" s="3">
        <v>45888</v>
      </c>
      <c r="CI2269">
        <v>1</v>
      </c>
      <c r="CJ2269">
        <v>1</v>
      </c>
      <c r="CK2269">
        <v>21</v>
      </c>
      <c r="CL2269" t="s">
        <v>90</v>
      </c>
    </row>
    <row r="2270" spans="1:90" x14ac:dyDescent="0.3">
      <c r="A2270" t="s">
        <v>72</v>
      </c>
      <c r="B2270" t="s">
        <v>73</v>
      </c>
      <c r="C2270" t="s">
        <v>74</v>
      </c>
      <c r="E2270" t="str">
        <f>"080067262290"</f>
        <v>080067262290</v>
      </c>
      <c r="F2270" s="3">
        <v>45884</v>
      </c>
      <c r="G2270">
        <v>202605</v>
      </c>
      <c r="H2270" t="s">
        <v>75</v>
      </c>
      <c r="I2270" t="s">
        <v>76</v>
      </c>
      <c r="J2270" t="s">
        <v>77</v>
      </c>
      <c r="K2270" t="s">
        <v>78</v>
      </c>
      <c r="L2270" t="s">
        <v>241</v>
      </c>
      <c r="M2270" t="s">
        <v>242</v>
      </c>
      <c r="N2270" t="s">
        <v>2629</v>
      </c>
      <c r="O2270" t="s">
        <v>82</v>
      </c>
      <c r="P2270" t="str">
        <f>"4170055119                    "</f>
        <v xml:space="preserve">4170055119                    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N2270">
        <v>0</v>
      </c>
      <c r="AO2270">
        <v>0</v>
      </c>
      <c r="AP2270">
        <v>0</v>
      </c>
      <c r="AQ2270">
        <v>18.03</v>
      </c>
      <c r="AR2270">
        <v>0</v>
      </c>
      <c r="AS2270">
        <v>0</v>
      </c>
      <c r="AT2270">
        <v>0</v>
      </c>
      <c r="AU2270">
        <v>0</v>
      </c>
      <c r="AV2270">
        <v>0</v>
      </c>
      <c r="AW2270">
        <v>0</v>
      </c>
      <c r="AX2270">
        <v>0</v>
      </c>
      <c r="AY2270">
        <v>0</v>
      </c>
      <c r="AZ2270">
        <v>0</v>
      </c>
      <c r="BA2270">
        <v>0</v>
      </c>
      <c r="BB2270">
        <v>0</v>
      </c>
      <c r="BC2270">
        <v>0</v>
      </c>
      <c r="BD2270">
        <v>0</v>
      </c>
      <c r="BE2270">
        <v>0</v>
      </c>
      <c r="BF2270">
        <v>0</v>
      </c>
      <c r="BG2270">
        <v>0</v>
      </c>
      <c r="BH2270">
        <v>1</v>
      </c>
      <c r="BI2270">
        <v>1</v>
      </c>
      <c r="BJ2270">
        <v>1.9</v>
      </c>
      <c r="BK2270">
        <v>2</v>
      </c>
      <c r="BL2270">
        <v>55.99</v>
      </c>
      <c r="BM2270">
        <v>8.4</v>
      </c>
      <c r="BN2270">
        <v>64.39</v>
      </c>
      <c r="BO2270">
        <v>64.39</v>
      </c>
      <c r="BQ2270" t="s">
        <v>2630</v>
      </c>
      <c r="BR2270" t="s">
        <v>84</v>
      </c>
      <c r="BS2270" s="3">
        <v>45887</v>
      </c>
      <c r="BT2270" s="4">
        <v>0.35972222222222222</v>
      </c>
      <c r="BU2270" t="s">
        <v>2756</v>
      </c>
      <c r="BV2270" t="s">
        <v>86</v>
      </c>
      <c r="BY2270">
        <v>9600</v>
      </c>
      <c r="CA2270" t="s">
        <v>720</v>
      </c>
      <c r="CC2270" t="s">
        <v>242</v>
      </c>
      <c r="CD2270">
        <v>1459</v>
      </c>
      <c r="CE2270" t="s">
        <v>147</v>
      </c>
      <c r="CF2270" s="3">
        <v>45888</v>
      </c>
      <c r="CI2270">
        <v>1</v>
      </c>
      <c r="CJ2270">
        <v>1</v>
      </c>
      <c r="CK2270">
        <v>22</v>
      </c>
      <c r="CL2270" t="s">
        <v>90</v>
      </c>
    </row>
    <row r="2271" spans="1:90" x14ac:dyDescent="0.3">
      <c r="A2271" t="s">
        <v>72</v>
      </c>
      <c r="B2271" t="s">
        <v>73</v>
      </c>
      <c r="C2271" t="s">
        <v>74</v>
      </c>
      <c r="E2271" t="str">
        <f>"080067262331"</f>
        <v>080067262331</v>
      </c>
      <c r="F2271" s="3">
        <v>45884</v>
      </c>
      <c r="G2271">
        <v>202605</v>
      </c>
      <c r="H2271" t="s">
        <v>75</v>
      </c>
      <c r="I2271" t="s">
        <v>76</v>
      </c>
      <c r="J2271" t="s">
        <v>77</v>
      </c>
      <c r="K2271" t="s">
        <v>78</v>
      </c>
      <c r="L2271" t="s">
        <v>223</v>
      </c>
      <c r="M2271" t="s">
        <v>224</v>
      </c>
      <c r="N2271" t="s">
        <v>225</v>
      </c>
      <c r="O2271" t="s">
        <v>82</v>
      </c>
      <c r="P2271" t="str">
        <f>"4170055021                    "</f>
        <v xml:space="preserve">4170055021                    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>
        <v>0</v>
      </c>
      <c r="AQ2271">
        <v>23.09</v>
      </c>
      <c r="AR2271">
        <v>0</v>
      </c>
      <c r="AS2271">
        <v>0</v>
      </c>
      <c r="AT2271">
        <v>0</v>
      </c>
      <c r="AU2271">
        <v>0</v>
      </c>
      <c r="AV2271">
        <v>0</v>
      </c>
      <c r="AW2271">
        <v>0</v>
      </c>
      <c r="AX2271">
        <v>0</v>
      </c>
      <c r="AY2271">
        <v>0</v>
      </c>
      <c r="AZ2271">
        <v>0</v>
      </c>
      <c r="BA2271">
        <v>0</v>
      </c>
      <c r="BB2271">
        <v>0</v>
      </c>
      <c r="BC2271">
        <v>0</v>
      </c>
      <c r="BD2271">
        <v>0</v>
      </c>
      <c r="BE2271">
        <v>0</v>
      </c>
      <c r="BF2271">
        <v>0</v>
      </c>
      <c r="BG2271">
        <v>0</v>
      </c>
      <c r="BH2271">
        <v>1</v>
      </c>
      <c r="BI2271">
        <v>1</v>
      </c>
      <c r="BJ2271">
        <v>0.6</v>
      </c>
      <c r="BK2271">
        <v>1</v>
      </c>
      <c r="BL2271">
        <v>71.69</v>
      </c>
      <c r="BM2271">
        <v>10.75</v>
      </c>
      <c r="BN2271">
        <v>82.44</v>
      </c>
      <c r="BO2271">
        <v>82.44</v>
      </c>
      <c r="BQ2271" t="s">
        <v>226</v>
      </c>
      <c r="BR2271" t="s">
        <v>84</v>
      </c>
      <c r="BS2271" s="3">
        <v>45887</v>
      </c>
      <c r="BT2271" s="4">
        <v>0.58819444444444446</v>
      </c>
      <c r="BU2271" t="s">
        <v>2764</v>
      </c>
      <c r="BV2271" t="s">
        <v>90</v>
      </c>
      <c r="BY2271">
        <v>3192</v>
      </c>
      <c r="CA2271" t="s">
        <v>228</v>
      </c>
      <c r="CC2271" t="s">
        <v>224</v>
      </c>
      <c r="CD2271">
        <v>5201</v>
      </c>
      <c r="CE2271" t="s">
        <v>178</v>
      </c>
      <c r="CI2271">
        <v>1</v>
      </c>
      <c r="CJ2271">
        <v>1</v>
      </c>
      <c r="CK2271">
        <v>21</v>
      </c>
      <c r="CL2271" t="s">
        <v>90</v>
      </c>
    </row>
    <row r="2272" spans="1:90" x14ac:dyDescent="0.3">
      <c r="A2272" t="s">
        <v>72</v>
      </c>
      <c r="B2272" t="s">
        <v>73</v>
      </c>
      <c r="C2272" t="s">
        <v>74</v>
      </c>
      <c r="E2272" t="str">
        <f>"080067262392"</f>
        <v>080067262392</v>
      </c>
      <c r="F2272" s="3">
        <v>45884</v>
      </c>
      <c r="G2272">
        <v>202605</v>
      </c>
      <c r="H2272" t="s">
        <v>75</v>
      </c>
      <c r="I2272" t="s">
        <v>76</v>
      </c>
      <c r="J2272" t="s">
        <v>77</v>
      </c>
      <c r="K2272" t="s">
        <v>78</v>
      </c>
      <c r="L2272" t="s">
        <v>123</v>
      </c>
      <c r="M2272" t="s">
        <v>124</v>
      </c>
      <c r="N2272" t="s">
        <v>406</v>
      </c>
      <c r="O2272" t="s">
        <v>82</v>
      </c>
      <c r="P2272" t="str">
        <f>"4170054998                    "</f>
        <v xml:space="preserve">4170054998                    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0</v>
      </c>
      <c r="AO2272">
        <v>0</v>
      </c>
      <c r="AP2272">
        <v>0</v>
      </c>
      <c r="AQ2272">
        <v>23.09</v>
      </c>
      <c r="AR2272">
        <v>0</v>
      </c>
      <c r="AS2272">
        <v>0</v>
      </c>
      <c r="AT2272">
        <v>0</v>
      </c>
      <c r="AU2272">
        <v>0</v>
      </c>
      <c r="AV2272">
        <v>0</v>
      </c>
      <c r="AW2272">
        <v>0</v>
      </c>
      <c r="AX2272">
        <v>0</v>
      </c>
      <c r="AY2272">
        <v>0</v>
      </c>
      <c r="AZ2272">
        <v>0</v>
      </c>
      <c r="BA2272">
        <v>0</v>
      </c>
      <c r="BB2272">
        <v>0</v>
      </c>
      <c r="BC2272">
        <v>0</v>
      </c>
      <c r="BD2272">
        <v>0</v>
      </c>
      <c r="BE2272">
        <v>0</v>
      </c>
      <c r="BF2272">
        <v>0</v>
      </c>
      <c r="BG2272">
        <v>0</v>
      </c>
      <c r="BH2272">
        <v>1</v>
      </c>
      <c r="BI2272">
        <v>1</v>
      </c>
      <c r="BJ2272">
        <v>0.6</v>
      </c>
      <c r="BK2272">
        <v>1</v>
      </c>
      <c r="BL2272">
        <v>71.69</v>
      </c>
      <c r="BM2272">
        <v>10.75</v>
      </c>
      <c r="BN2272">
        <v>82.44</v>
      </c>
      <c r="BO2272">
        <v>82.44</v>
      </c>
      <c r="BQ2272" t="s">
        <v>407</v>
      </c>
      <c r="BR2272" t="s">
        <v>84</v>
      </c>
      <c r="BS2272" s="3">
        <v>45887</v>
      </c>
      <c r="BT2272" s="4">
        <v>0.42499999999999999</v>
      </c>
      <c r="BU2272" t="s">
        <v>2753</v>
      </c>
      <c r="BV2272" t="s">
        <v>86</v>
      </c>
      <c r="BY2272">
        <v>3192</v>
      </c>
      <c r="CA2272" t="s">
        <v>2361</v>
      </c>
      <c r="CC2272" t="s">
        <v>124</v>
      </c>
      <c r="CD2272">
        <v>7441</v>
      </c>
      <c r="CE2272" t="s">
        <v>178</v>
      </c>
      <c r="CI2272">
        <v>1</v>
      </c>
      <c r="CJ2272">
        <v>1</v>
      </c>
      <c r="CK2272">
        <v>21</v>
      </c>
      <c r="CL2272" t="s">
        <v>90</v>
      </c>
    </row>
    <row r="2273" spans="1:90" x14ac:dyDescent="0.3">
      <c r="A2273" t="s">
        <v>72</v>
      </c>
      <c r="B2273" t="s">
        <v>73</v>
      </c>
      <c r="C2273" t="s">
        <v>74</v>
      </c>
      <c r="E2273" t="str">
        <f>"080067262434"</f>
        <v>080067262434</v>
      </c>
      <c r="F2273" s="3">
        <v>45884</v>
      </c>
      <c r="G2273">
        <v>202605</v>
      </c>
      <c r="H2273" t="s">
        <v>75</v>
      </c>
      <c r="I2273" t="s">
        <v>76</v>
      </c>
      <c r="J2273" t="s">
        <v>77</v>
      </c>
      <c r="K2273" t="s">
        <v>78</v>
      </c>
      <c r="L2273" t="s">
        <v>75</v>
      </c>
      <c r="M2273" t="s">
        <v>76</v>
      </c>
      <c r="N2273" t="s">
        <v>2765</v>
      </c>
      <c r="O2273" t="s">
        <v>82</v>
      </c>
      <c r="P2273" t="str">
        <f>"4170055023                    "</f>
        <v xml:space="preserve">4170055023                    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0</v>
      </c>
      <c r="AI2273">
        <v>0</v>
      </c>
      <c r="AJ2273">
        <v>0</v>
      </c>
      <c r="AK2273">
        <v>0</v>
      </c>
      <c r="AL2273">
        <v>0</v>
      </c>
      <c r="AM2273">
        <v>0</v>
      </c>
      <c r="AN2273">
        <v>0</v>
      </c>
      <c r="AO2273">
        <v>0</v>
      </c>
      <c r="AP2273">
        <v>0</v>
      </c>
      <c r="AQ2273">
        <v>18.03</v>
      </c>
      <c r="AR2273">
        <v>0</v>
      </c>
      <c r="AS2273">
        <v>0</v>
      </c>
      <c r="AT2273">
        <v>0</v>
      </c>
      <c r="AU2273">
        <v>0</v>
      </c>
      <c r="AV2273">
        <v>0</v>
      </c>
      <c r="AW2273">
        <v>0</v>
      </c>
      <c r="AX2273">
        <v>0</v>
      </c>
      <c r="AY2273">
        <v>0</v>
      </c>
      <c r="AZ2273">
        <v>0</v>
      </c>
      <c r="BA2273">
        <v>0</v>
      </c>
      <c r="BB2273">
        <v>0</v>
      </c>
      <c r="BC2273">
        <v>0</v>
      </c>
      <c r="BD2273">
        <v>0</v>
      </c>
      <c r="BE2273">
        <v>0</v>
      </c>
      <c r="BF2273">
        <v>0</v>
      </c>
      <c r="BG2273">
        <v>0</v>
      </c>
      <c r="BH2273">
        <v>1</v>
      </c>
      <c r="BI2273">
        <v>1</v>
      </c>
      <c r="BJ2273">
        <v>0.6</v>
      </c>
      <c r="BK2273">
        <v>1</v>
      </c>
      <c r="BL2273">
        <v>55.99</v>
      </c>
      <c r="BM2273">
        <v>8.4</v>
      </c>
      <c r="BN2273">
        <v>64.39</v>
      </c>
      <c r="BO2273">
        <v>64.39</v>
      </c>
      <c r="BQ2273" t="s">
        <v>2766</v>
      </c>
      <c r="BR2273" t="s">
        <v>84</v>
      </c>
      <c r="BS2273" s="3">
        <v>45887</v>
      </c>
      <c r="BT2273" s="4">
        <v>0.42708333333333331</v>
      </c>
      <c r="BU2273" t="s">
        <v>2767</v>
      </c>
      <c r="BV2273" t="s">
        <v>86</v>
      </c>
      <c r="BY2273">
        <v>3192</v>
      </c>
      <c r="CA2273" t="s">
        <v>2768</v>
      </c>
      <c r="CC2273" t="s">
        <v>76</v>
      </c>
      <c r="CD2273">
        <v>1619</v>
      </c>
      <c r="CE2273" t="s">
        <v>178</v>
      </c>
      <c r="CF2273" s="3">
        <v>45887</v>
      </c>
      <c r="CI2273">
        <v>1</v>
      </c>
      <c r="CJ2273">
        <v>1</v>
      </c>
      <c r="CK2273">
        <v>22</v>
      </c>
      <c r="CL2273" t="s">
        <v>90</v>
      </c>
    </row>
    <row r="2274" spans="1:90" x14ac:dyDescent="0.3">
      <c r="A2274" t="s">
        <v>72</v>
      </c>
      <c r="B2274" t="s">
        <v>73</v>
      </c>
      <c r="C2274" t="s">
        <v>74</v>
      </c>
      <c r="E2274" t="str">
        <f>"080067262567"</f>
        <v>080067262567</v>
      </c>
      <c r="F2274" s="3">
        <v>45884</v>
      </c>
      <c r="G2274">
        <v>202605</v>
      </c>
      <c r="H2274" t="s">
        <v>75</v>
      </c>
      <c r="I2274" t="s">
        <v>76</v>
      </c>
      <c r="J2274" t="s">
        <v>77</v>
      </c>
      <c r="K2274" t="s">
        <v>78</v>
      </c>
      <c r="L2274" t="s">
        <v>335</v>
      </c>
      <c r="M2274" t="s">
        <v>336</v>
      </c>
      <c r="N2274" t="s">
        <v>727</v>
      </c>
      <c r="O2274" t="s">
        <v>82</v>
      </c>
      <c r="P2274" t="str">
        <f>"4170055075                    "</f>
        <v xml:space="preserve">4170055075                    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0</v>
      </c>
      <c r="AI2274">
        <v>0</v>
      </c>
      <c r="AJ2274">
        <v>0</v>
      </c>
      <c r="AK2274">
        <v>0</v>
      </c>
      <c r="AL2274">
        <v>0</v>
      </c>
      <c r="AM2274">
        <v>0</v>
      </c>
      <c r="AN2274">
        <v>0</v>
      </c>
      <c r="AO2274">
        <v>0</v>
      </c>
      <c r="AP2274">
        <v>0</v>
      </c>
      <c r="AQ2274">
        <v>44.73</v>
      </c>
      <c r="AR2274">
        <v>0</v>
      </c>
      <c r="AS2274">
        <v>0</v>
      </c>
      <c r="AT2274">
        <v>0</v>
      </c>
      <c r="AU2274">
        <v>0</v>
      </c>
      <c r="AV2274">
        <v>0</v>
      </c>
      <c r="AW2274">
        <v>0</v>
      </c>
      <c r="AX2274">
        <v>0</v>
      </c>
      <c r="AY2274">
        <v>0</v>
      </c>
      <c r="AZ2274">
        <v>0</v>
      </c>
      <c r="BA2274">
        <v>0</v>
      </c>
      <c r="BB2274">
        <v>0</v>
      </c>
      <c r="BC2274">
        <v>0</v>
      </c>
      <c r="BD2274">
        <v>0</v>
      </c>
      <c r="BE2274">
        <v>0</v>
      </c>
      <c r="BF2274">
        <v>0</v>
      </c>
      <c r="BG2274">
        <v>0</v>
      </c>
      <c r="BH2274">
        <v>1</v>
      </c>
      <c r="BI2274">
        <v>2</v>
      </c>
      <c r="BJ2274">
        <v>1.7</v>
      </c>
      <c r="BK2274">
        <v>2</v>
      </c>
      <c r="BL2274">
        <v>138.88999999999999</v>
      </c>
      <c r="BM2274">
        <v>20.83</v>
      </c>
      <c r="BN2274">
        <v>159.72</v>
      </c>
      <c r="BO2274">
        <v>159.72</v>
      </c>
      <c r="BQ2274" t="s">
        <v>728</v>
      </c>
      <c r="BR2274" t="s">
        <v>84</v>
      </c>
      <c r="BS2274" s="3">
        <v>45887</v>
      </c>
      <c r="BT2274" s="4">
        <v>0.41805555555555557</v>
      </c>
      <c r="BU2274" t="s">
        <v>2769</v>
      </c>
      <c r="BV2274" t="s">
        <v>86</v>
      </c>
      <c r="BY2274">
        <v>8512</v>
      </c>
      <c r="CC2274" t="s">
        <v>336</v>
      </c>
      <c r="CD2274" s="5" t="s">
        <v>341</v>
      </c>
      <c r="CE2274" t="s">
        <v>178</v>
      </c>
      <c r="CI2274">
        <v>1</v>
      </c>
      <c r="CJ2274">
        <v>1</v>
      </c>
      <c r="CK2274">
        <v>23</v>
      </c>
      <c r="CL2274" t="s">
        <v>90</v>
      </c>
    </row>
    <row r="2275" spans="1:90" x14ac:dyDescent="0.3">
      <c r="A2275" t="s">
        <v>72</v>
      </c>
      <c r="B2275" t="s">
        <v>73</v>
      </c>
      <c r="C2275" t="s">
        <v>74</v>
      </c>
      <c r="E2275" t="str">
        <f>"080067262604"</f>
        <v>080067262604</v>
      </c>
      <c r="F2275" s="3">
        <v>45884</v>
      </c>
      <c r="G2275">
        <v>202605</v>
      </c>
      <c r="H2275" t="s">
        <v>75</v>
      </c>
      <c r="I2275" t="s">
        <v>76</v>
      </c>
      <c r="J2275" t="s">
        <v>77</v>
      </c>
      <c r="K2275" t="s">
        <v>78</v>
      </c>
      <c r="L2275" t="s">
        <v>123</v>
      </c>
      <c r="M2275" t="s">
        <v>124</v>
      </c>
      <c r="N2275" t="s">
        <v>406</v>
      </c>
      <c r="O2275" t="s">
        <v>82</v>
      </c>
      <c r="P2275" t="str">
        <f>"4170055084                    "</f>
        <v xml:space="preserve">4170055084                    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0</v>
      </c>
      <c r="AI2275">
        <v>0</v>
      </c>
      <c r="AJ2275">
        <v>0</v>
      </c>
      <c r="AK2275">
        <v>0</v>
      </c>
      <c r="AL2275">
        <v>0</v>
      </c>
      <c r="AM2275">
        <v>0</v>
      </c>
      <c r="AN2275">
        <v>0</v>
      </c>
      <c r="AO2275">
        <v>0</v>
      </c>
      <c r="AP2275">
        <v>0</v>
      </c>
      <c r="AQ2275">
        <v>57.68</v>
      </c>
      <c r="AR2275">
        <v>0</v>
      </c>
      <c r="AS2275">
        <v>0</v>
      </c>
      <c r="AT2275">
        <v>0</v>
      </c>
      <c r="AU2275">
        <v>0</v>
      </c>
      <c r="AV2275">
        <v>0</v>
      </c>
      <c r="AW2275">
        <v>0</v>
      </c>
      <c r="AX2275">
        <v>0</v>
      </c>
      <c r="AY2275">
        <v>0</v>
      </c>
      <c r="AZ2275">
        <v>0</v>
      </c>
      <c r="BA2275">
        <v>0</v>
      </c>
      <c r="BB2275">
        <v>0</v>
      </c>
      <c r="BC2275">
        <v>0</v>
      </c>
      <c r="BD2275">
        <v>0</v>
      </c>
      <c r="BE2275">
        <v>0</v>
      </c>
      <c r="BF2275">
        <v>0</v>
      </c>
      <c r="BG2275">
        <v>0</v>
      </c>
      <c r="BH2275">
        <v>1</v>
      </c>
      <c r="BI2275">
        <v>5</v>
      </c>
      <c r="BJ2275">
        <v>4.0999999999999996</v>
      </c>
      <c r="BK2275">
        <v>5</v>
      </c>
      <c r="BL2275">
        <v>179.12</v>
      </c>
      <c r="BM2275">
        <v>26.87</v>
      </c>
      <c r="BN2275">
        <v>205.99</v>
      </c>
      <c r="BO2275">
        <v>205.99</v>
      </c>
      <c r="BQ2275" t="s">
        <v>407</v>
      </c>
      <c r="BR2275" t="s">
        <v>84</v>
      </c>
      <c r="BS2275" s="3">
        <v>45887</v>
      </c>
      <c r="BT2275" s="4">
        <v>0.42499999999999999</v>
      </c>
      <c r="BU2275" t="s">
        <v>2753</v>
      </c>
      <c r="BV2275" t="s">
        <v>86</v>
      </c>
      <c r="BY2275">
        <v>20358</v>
      </c>
      <c r="CA2275" t="s">
        <v>2361</v>
      </c>
      <c r="CC2275" t="s">
        <v>124</v>
      </c>
      <c r="CD2275">
        <v>7441</v>
      </c>
      <c r="CE2275" t="s">
        <v>178</v>
      </c>
      <c r="CI2275">
        <v>1</v>
      </c>
      <c r="CJ2275">
        <v>1</v>
      </c>
      <c r="CK2275">
        <v>21</v>
      </c>
      <c r="CL2275" t="s">
        <v>90</v>
      </c>
    </row>
    <row r="2276" spans="1:90" x14ac:dyDescent="0.3">
      <c r="A2276" t="s">
        <v>72</v>
      </c>
      <c r="B2276" t="s">
        <v>73</v>
      </c>
      <c r="C2276" t="s">
        <v>74</v>
      </c>
      <c r="E2276" t="str">
        <f>"080067262737"</f>
        <v>080067262737</v>
      </c>
      <c r="F2276" s="3">
        <v>45884</v>
      </c>
      <c r="G2276">
        <v>202605</v>
      </c>
      <c r="H2276" t="s">
        <v>75</v>
      </c>
      <c r="I2276" t="s">
        <v>76</v>
      </c>
      <c r="J2276" t="s">
        <v>77</v>
      </c>
      <c r="K2276" t="s">
        <v>78</v>
      </c>
      <c r="L2276" t="s">
        <v>223</v>
      </c>
      <c r="M2276" t="s">
        <v>224</v>
      </c>
      <c r="N2276" t="s">
        <v>225</v>
      </c>
      <c r="O2276" t="s">
        <v>82</v>
      </c>
      <c r="P2276" t="str">
        <f>"4170055025                    "</f>
        <v xml:space="preserve">4170055025                    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>
        <v>0</v>
      </c>
      <c r="AL2276">
        <v>0</v>
      </c>
      <c r="AM2276">
        <v>0</v>
      </c>
      <c r="AN2276">
        <v>0</v>
      </c>
      <c r="AO2276">
        <v>0</v>
      </c>
      <c r="AP2276">
        <v>0</v>
      </c>
      <c r="AQ2276">
        <v>23.09</v>
      </c>
      <c r="AR2276">
        <v>0</v>
      </c>
      <c r="AS2276">
        <v>0</v>
      </c>
      <c r="AT2276">
        <v>0</v>
      </c>
      <c r="AU2276">
        <v>0</v>
      </c>
      <c r="AV2276">
        <v>0</v>
      </c>
      <c r="AW2276">
        <v>0</v>
      </c>
      <c r="AX2276">
        <v>0</v>
      </c>
      <c r="AY2276">
        <v>0</v>
      </c>
      <c r="AZ2276">
        <v>0</v>
      </c>
      <c r="BA2276">
        <v>0</v>
      </c>
      <c r="BB2276">
        <v>0</v>
      </c>
      <c r="BC2276">
        <v>0</v>
      </c>
      <c r="BD2276">
        <v>0</v>
      </c>
      <c r="BE2276">
        <v>0</v>
      </c>
      <c r="BF2276">
        <v>0</v>
      </c>
      <c r="BG2276">
        <v>0</v>
      </c>
      <c r="BH2276">
        <v>1</v>
      </c>
      <c r="BI2276">
        <v>1</v>
      </c>
      <c r="BJ2276">
        <v>0.2</v>
      </c>
      <c r="BK2276">
        <v>1</v>
      </c>
      <c r="BL2276">
        <v>71.69</v>
      </c>
      <c r="BM2276">
        <v>10.75</v>
      </c>
      <c r="BN2276">
        <v>82.44</v>
      </c>
      <c r="BO2276">
        <v>82.44</v>
      </c>
      <c r="BQ2276" t="s">
        <v>226</v>
      </c>
      <c r="BR2276" t="s">
        <v>84</v>
      </c>
      <c r="BS2276" s="3">
        <v>45887</v>
      </c>
      <c r="BT2276" s="4">
        <v>0.58958333333333335</v>
      </c>
      <c r="BU2276" t="s">
        <v>2764</v>
      </c>
      <c r="BV2276" t="s">
        <v>90</v>
      </c>
      <c r="BY2276">
        <v>1200</v>
      </c>
      <c r="CA2276" t="s">
        <v>228</v>
      </c>
      <c r="CC2276" t="s">
        <v>224</v>
      </c>
      <c r="CD2276">
        <v>5200</v>
      </c>
      <c r="CE2276" t="s">
        <v>109</v>
      </c>
      <c r="CI2276">
        <v>1</v>
      </c>
      <c r="CJ2276">
        <v>1</v>
      </c>
      <c r="CK2276">
        <v>21</v>
      </c>
      <c r="CL2276" t="s">
        <v>90</v>
      </c>
    </row>
    <row r="2277" spans="1:90" x14ac:dyDescent="0.3">
      <c r="A2277" t="s">
        <v>72</v>
      </c>
      <c r="B2277" t="s">
        <v>73</v>
      </c>
      <c r="C2277" t="s">
        <v>74</v>
      </c>
      <c r="E2277" t="str">
        <f>"080067262762"</f>
        <v>080067262762</v>
      </c>
      <c r="F2277" s="3">
        <v>45884</v>
      </c>
      <c r="G2277">
        <v>202605</v>
      </c>
      <c r="H2277" t="s">
        <v>75</v>
      </c>
      <c r="I2277" t="s">
        <v>76</v>
      </c>
      <c r="J2277" t="s">
        <v>77</v>
      </c>
      <c r="K2277" t="s">
        <v>78</v>
      </c>
      <c r="L2277" t="s">
        <v>2135</v>
      </c>
      <c r="M2277" t="s">
        <v>2136</v>
      </c>
      <c r="N2277" t="s">
        <v>2137</v>
      </c>
      <c r="O2277" t="s">
        <v>82</v>
      </c>
      <c r="P2277" t="str">
        <f>"4170055105                    "</f>
        <v xml:space="preserve">4170055105                    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>
        <v>0</v>
      </c>
      <c r="AL2277">
        <v>0</v>
      </c>
      <c r="AM2277">
        <v>0</v>
      </c>
      <c r="AN2277">
        <v>0</v>
      </c>
      <c r="AO2277">
        <v>0</v>
      </c>
      <c r="AP2277">
        <v>0</v>
      </c>
      <c r="AQ2277">
        <v>44.73</v>
      </c>
      <c r="AR2277">
        <v>0</v>
      </c>
      <c r="AS2277">
        <v>0</v>
      </c>
      <c r="AT2277">
        <v>0</v>
      </c>
      <c r="AU2277">
        <v>0</v>
      </c>
      <c r="AV2277">
        <v>0</v>
      </c>
      <c r="AW2277">
        <v>0</v>
      </c>
      <c r="AX2277">
        <v>0</v>
      </c>
      <c r="AY2277">
        <v>0</v>
      </c>
      <c r="AZ2277">
        <v>0</v>
      </c>
      <c r="BA2277">
        <v>0</v>
      </c>
      <c r="BB2277">
        <v>0</v>
      </c>
      <c r="BC2277">
        <v>0</v>
      </c>
      <c r="BD2277">
        <v>0</v>
      </c>
      <c r="BE2277">
        <v>0</v>
      </c>
      <c r="BF2277">
        <v>0</v>
      </c>
      <c r="BG2277">
        <v>0</v>
      </c>
      <c r="BH2277">
        <v>1</v>
      </c>
      <c r="BI2277">
        <v>1</v>
      </c>
      <c r="BJ2277">
        <v>0.2</v>
      </c>
      <c r="BK2277">
        <v>1</v>
      </c>
      <c r="BL2277">
        <v>138.88999999999999</v>
      </c>
      <c r="BM2277">
        <v>20.83</v>
      </c>
      <c r="BN2277">
        <v>159.72</v>
      </c>
      <c r="BO2277">
        <v>159.72</v>
      </c>
      <c r="BQ2277" t="s">
        <v>2138</v>
      </c>
      <c r="BR2277" t="s">
        <v>84</v>
      </c>
      <c r="BS2277" s="3">
        <v>45887</v>
      </c>
      <c r="BT2277" s="4">
        <v>0.41041666666666665</v>
      </c>
      <c r="BU2277" t="s">
        <v>399</v>
      </c>
      <c r="BV2277" t="s">
        <v>86</v>
      </c>
      <c r="BY2277">
        <v>1200</v>
      </c>
      <c r="CA2277" t="s">
        <v>1456</v>
      </c>
      <c r="CC2277" t="s">
        <v>2136</v>
      </c>
      <c r="CD2277">
        <v>4339</v>
      </c>
      <c r="CE2277" t="s">
        <v>109</v>
      </c>
      <c r="CF2277" s="3">
        <v>45887</v>
      </c>
      <c r="CI2277">
        <v>1</v>
      </c>
      <c r="CJ2277">
        <v>1</v>
      </c>
      <c r="CK2277">
        <v>23</v>
      </c>
      <c r="CL2277" t="s">
        <v>90</v>
      </c>
    </row>
    <row r="2278" spans="1:90" x14ac:dyDescent="0.3">
      <c r="A2278" t="s">
        <v>72</v>
      </c>
      <c r="B2278" t="s">
        <v>73</v>
      </c>
      <c r="C2278" t="s">
        <v>74</v>
      </c>
      <c r="E2278" t="str">
        <f>"080067262785"</f>
        <v>080067262785</v>
      </c>
      <c r="F2278" s="3">
        <v>45884</v>
      </c>
      <c r="G2278">
        <v>202605</v>
      </c>
      <c r="H2278" t="s">
        <v>75</v>
      </c>
      <c r="I2278" t="s">
        <v>76</v>
      </c>
      <c r="J2278" t="s">
        <v>77</v>
      </c>
      <c r="K2278" t="s">
        <v>78</v>
      </c>
      <c r="L2278" t="s">
        <v>162</v>
      </c>
      <c r="M2278" t="s">
        <v>163</v>
      </c>
      <c r="N2278" t="s">
        <v>811</v>
      </c>
      <c r="O2278" t="s">
        <v>82</v>
      </c>
      <c r="P2278" t="str">
        <f>"4170055081                    "</f>
        <v xml:space="preserve">4170055081                    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>
        <v>0</v>
      </c>
      <c r="AL2278">
        <v>0</v>
      </c>
      <c r="AM2278">
        <v>0</v>
      </c>
      <c r="AN2278">
        <v>0</v>
      </c>
      <c r="AO2278">
        <v>0</v>
      </c>
      <c r="AP2278">
        <v>0</v>
      </c>
      <c r="AQ2278">
        <v>23.09</v>
      </c>
      <c r="AR2278">
        <v>0</v>
      </c>
      <c r="AS2278">
        <v>0</v>
      </c>
      <c r="AT2278">
        <v>0</v>
      </c>
      <c r="AU2278">
        <v>0</v>
      </c>
      <c r="AV2278">
        <v>0</v>
      </c>
      <c r="AW2278">
        <v>0</v>
      </c>
      <c r="AX2278">
        <v>0</v>
      </c>
      <c r="AY2278">
        <v>0</v>
      </c>
      <c r="AZ2278">
        <v>0</v>
      </c>
      <c r="BA2278">
        <v>0</v>
      </c>
      <c r="BB2278">
        <v>0</v>
      </c>
      <c r="BC2278">
        <v>0</v>
      </c>
      <c r="BD2278">
        <v>0</v>
      </c>
      <c r="BE2278">
        <v>0</v>
      </c>
      <c r="BF2278">
        <v>0</v>
      </c>
      <c r="BG2278">
        <v>0</v>
      </c>
      <c r="BH2278">
        <v>1</v>
      </c>
      <c r="BI2278">
        <v>1</v>
      </c>
      <c r="BJ2278">
        <v>0.2</v>
      </c>
      <c r="BK2278">
        <v>1</v>
      </c>
      <c r="BL2278">
        <v>71.69</v>
      </c>
      <c r="BM2278">
        <v>10.75</v>
      </c>
      <c r="BN2278">
        <v>82.44</v>
      </c>
      <c r="BO2278">
        <v>82.44</v>
      </c>
      <c r="BQ2278" t="s">
        <v>812</v>
      </c>
      <c r="BR2278" t="s">
        <v>84</v>
      </c>
      <c r="BS2278" s="3">
        <v>45887</v>
      </c>
      <c r="BT2278" s="4">
        <v>0.42083333333333334</v>
      </c>
      <c r="BU2278" t="s">
        <v>2770</v>
      </c>
      <c r="BV2278" t="s">
        <v>86</v>
      </c>
      <c r="BY2278">
        <v>1200</v>
      </c>
      <c r="CA2278" t="s">
        <v>814</v>
      </c>
      <c r="CC2278" t="s">
        <v>163</v>
      </c>
      <c r="CD2278">
        <v>3201</v>
      </c>
      <c r="CE2278" t="s">
        <v>109</v>
      </c>
      <c r="CF2278" s="3">
        <v>45888</v>
      </c>
      <c r="CI2278">
        <v>1</v>
      </c>
      <c r="CJ2278">
        <v>1</v>
      </c>
      <c r="CK2278">
        <v>21</v>
      </c>
      <c r="CL2278" t="s">
        <v>90</v>
      </c>
    </row>
    <row r="2279" spans="1:90" x14ac:dyDescent="0.3">
      <c r="A2279" t="s">
        <v>72</v>
      </c>
      <c r="B2279" t="s">
        <v>73</v>
      </c>
      <c r="C2279" t="s">
        <v>74</v>
      </c>
      <c r="E2279" t="str">
        <f>"080067262795"</f>
        <v>080067262795</v>
      </c>
      <c r="F2279" s="3">
        <v>45884</v>
      </c>
      <c r="G2279">
        <v>202605</v>
      </c>
      <c r="H2279" t="s">
        <v>75</v>
      </c>
      <c r="I2279" t="s">
        <v>76</v>
      </c>
      <c r="J2279" t="s">
        <v>77</v>
      </c>
      <c r="K2279" t="s">
        <v>78</v>
      </c>
      <c r="L2279" t="s">
        <v>118</v>
      </c>
      <c r="M2279" t="s">
        <v>118</v>
      </c>
      <c r="N2279" t="s">
        <v>833</v>
      </c>
      <c r="O2279" t="s">
        <v>82</v>
      </c>
      <c r="P2279" t="str">
        <f>"4170054939                    "</f>
        <v xml:space="preserve">4170054939                    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0</v>
      </c>
      <c r="AL2279">
        <v>0</v>
      </c>
      <c r="AM2279">
        <v>0</v>
      </c>
      <c r="AN2279">
        <v>0</v>
      </c>
      <c r="AO2279">
        <v>0</v>
      </c>
      <c r="AP2279">
        <v>0</v>
      </c>
      <c r="AQ2279">
        <v>44.73</v>
      </c>
      <c r="AR2279">
        <v>0</v>
      </c>
      <c r="AS2279">
        <v>0</v>
      </c>
      <c r="AT2279">
        <v>0</v>
      </c>
      <c r="AU2279">
        <v>0</v>
      </c>
      <c r="AV2279">
        <v>0</v>
      </c>
      <c r="AW2279">
        <v>0</v>
      </c>
      <c r="AX2279">
        <v>0</v>
      </c>
      <c r="AY2279">
        <v>0</v>
      </c>
      <c r="AZ2279">
        <v>0</v>
      </c>
      <c r="BA2279">
        <v>0</v>
      </c>
      <c r="BB2279">
        <v>0</v>
      </c>
      <c r="BC2279">
        <v>0</v>
      </c>
      <c r="BD2279">
        <v>0</v>
      </c>
      <c r="BE2279">
        <v>0</v>
      </c>
      <c r="BF2279">
        <v>0</v>
      </c>
      <c r="BG2279">
        <v>0</v>
      </c>
      <c r="BH2279">
        <v>1</v>
      </c>
      <c r="BI2279">
        <v>1</v>
      </c>
      <c r="BJ2279">
        <v>1.1000000000000001</v>
      </c>
      <c r="BK2279">
        <v>1.5</v>
      </c>
      <c r="BL2279">
        <v>138.88999999999999</v>
      </c>
      <c r="BM2279">
        <v>20.83</v>
      </c>
      <c r="BN2279">
        <v>159.72</v>
      </c>
      <c r="BO2279">
        <v>159.72</v>
      </c>
      <c r="BQ2279" t="s">
        <v>834</v>
      </c>
      <c r="BR2279" t="s">
        <v>84</v>
      </c>
      <c r="BS2279" s="3">
        <v>45887</v>
      </c>
      <c r="BT2279" s="4">
        <v>0.54166666666666663</v>
      </c>
      <c r="BU2279" t="s">
        <v>835</v>
      </c>
      <c r="BV2279" t="s">
        <v>86</v>
      </c>
      <c r="BY2279">
        <v>5320</v>
      </c>
      <c r="CA2279" t="s">
        <v>122</v>
      </c>
      <c r="CC2279" t="s">
        <v>118</v>
      </c>
      <c r="CD2279">
        <v>7646</v>
      </c>
      <c r="CE2279" t="s">
        <v>147</v>
      </c>
      <c r="CI2279">
        <v>1</v>
      </c>
      <c r="CJ2279">
        <v>1</v>
      </c>
      <c r="CK2279">
        <v>23</v>
      </c>
      <c r="CL2279" t="s">
        <v>90</v>
      </c>
    </row>
    <row r="2280" spans="1:90" x14ac:dyDescent="0.3">
      <c r="A2280" t="s">
        <v>72</v>
      </c>
      <c r="B2280" t="s">
        <v>73</v>
      </c>
      <c r="C2280" t="s">
        <v>74</v>
      </c>
      <c r="E2280" t="str">
        <f>"080067262803"</f>
        <v>080067262803</v>
      </c>
      <c r="F2280" s="3">
        <v>45884</v>
      </c>
      <c r="G2280">
        <v>202605</v>
      </c>
      <c r="H2280" t="s">
        <v>75</v>
      </c>
      <c r="I2280" t="s">
        <v>76</v>
      </c>
      <c r="J2280" t="s">
        <v>77</v>
      </c>
      <c r="K2280" t="s">
        <v>78</v>
      </c>
      <c r="L2280" t="s">
        <v>162</v>
      </c>
      <c r="M2280" t="s">
        <v>163</v>
      </c>
      <c r="N2280" t="s">
        <v>164</v>
      </c>
      <c r="O2280" t="s">
        <v>82</v>
      </c>
      <c r="P2280" t="str">
        <f>"4170054981                    "</f>
        <v xml:space="preserve">4170054981                    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0</v>
      </c>
      <c r="AJ2280">
        <v>0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>
        <v>0</v>
      </c>
      <c r="AQ2280">
        <v>23.09</v>
      </c>
      <c r="AR2280">
        <v>0</v>
      </c>
      <c r="AS2280">
        <v>0</v>
      </c>
      <c r="AT2280">
        <v>0</v>
      </c>
      <c r="AU2280">
        <v>0</v>
      </c>
      <c r="AV2280">
        <v>0</v>
      </c>
      <c r="AW2280">
        <v>0</v>
      </c>
      <c r="AX2280">
        <v>0</v>
      </c>
      <c r="AY2280">
        <v>0</v>
      </c>
      <c r="AZ2280">
        <v>0</v>
      </c>
      <c r="BA2280">
        <v>0</v>
      </c>
      <c r="BB2280">
        <v>0</v>
      </c>
      <c r="BC2280">
        <v>0</v>
      </c>
      <c r="BD2280">
        <v>0</v>
      </c>
      <c r="BE2280">
        <v>0</v>
      </c>
      <c r="BF2280">
        <v>0</v>
      </c>
      <c r="BG2280">
        <v>0</v>
      </c>
      <c r="BH2280">
        <v>1</v>
      </c>
      <c r="BI2280">
        <v>1</v>
      </c>
      <c r="BJ2280">
        <v>0.2</v>
      </c>
      <c r="BK2280">
        <v>1</v>
      </c>
      <c r="BL2280">
        <v>71.69</v>
      </c>
      <c r="BM2280">
        <v>10.75</v>
      </c>
      <c r="BN2280">
        <v>82.44</v>
      </c>
      <c r="BO2280">
        <v>82.44</v>
      </c>
      <c r="BQ2280" t="s">
        <v>165</v>
      </c>
      <c r="BR2280" t="s">
        <v>84</v>
      </c>
      <c r="BS2280" s="3">
        <v>45887</v>
      </c>
      <c r="BT2280" s="4">
        <v>0.52222222222222225</v>
      </c>
      <c r="BU2280" t="s">
        <v>166</v>
      </c>
      <c r="BV2280" t="s">
        <v>86</v>
      </c>
      <c r="BY2280">
        <v>1200</v>
      </c>
      <c r="CA2280" t="s">
        <v>167</v>
      </c>
      <c r="CC2280" t="s">
        <v>163</v>
      </c>
      <c r="CD2280">
        <v>3212</v>
      </c>
      <c r="CE2280" t="s">
        <v>109</v>
      </c>
      <c r="CF2280" s="3">
        <v>45887</v>
      </c>
      <c r="CI2280">
        <v>2</v>
      </c>
      <c r="CJ2280">
        <v>1</v>
      </c>
      <c r="CK2280">
        <v>21</v>
      </c>
      <c r="CL2280" t="s">
        <v>90</v>
      </c>
    </row>
    <row r="2281" spans="1:90" x14ac:dyDescent="0.3">
      <c r="A2281" t="s">
        <v>72</v>
      </c>
      <c r="B2281" t="s">
        <v>73</v>
      </c>
      <c r="C2281" t="s">
        <v>74</v>
      </c>
      <c r="E2281" t="str">
        <f>"080067262818"</f>
        <v>080067262818</v>
      </c>
      <c r="F2281" s="3">
        <v>45884</v>
      </c>
      <c r="G2281">
        <v>202605</v>
      </c>
      <c r="H2281" t="s">
        <v>75</v>
      </c>
      <c r="I2281" t="s">
        <v>76</v>
      </c>
      <c r="J2281" t="s">
        <v>77</v>
      </c>
      <c r="K2281" t="s">
        <v>78</v>
      </c>
      <c r="L2281" t="s">
        <v>1157</v>
      </c>
      <c r="M2281" t="s">
        <v>1158</v>
      </c>
      <c r="N2281" t="s">
        <v>1159</v>
      </c>
      <c r="O2281" t="s">
        <v>82</v>
      </c>
      <c r="P2281" t="str">
        <f>"4170054970                    "</f>
        <v xml:space="preserve">4170054970                    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0</v>
      </c>
      <c r="AI2281">
        <v>0</v>
      </c>
      <c r="AJ2281">
        <v>0</v>
      </c>
      <c r="AK2281">
        <v>0</v>
      </c>
      <c r="AL2281">
        <v>0</v>
      </c>
      <c r="AM2281">
        <v>0</v>
      </c>
      <c r="AN2281">
        <v>0</v>
      </c>
      <c r="AO2281">
        <v>0</v>
      </c>
      <c r="AP2281">
        <v>0</v>
      </c>
      <c r="AQ2281">
        <v>54.82</v>
      </c>
      <c r="AR2281">
        <v>0</v>
      </c>
      <c r="AS2281">
        <v>0</v>
      </c>
      <c r="AT2281">
        <v>0</v>
      </c>
      <c r="AU2281">
        <v>0</v>
      </c>
      <c r="AV2281">
        <v>0</v>
      </c>
      <c r="AW2281">
        <v>0</v>
      </c>
      <c r="AX2281">
        <v>0</v>
      </c>
      <c r="AY2281">
        <v>0</v>
      </c>
      <c r="AZ2281">
        <v>0</v>
      </c>
      <c r="BA2281">
        <v>0</v>
      </c>
      <c r="BB2281">
        <v>0</v>
      </c>
      <c r="BC2281">
        <v>0</v>
      </c>
      <c r="BD2281">
        <v>0</v>
      </c>
      <c r="BE2281">
        <v>0</v>
      </c>
      <c r="BF2281">
        <v>0</v>
      </c>
      <c r="BG2281">
        <v>0</v>
      </c>
      <c r="BH2281">
        <v>1</v>
      </c>
      <c r="BI2281">
        <v>1</v>
      </c>
      <c r="BJ2281">
        <v>2.2999999999999998</v>
      </c>
      <c r="BK2281">
        <v>2.5</v>
      </c>
      <c r="BL2281">
        <v>170.24</v>
      </c>
      <c r="BM2281">
        <v>25.54</v>
      </c>
      <c r="BN2281">
        <v>195.78</v>
      </c>
      <c r="BO2281">
        <v>195.78</v>
      </c>
      <c r="BQ2281" t="s">
        <v>1160</v>
      </c>
      <c r="BR2281" t="s">
        <v>84</v>
      </c>
      <c r="BS2281" s="3">
        <v>45887</v>
      </c>
      <c r="BT2281" s="4">
        <v>0.43402777777777779</v>
      </c>
      <c r="BU2281" t="s">
        <v>2771</v>
      </c>
      <c r="BV2281" t="s">
        <v>86</v>
      </c>
      <c r="BY2281">
        <v>11264</v>
      </c>
      <c r="CC2281" t="s">
        <v>1158</v>
      </c>
      <c r="CD2281">
        <v>2302</v>
      </c>
      <c r="CE2281" t="s">
        <v>147</v>
      </c>
      <c r="CF2281" s="3">
        <v>45887</v>
      </c>
      <c r="CI2281">
        <v>1</v>
      </c>
      <c r="CJ2281">
        <v>1</v>
      </c>
      <c r="CK2281">
        <v>23</v>
      </c>
      <c r="CL2281" t="s">
        <v>90</v>
      </c>
    </row>
    <row r="2282" spans="1:90" x14ac:dyDescent="0.3">
      <c r="A2282" t="s">
        <v>72</v>
      </c>
      <c r="B2282" t="s">
        <v>73</v>
      </c>
      <c r="C2282" t="s">
        <v>74</v>
      </c>
      <c r="E2282" t="str">
        <f>"080067262825"</f>
        <v>080067262825</v>
      </c>
      <c r="F2282" s="3">
        <v>45884</v>
      </c>
      <c r="G2282">
        <v>202605</v>
      </c>
      <c r="H2282" t="s">
        <v>75</v>
      </c>
      <c r="I2282" t="s">
        <v>76</v>
      </c>
      <c r="J2282" t="s">
        <v>77</v>
      </c>
      <c r="K2282" t="s">
        <v>78</v>
      </c>
      <c r="L2282" t="s">
        <v>193</v>
      </c>
      <c r="M2282" t="s">
        <v>194</v>
      </c>
      <c r="N2282" t="s">
        <v>551</v>
      </c>
      <c r="O2282" t="s">
        <v>82</v>
      </c>
      <c r="P2282" t="str">
        <f>"4170055033                    "</f>
        <v xml:space="preserve">4170055033                    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0</v>
      </c>
      <c r="AL2282">
        <v>0</v>
      </c>
      <c r="AM2282">
        <v>0</v>
      </c>
      <c r="AN2282">
        <v>0</v>
      </c>
      <c r="AO2282">
        <v>0</v>
      </c>
      <c r="AP2282">
        <v>0</v>
      </c>
      <c r="AQ2282">
        <v>44.73</v>
      </c>
      <c r="AR2282">
        <v>0</v>
      </c>
      <c r="AS2282">
        <v>0</v>
      </c>
      <c r="AT2282">
        <v>0</v>
      </c>
      <c r="AU2282">
        <v>0</v>
      </c>
      <c r="AV2282">
        <v>0</v>
      </c>
      <c r="AW2282">
        <v>0</v>
      </c>
      <c r="AX2282">
        <v>0</v>
      </c>
      <c r="AY2282">
        <v>0</v>
      </c>
      <c r="AZ2282">
        <v>0</v>
      </c>
      <c r="BA2282">
        <v>0</v>
      </c>
      <c r="BB2282">
        <v>0</v>
      </c>
      <c r="BC2282">
        <v>0</v>
      </c>
      <c r="BD2282">
        <v>0</v>
      </c>
      <c r="BE2282">
        <v>0</v>
      </c>
      <c r="BF2282">
        <v>0</v>
      </c>
      <c r="BG2282">
        <v>0</v>
      </c>
      <c r="BH2282">
        <v>1</v>
      </c>
      <c r="BI2282">
        <v>1</v>
      </c>
      <c r="BJ2282">
        <v>0.2</v>
      </c>
      <c r="BK2282">
        <v>1</v>
      </c>
      <c r="BL2282">
        <v>138.88999999999999</v>
      </c>
      <c r="BM2282">
        <v>20.83</v>
      </c>
      <c r="BN2282">
        <v>159.72</v>
      </c>
      <c r="BO2282">
        <v>159.72</v>
      </c>
      <c r="BQ2282" t="s">
        <v>552</v>
      </c>
      <c r="BR2282" t="s">
        <v>84</v>
      </c>
      <c r="BS2282" s="3">
        <v>45887</v>
      </c>
      <c r="BT2282" s="4">
        <v>0.4201388888888889</v>
      </c>
      <c r="BU2282" t="s">
        <v>2763</v>
      </c>
      <c r="BV2282" t="s">
        <v>86</v>
      </c>
      <c r="BY2282">
        <v>1200</v>
      </c>
      <c r="CA2282" t="s">
        <v>554</v>
      </c>
      <c r="CC2282" t="s">
        <v>194</v>
      </c>
      <c r="CD2282">
        <v>1035</v>
      </c>
      <c r="CE2282" t="s">
        <v>109</v>
      </c>
      <c r="CF2282" s="3">
        <v>45888</v>
      </c>
      <c r="CI2282">
        <v>1</v>
      </c>
      <c r="CJ2282">
        <v>1</v>
      </c>
      <c r="CK2282">
        <v>23</v>
      </c>
      <c r="CL2282" t="s">
        <v>90</v>
      </c>
    </row>
    <row r="2283" spans="1:90" x14ac:dyDescent="0.3">
      <c r="A2283" t="s">
        <v>72</v>
      </c>
      <c r="B2283" t="s">
        <v>73</v>
      </c>
      <c r="C2283" t="s">
        <v>74</v>
      </c>
      <c r="E2283" t="str">
        <f>"080067262850"</f>
        <v>080067262850</v>
      </c>
      <c r="F2283" s="3">
        <v>45884</v>
      </c>
      <c r="G2283">
        <v>202605</v>
      </c>
      <c r="H2283" t="s">
        <v>75</v>
      </c>
      <c r="I2283" t="s">
        <v>76</v>
      </c>
      <c r="J2283" t="s">
        <v>77</v>
      </c>
      <c r="K2283" t="s">
        <v>78</v>
      </c>
      <c r="L2283" t="s">
        <v>137</v>
      </c>
      <c r="M2283" t="s">
        <v>138</v>
      </c>
      <c r="N2283" t="s">
        <v>781</v>
      </c>
      <c r="O2283" t="s">
        <v>82</v>
      </c>
      <c r="P2283" t="str">
        <f>"4170054978                    "</f>
        <v xml:space="preserve">4170054978                    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Q2283">
        <v>23.09</v>
      </c>
      <c r="AR2283">
        <v>0</v>
      </c>
      <c r="AS2283">
        <v>0</v>
      </c>
      <c r="AT2283">
        <v>0</v>
      </c>
      <c r="AU2283">
        <v>0</v>
      </c>
      <c r="AV2283">
        <v>0</v>
      </c>
      <c r="AW2283">
        <v>0</v>
      </c>
      <c r="AX2283">
        <v>0</v>
      </c>
      <c r="AY2283">
        <v>0</v>
      </c>
      <c r="AZ2283">
        <v>0</v>
      </c>
      <c r="BA2283">
        <v>0</v>
      </c>
      <c r="BB2283">
        <v>0</v>
      </c>
      <c r="BC2283">
        <v>0</v>
      </c>
      <c r="BD2283">
        <v>0</v>
      </c>
      <c r="BE2283">
        <v>0</v>
      </c>
      <c r="BF2283">
        <v>0</v>
      </c>
      <c r="BG2283">
        <v>0</v>
      </c>
      <c r="BH2283">
        <v>1</v>
      </c>
      <c r="BI2283">
        <v>1</v>
      </c>
      <c r="BJ2283">
        <v>0.2</v>
      </c>
      <c r="BK2283">
        <v>1</v>
      </c>
      <c r="BL2283">
        <v>71.69</v>
      </c>
      <c r="BM2283">
        <v>10.75</v>
      </c>
      <c r="BN2283">
        <v>82.44</v>
      </c>
      <c r="BO2283">
        <v>82.44</v>
      </c>
      <c r="BQ2283" t="s">
        <v>782</v>
      </c>
      <c r="BR2283" t="s">
        <v>84</v>
      </c>
      <c r="BS2283" s="3">
        <v>45887</v>
      </c>
      <c r="BT2283" s="4">
        <v>0.4597222222222222</v>
      </c>
      <c r="BU2283" t="s">
        <v>952</v>
      </c>
      <c r="BV2283" t="s">
        <v>86</v>
      </c>
      <c r="BY2283">
        <v>1200</v>
      </c>
      <c r="CA2283" t="s">
        <v>953</v>
      </c>
      <c r="CC2283" t="s">
        <v>138</v>
      </c>
      <c r="CD2283">
        <v>3610</v>
      </c>
      <c r="CE2283" t="s">
        <v>109</v>
      </c>
      <c r="CF2283" s="3">
        <v>45888</v>
      </c>
      <c r="CI2283">
        <v>1</v>
      </c>
      <c r="CJ2283">
        <v>1</v>
      </c>
      <c r="CK2283">
        <v>21</v>
      </c>
      <c r="CL2283" t="s">
        <v>90</v>
      </c>
    </row>
    <row r="2284" spans="1:90" x14ac:dyDescent="0.3">
      <c r="A2284" t="s">
        <v>72</v>
      </c>
      <c r="B2284" t="s">
        <v>73</v>
      </c>
      <c r="C2284" t="s">
        <v>74</v>
      </c>
      <c r="E2284" t="str">
        <f>"080067262862"</f>
        <v>080067262862</v>
      </c>
      <c r="F2284" s="3">
        <v>45884</v>
      </c>
      <c r="G2284">
        <v>202605</v>
      </c>
      <c r="H2284" t="s">
        <v>75</v>
      </c>
      <c r="I2284" t="s">
        <v>76</v>
      </c>
      <c r="J2284" t="s">
        <v>77</v>
      </c>
      <c r="K2284" t="s">
        <v>78</v>
      </c>
      <c r="L2284" t="s">
        <v>217</v>
      </c>
      <c r="M2284" t="s">
        <v>218</v>
      </c>
      <c r="N2284" t="s">
        <v>544</v>
      </c>
      <c r="O2284" t="s">
        <v>82</v>
      </c>
      <c r="P2284" t="str">
        <f>"4170055072                    "</f>
        <v xml:space="preserve">4170055072                    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0</v>
      </c>
      <c r="AI2284">
        <v>0</v>
      </c>
      <c r="AJ2284"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>
        <v>0</v>
      </c>
      <c r="AQ2284">
        <v>34.619999999999997</v>
      </c>
      <c r="AR2284">
        <v>0</v>
      </c>
      <c r="AS2284">
        <v>0</v>
      </c>
      <c r="AT2284">
        <v>0</v>
      </c>
      <c r="AU2284">
        <v>0</v>
      </c>
      <c r="AV2284">
        <v>0</v>
      </c>
      <c r="AW2284">
        <v>0</v>
      </c>
      <c r="AX2284">
        <v>0</v>
      </c>
      <c r="AY2284">
        <v>0</v>
      </c>
      <c r="AZ2284">
        <v>0</v>
      </c>
      <c r="BA2284">
        <v>0</v>
      </c>
      <c r="BB2284">
        <v>0</v>
      </c>
      <c r="BC2284">
        <v>0</v>
      </c>
      <c r="BD2284">
        <v>0</v>
      </c>
      <c r="BE2284">
        <v>0</v>
      </c>
      <c r="BF2284">
        <v>0</v>
      </c>
      <c r="BG2284">
        <v>0</v>
      </c>
      <c r="BH2284">
        <v>1</v>
      </c>
      <c r="BI2284">
        <v>3</v>
      </c>
      <c r="BJ2284">
        <v>2.7</v>
      </c>
      <c r="BK2284">
        <v>3</v>
      </c>
      <c r="BL2284">
        <v>107.5</v>
      </c>
      <c r="BM2284">
        <v>16.13</v>
      </c>
      <c r="BN2284">
        <v>123.63</v>
      </c>
      <c r="BO2284">
        <v>123.63</v>
      </c>
      <c r="BQ2284" t="s">
        <v>545</v>
      </c>
      <c r="BR2284" t="s">
        <v>84</v>
      </c>
      <c r="BS2284" s="3">
        <v>45887</v>
      </c>
      <c r="BT2284" s="4">
        <v>0.66666666666666663</v>
      </c>
      <c r="BU2284" t="s">
        <v>133</v>
      </c>
      <c r="BV2284" t="s">
        <v>90</v>
      </c>
      <c r="BW2284" t="s">
        <v>134</v>
      </c>
      <c r="BX2284" t="s">
        <v>135</v>
      </c>
      <c r="BY2284">
        <v>13608</v>
      </c>
      <c r="CA2284" t="s">
        <v>953</v>
      </c>
      <c r="CC2284" t="s">
        <v>218</v>
      </c>
      <c r="CD2284">
        <v>4000</v>
      </c>
      <c r="CE2284" t="s">
        <v>117</v>
      </c>
      <c r="CF2284" s="3">
        <v>45888</v>
      </c>
      <c r="CI2284">
        <v>1</v>
      </c>
      <c r="CJ2284">
        <v>1</v>
      </c>
      <c r="CK2284">
        <v>21</v>
      </c>
      <c r="CL2284" t="s">
        <v>90</v>
      </c>
    </row>
    <row r="2285" spans="1:90" x14ac:dyDescent="0.3">
      <c r="A2285" t="s">
        <v>72</v>
      </c>
      <c r="B2285" t="s">
        <v>73</v>
      </c>
      <c r="C2285" t="s">
        <v>74</v>
      </c>
      <c r="E2285" t="str">
        <f>"080067262883"</f>
        <v>080067262883</v>
      </c>
      <c r="F2285" s="3">
        <v>45884</v>
      </c>
      <c r="G2285">
        <v>202605</v>
      </c>
      <c r="H2285" t="s">
        <v>75</v>
      </c>
      <c r="I2285" t="s">
        <v>76</v>
      </c>
      <c r="J2285" t="s">
        <v>77</v>
      </c>
      <c r="K2285" t="s">
        <v>78</v>
      </c>
      <c r="L2285" t="s">
        <v>198</v>
      </c>
      <c r="M2285" t="s">
        <v>199</v>
      </c>
      <c r="N2285" t="s">
        <v>667</v>
      </c>
      <c r="O2285" t="s">
        <v>82</v>
      </c>
      <c r="P2285" t="str">
        <f>"4170055027                    "</f>
        <v xml:space="preserve">4170055027                    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0</v>
      </c>
      <c r="AI2285">
        <v>0</v>
      </c>
      <c r="AJ2285">
        <v>0</v>
      </c>
      <c r="AK2285">
        <v>0</v>
      </c>
      <c r="AL2285">
        <v>0</v>
      </c>
      <c r="AM2285">
        <v>0</v>
      </c>
      <c r="AN2285">
        <v>0</v>
      </c>
      <c r="AO2285">
        <v>0</v>
      </c>
      <c r="AP2285">
        <v>0</v>
      </c>
      <c r="AQ2285">
        <v>23.09</v>
      </c>
      <c r="AR2285">
        <v>0</v>
      </c>
      <c r="AS2285">
        <v>0</v>
      </c>
      <c r="AT2285">
        <v>0</v>
      </c>
      <c r="AU2285">
        <v>0</v>
      </c>
      <c r="AV2285">
        <v>0</v>
      </c>
      <c r="AW2285">
        <v>0</v>
      </c>
      <c r="AX2285">
        <v>0</v>
      </c>
      <c r="AY2285">
        <v>0</v>
      </c>
      <c r="AZ2285">
        <v>0</v>
      </c>
      <c r="BA2285">
        <v>0</v>
      </c>
      <c r="BB2285">
        <v>0</v>
      </c>
      <c r="BC2285">
        <v>0</v>
      </c>
      <c r="BD2285">
        <v>0</v>
      </c>
      <c r="BE2285">
        <v>0</v>
      </c>
      <c r="BF2285">
        <v>0</v>
      </c>
      <c r="BG2285">
        <v>0</v>
      </c>
      <c r="BH2285">
        <v>1</v>
      </c>
      <c r="BI2285">
        <v>1</v>
      </c>
      <c r="BJ2285">
        <v>0.2</v>
      </c>
      <c r="BK2285">
        <v>1</v>
      </c>
      <c r="BL2285">
        <v>71.69</v>
      </c>
      <c r="BM2285">
        <v>10.75</v>
      </c>
      <c r="BN2285">
        <v>82.44</v>
      </c>
      <c r="BO2285">
        <v>82.44</v>
      </c>
      <c r="BQ2285" t="s">
        <v>668</v>
      </c>
      <c r="BR2285" t="s">
        <v>84</v>
      </c>
      <c r="BS2285" s="3">
        <v>45887</v>
      </c>
      <c r="BT2285" s="4">
        <v>0.375</v>
      </c>
      <c r="BU2285" t="s">
        <v>2772</v>
      </c>
      <c r="BV2285" t="s">
        <v>86</v>
      </c>
      <c r="BY2285">
        <v>1200</v>
      </c>
      <c r="CA2285" t="s">
        <v>2773</v>
      </c>
      <c r="CC2285" t="s">
        <v>199</v>
      </c>
      <c r="CD2285">
        <v>6001</v>
      </c>
      <c r="CE2285" t="s">
        <v>109</v>
      </c>
      <c r="CF2285" s="3">
        <v>45887</v>
      </c>
      <c r="CI2285">
        <v>1</v>
      </c>
      <c r="CJ2285">
        <v>1</v>
      </c>
      <c r="CK2285">
        <v>21</v>
      </c>
      <c r="CL2285" t="s">
        <v>90</v>
      </c>
    </row>
    <row r="2286" spans="1:90" x14ac:dyDescent="0.3">
      <c r="A2286" t="s">
        <v>72</v>
      </c>
      <c r="B2286" t="s">
        <v>73</v>
      </c>
      <c r="C2286" t="s">
        <v>74</v>
      </c>
      <c r="E2286" t="str">
        <f>"080067262903"</f>
        <v>080067262903</v>
      </c>
      <c r="F2286" s="3">
        <v>45884</v>
      </c>
      <c r="G2286">
        <v>202605</v>
      </c>
      <c r="H2286" t="s">
        <v>75</v>
      </c>
      <c r="I2286" t="s">
        <v>76</v>
      </c>
      <c r="J2286" t="s">
        <v>77</v>
      </c>
      <c r="K2286" t="s">
        <v>78</v>
      </c>
      <c r="L2286" t="s">
        <v>1581</v>
      </c>
      <c r="M2286" t="s">
        <v>1582</v>
      </c>
      <c r="N2286" t="s">
        <v>2099</v>
      </c>
      <c r="O2286" t="s">
        <v>95</v>
      </c>
      <c r="P2286" t="str">
        <f>"4170055071                    "</f>
        <v xml:space="preserve">4170055071                    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>
        <v>0</v>
      </c>
      <c r="AQ2286">
        <v>62.96</v>
      </c>
      <c r="AR2286">
        <v>0</v>
      </c>
      <c r="AS2286">
        <v>0</v>
      </c>
      <c r="AT2286">
        <v>0</v>
      </c>
      <c r="AU2286">
        <v>0</v>
      </c>
      <c r="AV2286">
        <v>0</v>
      </c>
      <c r="AW2286">
        <v>0</v>
      </c>
      <c r="AX2286">
        <v>0</v>
      </c>
      <c r="AY2286">
        <v>0</v>
      </c>
      <c r="AZ2286">
        <v>0</v>
      </c>
      <c r="BA2286">
        <v>0</v>
      </c>
      <c r="BB2286">
        <v>0</v>
      </c>
      <c r="BC2286">
        <v>0</v>
      </c>
      <c r="BD2286">
        <v>0</v>
      </c>
      <c r="BE2286">
        <v>0</v>
      </c>
      <c r="BF2286">
        <v>0</v>
      </c>
      <c r="BG2286">
        <v>0</v>
      </c>
      <c r="BH2286">
        <v>1</v>
      </c>
      <c r="BI2286">
        <v>4</v>
      </c>
      <c r="BJ2286">
        <v>1.7</v>
      </c>
      <c r="BK2286">
        <v>4</v>
      </c>
      <c r="BL2286">
        <v>201.38</v>
      </c>
      <c r="BM2286">
        <v>30.21</v>
      </c>
      <c r="BN2286">
        <v>231.59</v>
      </c>
      <c r="BO2286">
        <v>231.59</v>
      </c>
      <c r="BQ2286" t="s">
        <v>2100</v>
      </c>
      <c r="BR2286" t="s">
        <v>84</v>
      </c>
      <c r="BS2286" s="3">
        <v>45887</v>
      </c>
      <c r="BT2286" s="4">
        <v>0.47569444444444442</v>
      </c>
      <c r="BU2286" t="s">
        <v>1186</v>
      </c>
      <c r="BV2286" t="s">
        <v>86</v>
      </c>
      <c r="BY2286">
        <v>8512</v>
      </c>
      <c r="CA2286" t="s">
        <v>2728</v>
      </c>
      <c r="CC2286" t="s">
        <v>1582</v>
      </c>
      <c r="CD2286">
        <v>1020</v>
      </c>
      <c r="CE2286" t="s">
        <v>147</v>
      </c>
      <c r="CF2286" s="3">
        <v>45887</v>
      </c>
      <c r="CI2286">
        <v>1</v>
      </c>
      <c r="CJ2286">
        <v>1</v>
      </c>
      <c r="CK2286">
        <v>43</v>
      </c>
      <c r="CL2286" t="s">
        <v>90</v>
      </c>
    </row>
    <row r="2287" spans="1:90" x14ac:dyDescent="0.3">
      <c r="A2287" t="s">
        <v>72</v>
      </c>
      <c r="B2287" t="s">
        <v>73</v>
      </c>
      <c r="C2287" t="s">
        <v>74</v>
      </c>
      <c r="E2287" t="str">
        <f>"080067262967"</f>
        <v>080067262967</v>
      </c>
      <c r="F2287" s="3">
        <v>45884</v>
      </c>
      <c r="G2287">
        <v>202605</v>
      </c>
      <c r="H2287" t="s">
        <v>75</v>
      </c>
      <c r="I2287" t="s">
        <v>76</v>
      </c>
      <c r="J2287" t="s">
        <v>77</v>
      </c>
      <c r="K2287" t="s">
        <v>78</v>
      </c>
      <c r="L2287" t="s">
        <v>137</v>
      </c>
      <c r="M2287" t="s">
        <v>138</v>
      </c>
      <c r="N2287" t="s">
        <v>2774</v>
      </c>
      <c r="O2287" t="s">
        <v>82</v>
      </c>
      <c r="P2287" t="str">
        <f>"4170054975                    "</f>
        <v xml:space="preserve">4170054975                    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0</v>
      </c>
      <c r="AI2287">
        <v>0</v>
      </c>
      <c r="AJ2287">
        <v>0</v>
      </c>
      <c r="AK2287">
        <v>0</v>
      </c>
      <c r="AL2287">
        <v>0</v>
      </c>
      <c r="AM2287">
        <v>0</v>
      </c>
      <c r="AN2287">
        <v>0</v>
      </c>
      <c r="AO2287">
        <v>0</v>
      </c>
      <c r="AP2287">
        <v>0</v>
      </c>
      <c r="AQ2287">
        <v>23.09</v>
      </c>
      <c r="AR2287">
        <v>0</v>
      </c>
      <c r="AS2287">
        <v>0</v>
      </c>
      <c r="AT2287">
        <v>0</v>
      </c>
      <c r="AU2287">
        <v>0</v>
      </c>
      <c r="AV2287">
        <v>0</v>
      </c>
      <c r="AW2287">
        <v>0</v>
      </c>
      <c r="AX2287">
        <v>0</v>
      </c>
      <c r="AY2287">
        <v>0</v>
      </c>
      <c r="AZ2287">
        <v>0</v>
      </c>
      <c r="BA2287">
        <v>0</v>
      </c>
      <c r="BB2287">
        <v>0</v>
      </c>
      <c r="BC2287">
        <v>0</v>
      </c>
      <c r="BD2287">
        <v>0</v>
      </c>
      <c r="BE2287">
        <v>0</v>
      </c>
      <c r="BF2287">
        <v>0</v>
      </c>
      <c r="BG2287">
        <v>0</v>
      </c>
      <c r="BH2287">
        <v>1</v>
      </c>
      <c r="BI2287">
        <v>1</v>
      </c>
      <c r="BJ2287">
        <v>1.1000000000000001</v>
      </c>
      <c r="BK2287">
        <v>1.5</v>
      </c>
      <c r="BL2287">
        <v>71.69</v>
      </c>
      <c r="BM2287">
        <v>10.75</v>
      </c>
      <c r="BN2287">
        <v>82.44</v>
      </c>
      <c r="BO2287">
        <v>82.44</v>
      </c>
      <c r="BQ2287" t="s">
        <v>2775</v>
      </c>
      <c r="BR2287" t="s">
        <v>84</v>
      </c>
      <c r="BS2287" s="3">
        <v>45887</v>
      </c>
      <c r="BT2287" s="4">
        <v>0.46736111111111112</v>
      </c>
      <c r="BU2287" t="s">
        <v>2776</v>
      </c>
      <c r="BV2287" t="s">
        <v>86</v>
      </c>
      <c r="BY2287">
        <v>5320</v>
      </c>
      <c r="CA2287" t="s">
        <v>953</v>
      </c>
      <c r="CC2287" t="s">
        <v>138</v>
      </c>
      <c r="CD2287">
        <v>3610</v>
      </c>
      <c r="CE2287" t="s">
        <v>147</v>
      </c>
      <c r="CF2287" s="3">
        <v>45888</v>
      </c>
      <c r="CI2287">
        <v>1</v>
      </c>
      <c r="CJ2287">
        <v>1</v>
      </c>
      <c r="CK2287">
        <v>21</v>
      </c>
      <c r="CL2287" t="s">
        <v>90</v>
      </c>
    </row>
    <row r="2288" spans="1:90" x14ac:dyDescent="0.3">
      <c r="A2288" t="s">
        <v>72</v>
      </c>
      <c r="B2288" t="s">
        <v>73</v>
      </c>
      <c r="C2288" t="s">
        <v>74</v>
      </c>
      <c r="E2288" t="str">
        <f>"080067263009"</f>
        <v>080067263009</v>
      </c>
      <c r="F2288" s="3">
        <v>45884</v>
      </c>
      <c r="G2288">
        <v>202605</v>
      </c>
      <c r="H2288" t="s">
        <v>75</v>
      </c>
      <c r="I2288" t="s">
        <v>76</v>
      </c>
      <c r="J2288" t="s">
        <v>77</v>
      </c>
      <c r="K2288" t="s">
        <v>78</v>
      </c>
      <c r="L2288" t="s">
        <v>118</v>
      </c>
      <c r="M2288" t="s">
        <v>118</v>
      </c>
      <c r="N2288" t="s">
        <v>466</v>
      </c>
      <c r="O2288" t="s">
        <v>82</v>
      </c>
      <c r="P2288" t="str">
        <f>"4170055042                    "</f>
        <v xml:space="preserve">4170055042                    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0</v>
      </c>
      <c r="AQ2288">
        <v>125.51</v>
      </c>
      <c r="AR2288">
        <v>0</v>
      </c>
      <c r="AS2288">
        <v>0</v>
      </c>
      <c r="AT2288">
        <v>0</v>
      </c>
      <c r="AU2288">
        <v>0</v>
      </c>
      <c r="AV2288">
        <v>0</v>
      </c>
      <c r="AW2288">
        <v>0</v>
      </c>
      <c r="AX2288">
        <v>0</v>
      </c>
      <c r="AY2288">
        <v>0</v>
      </c>
      <c r="AZ2288">
        <v>0</v>
      </c>
      <c r="BA2288">
        <v>0</v>
      </c>
      <c r="BB2288">
        <v>0</v>
      </c>
      <c r="BC2288">
        <v>0</v>
      </c>
      <c r="BD2288">
        <v>0</v>
      </c>
      <c r="BE2288">
        <v>0</v>
      </c>
      <c r="BF2288">
        <v>0</v>
      </c>
      <c r="BG2288">
        <v>0</v>
      </c>
      <c r="BH2288">
        <v>1</v>
      </c>
      <c r="BI2288">
        <v>5</v>
      </c>
      <c r="BJ2288">
        <v>5.7</v>
      </c>
      <c r="BK2288">
        <v>6</v>
      </c>
      <c r="BL2288">
        <v>389.75</v>
      </c>
      <c r="BM2288">
        <v>58.46</v>
      </c>
      <c r="BN2288">
        <v>448.21</v>
      </c>
      <c r="BO2288">
        <v>448.21</v>
      </c>
      <c r="BQ2288" t="s">
        <v>1178</v>
      </c>
      <c r="BR2288" t="s">
        <v>84</v>
      </c>
      <c r="BS2288" s="3">
        <v>45887</v>
      </c>
      <c r="BT2288" s="4">
        <v>0.53680555555555554</v>
      </c>
      <c r="BU2288" t="s">
        <v>468</v>
      </c>
      <c r="BV2288" t="s">
        <v>86</v>
      </c>
      <c r="BY2288">
        <v>28560</v>
      </c>
      <c r="CA2288" t="s">
        <v>122</v>
      </c>
      <c r="CC2288" t="s">
        <v>118</v>
      </c>
      <c r="CD2288">
        <v>7646</v>
      </c>
      <c r="CE2288" t="s">
        <v>117</v>
      </c>
      <c r="CI2288">
        <v>1</v>
      </c>
      <c r="CJ2288">
        <v>1</v>
      </c>
      <c r="CK2288">
        <v>23</v>
      </c>
      <c r="CL2288" t="s">
        <v>90</v>
      </c>
    </row>
    <row r="2289" spans="1:90" x14ac:dyDescent="0.3">
      <c r="A2289" t="s">
        <v>72</v>
      </c>
      <c r="B2289" t="s">
        <v>73</v>
      </c>
      <c r="C2289" t="s">
        <v>74</v>
      </c>
      <c r="E2289" t="str">
        <f>"080067263029"</f>
        <v>080067263029</v>
      </c>
      <c r="F2289" s="3">
        <v>45884</v>
      </c>
      <c r="G2289">
        <v>202605</v>
      </c>
      <c r="H2289" t="s">
        <v>75</v>
      </c>
      <c r="I2289" t="s">
        <v>76</v>
      </c>
      <c r="J2289" t="s">
        <v>77</v>
      </c>
      <c r="K2289" t="s">
        <v>78</v>
      </c>
      <c r="L2289" t="s">
        <v>123</v>
      </c>
      <c r="M2289" t="s">
        <v>124</v>
      </c>
      <c r="N2289" t="s">
        <v>125</v>
      </c>
      <c r="O2289" t="s">
        <v>82</v>
      </c>
      <c r="P2289" t="str">
        <f>"4170054976                    "</f>
        <v xml:space="preserve">4170054976                    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0</v>
      </c>
      <c r="AI2289">
        <v>0</v>
      </c>
      <c r="AJ2289">
        <v>0</v>
      </c>
      <c r="AK2289">
        <v>0</v>
      </c>
      <c r="AL2289">
        <v>0</v>
      </c>
      <c r="AM2289">
        <v>0</v>
      </c>
      <c r="AN2289">
        <v>0</v>
      </c>
      <c r="AO2289">
        <v>0</v>
      </c>
      <c r="AP2289">
        <v>0</v>
      </c>
      <c r="AQ2289">
        <v>23.09</v>
      </c>
      <c r="AR2289">
        <v>0</v>
      </c>
      <c r="AS2289">
        <v>0</v>
      </c>
      <c r="AT2289">
        <v>0</v>
      </c>
      <c r="AU2289">
        <v>0</v>
      </c>
      <c r="AV2289">
        <v>0</v>
      </c>
      <c r="AW2289">
        <v>0</v>
      </c>
      <c r="AX2289">
        <v>0</v>
      </c>
      <c r="AY2289">
        <v>0</v>
      </c>
      <c r="AZ2289">
        <v>0</v>
      </c>
      <c r="BA2289">
        <v>0</v>
      </c>
      <c r="BB2289">
        <v>0</v>
      </c>
      <c r="BC2289">
        <v>0</v>
      </c>
      <c r="BD2289">
        <v>0</v>
      </c>
      <c r="BE2289">
        <v>0</v>
      </c>
      <c r="BF2289">
        <v>0</v>
      </c>
      <c r="BG2289">
        <v>0</v>
      </c>
      <c r="BH2289">
        <v>1</v>
      </c>
      <c r="BI2289">
        <v>1</v>
      </c>
      <c r="BJ2289">
        <v>0.9</v>
      </c>
      <c r="BK2289">
        <v>1</v>
      </c>
      <c r="BL2289">
        <v>71.69</v>
      </c>
      <c r="BM2289">
        <v>10.75</v>
      </c>
      <c r="BN2289">
        <v>82.44</v>
      </c>
      <c r="BO2289">
        <v>82.44</v>
      </c>
      <c r="BQ2289" t="s">
        <v>126</v>
      </c>
      <c r="BR2289" t="s">
        <v>84</v>
      </c>
      <c r="BS2289" s="3">
        <v>45887</v>
      </c>
      <c r="BT2289" s="4">
        <v>0.33958333333333335</v>
      </c>
      <c r="BU2289" t="s">
        <v>605</v>
      </c>
      <c r="BV2289" t="s">
        <v>86</v>
      </c>
      <c r="BY2289">
        <v>4560</v>
      </c>
      <c r="CA2289" t="s">
        <v>128</v>
      </c>
      <c r="CC2289" t="s">
        <v>124</v>
      </c>
      <c r="CD2289">
        <v>7530</v>
      </c>
      <c r="CE2289" t="s">
        <v>147</v>
      </c>
      <c r="CI2289">
        <v>1</v>
      </c>
      <c r="CJ2289">
        <v>1</v>
      </c>
      <c r="CK2289">
        <v>21</v>
      </c>
      <c r="CL2289" t="s">
        <v>90</v>
      </c>
    </row>
    <row r="2290" spans="1:90" x14ac:dyDescent="0.3">
      <c r="A2290" t="s">
        <v>72</v>
      </c>
      <c r="B2290" t="s">
        <v>73</v>
      </c>
      <c r="C2290" t="s">
        <v>74</v>
      </c>
      <c r="E2290" t="str">
        <f>"080067263056"</f>
        <v>080067263056</v>
      </c>
      <c r="F2290" s="3">
        <v>45884</v>
      </c>
      <c r="G2290">
        <v>202605</v>
      </c>
      <c r="H2290" t="s">
        <v>75</v>
      </c>
      <c r="I2290" t="s">
        <v>76</v>
      </c>
      <c r="J2290" t="s">
        <v>77</v>
      </c>
      <c r="K2290" t="s">
        <v>78</v>
      </c>
      <c r="L2290" t="s">
        <v>278</v>
      </c>
      <c r="M2290" t="s">
        <v>279</v>
      </c>
      <c r="N2290" t="s">
        <v>749</v>
      </c>
      <c r="O2290" t="s">
        <v>82</v>
      </c>
      <c r="P2290" t="str">
        <f>"4170055012                    "</f>
        <v xml:space="preserve">4170055012                    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0</v>
      </c>
      <c r="AL2290">
        <v>0</v>
      </c>
      <c r="AM2290">
        <v>0</v>
      </c>
      <c r="AN2290">
        <v>0</v>
      </c>
      <c r="AO2290">
        <v>0</v>
      </c>
      <c r="AP2290">
        <v>0</v>
      </c>
      <c r="AQ2290">
        <v>23.09</v>
      </c>
      <c r="AR2290">
        <v>0</v>
      </c>
      <c r="AS2290">
        <v>0</v>
      </c>
      <c r="AT2290">
        <v>0</v>
      </c>
      <c r="AU2290">
        <v>0</v>
      </c>
      <c r="AV2290">
        <v>0</v>
      </c>
      <c r="AW2290">
        <v>0</v>
      </c>
      <c r="AX2290">
        <v>0</v>
      </c>
      <c r="AY2290">
        <v>0</v>
      </c>
      <c r="AZ2290">
        <v>0</v>
      </c>
      <c r="BA2290">
        <v>0</v>
      </c>
      <c r="BB2290">
        <v>0</v>
      </c>
      <c r="BC2290">
        <v>0</v>
      </c>
      <c r="BD2290">
        <v>0</v>
      </c>
      <c r="BE2290">
        <v>0</v>
      </c>
      <c r="BF2290">
        <v>0</v>
      </c>
      <c r="BG2290">
        <v>0</v>
      </c>
      <c r="BH2290">
        <v>1</v>
      </c>
      <c r="BI2290">
        <v>2</v>
      </c>
      <c r="BJ2290">
        <v>0.6</v>
      </c>
      <c r="BK2290">
        <v>2</v>
      </c>
      <c r="BL2290">
        <v>71.69</v>
      </c>
      <c r="BM2290">
        <v>10.75</v>
      </c>
      <c r="BN2290">
        <v>82.44</v>
      </c>
      <c r="BO2290">
        <v>82.44</v>
      </c>
      <c r="BQ2290" t="s">
        <v>750</v>
      </c>
      <c r="BR2290" t="s">
        <v>84</v>
      </c>
      <c r="BS2290" s="3">
        <v>45887</v>
      </c>
      <c r="BT2290" s="4">
        <v>0.37430555555555556</v>
      </c>
      <c r="BU2290" t="s">
        <v>2392</v>
      </c>
      <c r="BV2290" t="s">
        <v>86</v>
      </c>
      <c r="BY2290">
        <v>3192</v>
      </c>
      <c r="CA2290" t="s">
        <v>283</v>
      </c>
      <c r="CC2290" t="s">
        <v>279</v>
      </c>
      <c r="CD2290" s="5" t="s">
        <v>753</v>
      </c>
      <c r="CE2290" t="s">
        <v>147</v>
      </c>
      <c r="CF2290" s="3">
        <v>45887</v>
      </c>
      <c r="CI2290">
        <v>1</v>
      </c>
      <c r="CJ2290">
        <v>1</v>
      </c>
      <c r="CK2290">
        <v>21</v>
      </c>
      <c r="CL2290" t="s">
        <v>90</v>
      </c>
    </row>
    <row r="2291" spans="1:90" x14ac:dyDescent="0.3">
      <c r="A2291" t="s">
        <v>72</v>
      </c>
      <c r="B2291" t="s">
        <v>73</v>
      </c>
      <c r="C2291" t="s">
        <v>74</v>
      </c>
      <c r="E2291" t="str">
        <f>"080067263079"</f>
        <v>080067263079</v>
      </c>
      <c r="F2291" s="3">
        <v>45884</v>
      </c>
      <c r="G2291">
        <v>202605</v>
      </c>
      <c r="H2291" t="s">
        <v>75</v>
      </c>
      <c r="I2291" t="s">
        <v>76</v>
      </c>
      <c r="J2291" t="s">
        <v>77</v>
      </c>
      <c r="K2291" t="s">
        <v>78</v>
      </c>
      <c r="L2291" t="s">
        <v>75</v>
      </c>
      <c r="M2291" t="s">
        <v>76</v>
      </c>
      <c r="N2291" t="s">
        <v>1550</v>
      </c>
      <c r="O2291" t="s">
        <v>113</v>
      </c>
      <c r="P2291" t="str">
        <f>"4170055101                    "</f>
        <v xml:space="preserve">4170055101                    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0</v>
      </c>
      <c r="AI2291">
        <v>0</v>
      </c>
      <c r="AJ2291">
        <v>0</v>
      </c>
      <c r="AK2291">
        <v>0</v>
      </c>
      <c r="AL2291">
        <v>0</v>
      </c>
      <c r="AM2291">
        <v>0</v>
      </c>
      <c r="AN2291">
        <v>0</v>
      </c>
      <c r="AO2291">
        <v>0</v>
      </c>
      <c r="AP2291">
        <v>0</v>
      </c>
      <c r="AQ2291">
        <v>18.04</v>
      </c>
      <c r="AR2291">
        <v>0</v>
      </c>
      <c r="AS2291">
        <v>0</v>
      </c>
      <c r="AT2291">
        <v>0</v>
      </c>
      <c r="AU2291">
        <v>0</v>
      </c>
      <c r="AV2291">
        <v>0</v>
      </c>
      <c r="AW2291">
        <v>0</v>
      </c>
      <c r="AX2291">
        <v>0</v>
      </c>
      <c r="AY2291">
        <v>0</v>
      </c>
      <c r="AZ2291">
        <v>0</v>
      </c>
      <c r="BA2291">
        <v>0</v>
      </c>
      <c r="BB2291">
        <v>0</v>
      </c>
      <c r="BC2291">
        <v>0</v>
      </c>
      <c r="BD2291">
        <v>0</v>
      </c>
      <c r="BE2291">
        <v>0</v>
      </c>
      <c r="BF2291">
        <v>0</v>
      </c>
      <c r="BG2291">
        <v>0</v>
      </c>
      <c r="BH2291">
        <v>1</v>
      </c>
      <c r="BI2291">
        <v>5</v>
      </c>
      <c r="BJ2291">
        <v>1.7</v>
      </c>
      <c r="BK2291">
        <v>5</v>
      </c>
      <c r="BL2291">
        <v>56.01</v>
      </c>
      <c r="BM2291">
        <v>8.4</v>
      </c>
      <c r="BN2291">
        <v>64.41</v>
      </c>
      <c r="BO2291">
        <v>64.41</v>
      </c>
      <c r="BQ2291" t="s">
        <v>1551</v>
      </c>
      <c r="BR2291" t="s">
        <v>84</v>
      </c>
      <c r="BS2291" s="3">
        <v>45887</v>
      </c>
      <c r="BT2291" s="4">
        <v>0.45416666666666666</v>
      </c>
      <c r="BU2291" t="s">
        <v>2777</v>
      </c>
      <c r="BV2291" t="s">
        <v>86</v>
      </c>
      <c r="BY2291">
        <v>8512</v>
      </c>
      <c r="CA2291" t="s">
        <v>1743</v>
      </c>
      <c r="CC2291" t="s">
        <v>76</v>
      </c>
      <c r="CD2291">
        <v>1601</v>
      </c>
      <c r="CE2291" t="s">
        <v>147</v>
      </c>
      <c r="CF2291" s="3">
        <v>45887</v>
      </c>
      <c r="CI2291">
        <v>1</v>
      </c>
      <c r="CJ2291">
        <v>1</v>
      </c>
      <c r="CK2291">
        <v>32</v>
      </c>
      <c r="CL2291" t="s">
        <v>90</v>
      </c>
    </row>
    <row r="2292" spans="1:90" x14ac:dyDescent="0.3">
      <c r="A2292" t="s">
        <v>72</v>
      </c>
      <c r="B2292" t="s">
        <v>73</v>
      </c>
      <c r="C2292" t="s">
        <v>74</v>
      </c>
      <c r="E2292" t="str">
        <f>"080067263212"</f>
        <v>080067263212</v>
      </c>
      <c r="F2292" s="3">
        <v>45884</v>
      </c>
      <c r="G2292">
        <v>202605</v>
      </c>
      <c r="H2292" t="s">
        <v>75</v>
      </c>
      <c r="I2292" t="s">
        <v>76</v>
      </c>
      <c r="J2292" t="s">
        <v>77</v>
      </c>
      <c r="K2292" t="s">
        <v>78</v>
      </c>
      <c r="L2292" t="s">
        <v>75</v>
      </c>
      <c r="M2292" t="s">
        <v>76</v>
      </c>
      <c r="N2292" t="s">
        <v>2778</v>
      </c>
      <c r="O2292" t="s">
        <v>82</v>
      </c>
      <c r="P2292" t="str">
        <f>"4170055099                    "</f>
        <v xml:space="preserve">4170055099                    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0</v>
      </c>
      <c r="AI2292">
        <v>0</v>
      </c>
      <c r="AJ2292"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>
        <v>0</v>
      </c>
      <c r="AQ2292">
        <v>18.03</v>
      </c>
      <c r="AR2292">
        <v>0</v>
      </c>
      <c r="AS2292">
        <v>0</v>
      </c>
      <c r="AT2292">
        <v>0</v>
      </c>
      <c r="AU2292">
        <v>0</v>
      </c>
      <c r="AV2292">
        <v>0</v>
      </c>
      <c r="AW2292">
        <v>0</v>
      </c>
      <c r="AX2292">
        <v>0</v>
      </c>
      <c r="AY2292">
        <v>0</v>
      </c>
      <c r="AZ2292">
        <v>0</v>
      </c>
      <c r="BA2292">
        <v>0</v>
      </c>
      <c r="BB2292">
        <v>0</v>
      </c>
      <c r="BC2292">
        <v>0</v>
      </c>
      <c r="BD2292">
        <v>0</v>
      </c>
      <c r="BE2292">
        <v>0</v>
      </c>
      <c r="BF2292">
        <v>0</v>
      </c>
      <c r="BG2292">
        <v>0</v>
      </c>
      <c r="BH2292">
        <v>1</v>
      </c>
      <c r="BI2292">
        <v>1</v>
      </c>
      <c r="BJ2292">
        <v>0.2</v>
      </c>
      <c r="BK2292">
        <v>1</v>
      </c>
      <c r="BL2292">
        <v>55.99</v>
      </c>
      <c r="BM2292">
        <v>8.4</v>
      </c>
      <c r="BN2292">
        <v>64.39</v>
      </c>
      <c r="BO2292">
        <v>64.39</v>
      </c>
      <c r="BQ2292" t="s">
        <v>2779</v>
      </c>
      <c r="BR2292" t="s">
        <v>84</v>
      </c>
      <c r="BS2292" s="3">
        <v>45887</v>
      </c>
      <c r="BT2292" s="4">
        <v>0.33541666666666664</v>
      </c>
      <c r="BU2292" t="s">
        <v>2780</v>
      </c>
      <c r="BV2292" t="s">
        <v>86</v>
      </c>
      <c r="BY2292">
        <v>1200</v>
      </c>
      <c r="CA2292" t="s">
        <v>1343</v>
      </c>
      <c r="CC2292" t="s">
        <v>76</v>
      </c>
      <c r="CD2292">
        <v>1609</v>
      </c>
      <c r="CE2292" t="s">
        <v>109</v>
      </c>
      <c r="CF2292" s="3">
        <v>45887</v>
      </c>
      <c r="CI2292">
        <v>1</v>
      </c>
      <c r="CJ2292">
        <v>1</v>
      </c>
      <c r="CK2292">
        <v>22</v>
      </c>
      <c r="CL2292" t="s">
        <v>90</v>
      </c>
    </row>
    <row r="2293" spans="1:90" x14ac:dyDescent="0.3">
      <c r="A2293" t="s">
        <v>72</v>
      </c>
      <c r="B2293" t="s">
        <v>73</v>
      </c>
      <c r="C2293" t="s">
        <v>74</v>
      </c>
      <c r="E2293" t="str">
        <f>"080067263241"</f>
        <v>080067263241</v>
      </c>
      <c r="F2293" s="3">
        <v>45884</v>
      </c>
      <c r="G2293">
        <v>202605</v>
      </c>
      <c r="H2293" t="s">
        <v>75</v>
      </c>
      <c r="I2293" t="s">
        <v>76</v>
      </c>
      <c r="J2293" t="s">
        <v>77</v>
      </c>
      <c r="K2293" t="s">
        <v>78</v>
      </c>
      <c r="L2293" t="s">
        <v>137</v>
      </c>
      <c r="M2293" t="s">
        <v>138</v>
      </c>
      <c r="N2293" t="s">
        <v>815</v>
      </c>
      <c r="O2293" t="s">
        <v>95</v>
      </c>
      <c r="P2293" t="str">
        <f>"4170055122                    "</f>
        <v xml:space="preserve">4170055122                    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0</v>
      </c>
      <c r="AI2293">
        <v>0</v>
      </c>
      <c r="AJ2293">
        <v>0</v>
      </c>
      <c r="AK2293">
        <v>0</v>
      </c>
      <c r="AL2293">
        <v>0</v>
      </c>
      <c r="AM2293">
        <v>0</v>
      </c>
      <c r="AN2293">
        <v>0</v>
      </c>
      <c r="AO2293">
        <v>0</v>
      </c>
      <c r="AP2293">
        <v>0</v>
      </c>
      <c r="AQ2293">
        <v>75.97</v>
      </c>
      <c r="AR2293">
        <v>0</v>
      </c>
      <c r="AS2293">
        <v>0</v>
      </c>
      <c r="AT2293">
        <v>0</v>
      </c>
      <c r="AU2293">
        <v>0</v>
      </c>
      <c r="AV2293">
        <v>0</v>
      </c>
      <c r="AW2293">
        <v>0</v>
      </c>
      <c r="AX2293">
        <v>0</v>
      </c>
      <c r="AY2293">
        <v>0</v>
      </c>
      <c r="AZ2293">
        <v>0</v>
      </c>
      <c r="BA2293">
        <v>0</v>
      </c>
      <c r="BB2293">
        <v>0</v>
      </c>
      <c r="BC2293">
        <v>0</v>
      </c>
      <c r="BD2293">
        <v>0</v>
      </c>
      <c r="BE2293">
        <v>0</v>
      </c>
      <c r="BF2293">
        <v>0</v>
      </c>
      <c r="BG2293">
        <v>0</v>
      </c>
      <c r="BH2293">
        <v>2</v>
      </c>
      <c r="BI2293">
        <v>32</v>
      </c>
      <c r="BJ2293">
        <v>31.5</v>
      </c>
      <c r="BK2293">
        <v>32</v>
      </c>
      <c r="BL2293">
        <v>241.78</v>
      </c>
      <c r="BM2293">
        <v>36.270000000000003</v>
      </c>
      <c r="BN2293">
        <v>278.05</v>
      </c>
      <c r="BO2293">
        <v>278.05</v>
      </c>
      <c r="BQ2293" t="s">
        <v>816</v>
      </c>
      <c r="BR2293" t="s">
        <v>84</v>
      </c>
      <c r="BS2293" s="3">
        <v>45887</v>
      </c>
      <c r="BT2293" s="4">
        <v>0.55486111111111114</v>
      </c>
      <c r="BU2293" t="s">
        <v>2781</v>
      </c>
      <c r="BV2293" t="s">
        <v>86</v>
      </c>
      <c r="BY2293">
        <v>78650</v>
      </c>
      <c r="CC2293" t="s">
        <v>138</v>
      </c>
      <c r="CD2293">
        <v>3610</v>
      </c>
      <c r="CE2293" t="s">
        <v>970</v>
      </c>
      <c r="CF2293" s="3">
        <v>45888</v>
      </c>
      <c r="CI2293">
        <v>1</v>
      </c>
      <c r="CJ2293">
        <v>1</v>
      </c>
      <c r="CK2293">
        <v>41</v>
      </c>
      <c r="CL2293" t="s">
        <v>90</v>
      </c>
    </row>
    <row r="2294" spans="1:90" x14ac:dyDescent="0.3">
      <c r="A2294" t="s">
        <v>72</v>
      </c>
      <c r="B2294" t="s">
        <v>73</v>
      </c>
      <c r="C2294" t="s">
        <v>74</v>
      </c>
      <c r="E2294" t="str">
        <f>"080067263275"</f>
        <v>080067263275</v>
      </c>
      <c r="F2294" s="3">
        <v>45884</v>
      </c>
      <c r="G2294">
        <v>202605</v>
      </c>
      <c r="H2294" t="s">
        <v>75</v>
      </c>
      <c r="I2294" t="s">
        <v>76</v>
      </c>
      <c r="J2294" t="s">
        <v>77</v>
      </c>
      <c r="K2294" t="s">
        <v>78</v>
      </c>
      <c r="L2294" t="s">
        <v>123</v>
      </c>
      <c r="M2294" t="s">
        <v>124</v>
      </c>
      <c r="N2294" t="s">
        <v>125</v>
      </c>
      <c r="O2294" t="s">
        <v>82</v>
      </c>
      <c r="P2294" t="str">
        <f>"4170054966                    "</f>
        <v xml:space="preserve">4170054966                    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0</v>
      </c>
      <c r="AI2294">
        <v>0</v>
      </c>
      <c r="AJ2294">
        <v>0</v>
      </c>
      <c r="AK2294">
        <v>0</v>
      </c>
      <c r="AL2294">
        <v>0</v>
      </c>
      <c r="AM2294">
        <v>0</v>
      </c>
      <c r="AN2294">
        <v>0</v>
      </c>
      <c r="AO2294">
        <v>0</v>
      </c>
      <c r="AP2294">
        <v>0</v>
      </c>
      <c r="AQ2294">
        <v>23.09</v>
      </c>
      <c r="AR2294">
        <v>0</v>
      </c>
      <c r="AS2294">
        <v>0</v>
      </c>
      <c r="AT2294">
        <v>0</v>
      </c>
      <c r="AU2294">
        <v>0</v>
      </c>
      <c r="AV2294">
        <v>0</v>
      </c>
      <c r="AW2294">
        <v>0</v>
      </c>
      <c r="AX2294">
        <v>0</v>
      </c>
      <c r="AY2294">
        <v>0</v>
      </c>
      <c r="AZ2294">
        <v>0</v>
      </c>
      <c r="BA2294">
        <v>0</v>
      </c>
      <c r="BB2294">
        <v>0</v>
      </c>
      <c r="BC2294">
        <v>0</v>
      </c>
      <c r="BD2294">
        <v>0</v>
      </c>
      <c r="BE2294">
        <v>0</v>
      </c>
      <c r="BF2294">
        <v>0</v>
      </c>
      <c r="BG2294">
        <v>0</v>
      </c>
      <c r="BH2294">
        <v>1</v>
      </c>
      <c r="BI2294">
        <v>1</v>
      </c>
      <c r="BJ2294">
        <v>1.1000000000000001</v>
      </c>
      <c r="BK2294">
        <v>1.5</v>
      </c>
      <c r="BL2294">
        <v>71.69</v>
      </c>
      <c r="BM2294">
        <v>10.75</v>
      </c>
      <c r="BN2294">
        <v>82.44</v>
      </c>
      <c r="BO2294">
        <v>82.44</v>
      </c>
      <c r="BQ2294" t="s">
        <v>126</v>
      </c>
      <c r="BR2294" t="s">
        <v>84</v>
      </c>
      <c r="BS2294" s="3">
        <v>45887</v>
      </c>
      <c r="BT2294" s="4">
        <v>0.33958333333333335</v>
      </c>
      <c r="BU2294" t="s">
        <v>605</v>
      </c>
      <c r="BV2294" t="s">
        <v>86</v>
      </c>
      <c r="BY2294">
        <v>5265</v>
      </c>
      <c r="CA2294" t="s">
        <v>128</v>
      </c>
      <c r="CC2294" t="s">
        <v>124</v>
      </c>
      <c r="CD2294">
        <v>7530</v>
      </c>
      <c r="CE2294" t="s">
        <v>147</v>
      </c>
      <c r="CI2294">
        <v>1</v>
      </c>
      <c r="CJ2294">
        <v>1</v>
      </c>
      <c r="CK2294">
        <v>21</v>
      </c>
      <c r="CL2294" t="s">
        <v>90</v>
      </c>
    </row>
    <row r="2295" spans="1:90" x14ac:dyDescent="0.3">
      <c r="A2295" t="s">
        <v>72</v>
      </c>
      <c r="B2295" t="s">
        <v>73</v>
      </c>
      <c r="C2295" t="s">
        <v>74</v>
      </c>
      <c r="E2295" t="str">
        <f>"080067263296"</f>
        <v>080067263296</v>
      </c>
      <c r="F2295" s="3">
        <v>45884</v>
      </c>
      <c r="G2295">
        <v>202605</v>
      </c>
      <c r="H2295" t="s">
        <v>75</v>
      </c>
      <c r="I2295" t="s">
        <v>76</v>
      </c>
      <c r="J2295" t="s">
        <v>77</v>
      </c>
      <c r="K2295" t="s">
        <v>78</v>
      </c>
      <c r="L2295" t="s">
        <v>291</v>
      </c>
      <c r="M2295" t="s">
        <v>292</v>
      </c>
      <c r="N2295" t="s">
        <v>131</v>
      </c>
      <c r="O2295" t="s">
        <v>82</v>
      </c>
      <c r="P2295" t="str">
        <f>"4170055102                    "</f>
        <v xml:space="preserve">4170055102                    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0</v>
      </c>
      <c r="AI2295">
        <v>0</v>
      </c>
      <c r="AJ2295">
        <v>0</v>
      </c>
      <c r="AK2295">
        <v>0</v>
      </c>
      <c r="AL2295">
        <v>0</v>
      </c>
      <c r="AM2295">
        <v>0</v>
      </c>
      <c r="AN2295">
        <v>0</v>
      </c>
      <c r="AO2295">
        <v>0</v>
      </c>
      <c r="AP2295">
        <v>0</v>
      </c>
      <c r="AQ2295">
        <v>18.03</v>
      </c>
      <c r="AR2295">
        <v>0</v>
      </c>
      <c r="AS2295">
        <v>0</v>
      </c>
      <c r="AT2295">
        <v>0</v>
      </c>
      <c r="AU2295">
        <v>0</v>
      </c>
      <c r="AV2295">
        <v>0</v>
      </c>
      <c r="AW2295">
        <v>0</v>
      </c>
      <c r="AX2295">
        <v>0</v>
      </c>
      <c r="AY2295">
        <v>0</v>
      </c>
      <c r="AZ2295">
        <v>0</v>
      </c>
      <c r="BA2295">
        <v>0</v>
      </c>
      <c r="BB2295">
        <v>0</v>
      </c>
      <c r="BC2295">
        <v>0</v>
      </c>
      <c r="BD2295">
        <v>0</v>
      </c>
      <c r="BE2295">
        <v>0</v>
      </c>
      <c r="BF2295">
        <v>0</v>
      </c>
      <c r="BG2295">
        <v>0</v>
      </c>
      <c r="BH2295">
        <v>1</v>
      </c>
      <c r="BI2295">
        <v>1</v>
      </c>
      <c r="BJ2295">
        <v>0.2</v>
      </c>
      <c r="BK2295">
        <v>1</v>
      </c>
      <c r="BL2295">
        <v>55.99</v>
      </c>
      <c r="BM2295">
        <v>8.4</v>
      </c>
      <c r="BN2295">
        <v>64.39</v>
      </c>
      <c r="BO2295">
        <v>64.39</v>
      </c>
      <c r="BQ2295" t="s">
        <v>132</v>
      </c>
      <c r="BR2295" t="s">
        <v>84</v>
      </c>
      <c r="BS2295" s="3">
        <v>45887</v>
      </c>
      <c r="BT2295" s="4">
        <v>0.33680555555555558</v>
      </c>
      <c r="BU2295" t="s">
        <v>1471</v>
      </c>
      <c r="BV2295" t="s">
        <v>86</v>
      </c>
      <c r="BY2295">
        <v>1200</v>
      </c>
      <c r="CA2295" t="s">
        <v>296</v>
      </c>
      <c r="CC2295" t="s">
        <v>292</v>
      </c>
      <c r="CD2295">
        <v>1451</v>
      </c>
      <c r="CE2295" t="s">
        <v>109</v>
      </c>
      <c r="CF2295" s="3">
        <v>45887</v>
      </c>
      <c r="CI2295">
        <v>1</v>
      </c>
      <c r="CJ2295">
        <v>1</v>
      </c>
      <c r="CK2295">
        <v>22</v>
      </c>
      <c r="CL2295" t="s">
        <v>90</v>
      </c>
    </row>
    <row r="2296" spans="1:90" x14ac:dyDescent="0.3">
      <c r="A2296" t="s">
        <v>72</v>
      </c>
      <c r="B2296" t="s">
        <v>73</v>
      </c>
      <c r="C2296" t="s">
        <v>74</v>
      </c>
      <c r="E2296" t="str">
        <f>"080067263306"</f>
        <v>080067263306</v>
      </c>
      <c r="F2296" s="3">
        <v>45884</v>
      </c>
      <c r="G2296">
        <v>202605</v>
      </c>
      <c r="H2296" t="s">
        <v>75</v>
      </c>
      <c r="I2296" t="s">
        <v>76</v>
      </c>
      <c r="J2296" t="s">
        <v>77</v>
      </c>
      <c r="K2296" t="s">
        <v>78</v>
      </c>
      <c r="L2296" t="s">
        <v>278</v>
      </c>
      <c r="M2296" t="s">
        <v>279</v>
      </c>
      <c r="N2296" t="s">
        <v>749</v>
      </c>
      <c r="O2296" t="s">
        <v>82</v>
      </c>
      <c r="P2296" t="str">
        <f>"4170055070                    "</f>
        <v xml:space="preserve">4170055070                    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0</v>
      </c>
      <c r="AI2296">
        <v>0</v>
      </c>
      <c r="AJ2296">
        <v>0</v>
      </c>
      <c r="AK2296">
        <v>0</v>
      </c>
      <c r="AL2296">
        <v>0</v>
      </c>
      <c r="AM2296">
        <v>0</v>
      </c>
      <c r="AN2296">
        <v>0</v>
      </c>
      <c r="AO2296">
        <v>0</v>
      </c>
      <c r="AP2296">
        <v>0</v>
      </c>
      <c r="AQ2296">
        <v>23.09</v>
      </c>
      <c r="AR2296">
        <v>0</v>
      </c>
      <c r="AS2296">
        <v>0</v>
      </c>
      <c r="AT2296">
        <v>0</v>
      </c>
      <c r="AU2296">
        <v>0</v>
      </c>
      <c r="AV2296">
        <v>0</v>
      </c>
      <c r="AW2296">
        <v>0</v>
      </c>
      <c r="AX2296">
        <v>0</v>
      </c>
      <c r="AY2296">
        <v>0</v>
      </c>
      <c r="AZ2296">
        <v>0</v>
      </c>
      <c r="BA2296">
        <v>0</v>
      </c>
      <c r="BB2296">
        <v>0</v>
      </c>
      <c r="BC2296">
        <v>0</v>
      </c>
      <c r="BD2296">
        <v>0</v>
      </c>
      <c r="BE2296">
        <v>0</v>
      </c>
      <c r="BF2296">
        <v>0</v>
      </c>
      <c r="BG2296">
        <v>0</v>
      </c>
      <c r="BH2296">
        <v>1</v>
      </c>
      <c r="BI2296">
        <v>2</v>
      </c>
      <c r="BJ2296">
        <v>2</v>
      </c>
      <c r="BK2296">
        <v>2</v>
      </c>
      <c r="BL2296">
        <v>71.69</v>
      </c>
      <c r="BM2296">
        <v>10.75</v>
      </c>
      <c r="BN2296">
        <v>82.44</v>
      </c>
      <c r="BO2296">
        <v>82.44</v>
      </c>
      <c r="BQ2296" t="s">
        <v>750</v>
      </c>
      <c r="BR2296" t="s">
        <v>84</v>
      </c>
      <c r="BS2296" s="3">
        <v>45887</v>
      </c>
      <c r="BT2296" s="4">
        <v>0.39166666666666666</v>
      </c>
      <c r="BU2296" t="s">
        <v>2458</v>
      </c>
      <c r="BV2296" t="s">
        <v>86</v>
      </c>
      <c r="BY2296">
        <v>9918</v>
      </c>
      <c r="CA2296" t="s">
        <v>283</v>
      </c>
      <c r="CC2296" t="s">
        <v>279</v>
      </c>
      <c r="CD2296" s="5" t="s">
        <v>1042</v>
      </c>
      <c r="CE2296" t="s">
        <v>147</v>
      </c>
      <c r="CF2296" s="3">
        <v>45887</v>
      </c>
      <c r="CI2296">
        <v>1</v>
      </c>
      <c r="CJ2296">
        <v>1</v>
      </c>
      <c r="CK2296">
        <v>21</v>
      </c>
      <c r="CL2296" t="s">
        <v>90</v>
      </c>
    </row>
    <row r="2297" spans="1:90" x14ac:dyDescent="0.3">
      <c r="A2297" t="s">
        <v>72</v>
      </c>
      <c r="B2297" t="s">
        <v>73</v>
      </c>
      <c r="C2297" t="s">
        <v>74</v>
      </c>
      <c r="E2297" t="str">
        <f>"080067263319"</f>
        <v>080067263319</v>
      </c>
      <c r="F2297" s="3">
        <v>45884</v>
      </c>
      <c r="G2297">
        <v>202605</v>
      </c>
      <c r="H2297" t="s">
        <v>75</v>
      </c>
      <c r="I2297" t="s">
        <v>76</v>
      </c>
      <c r="J2297" t="s">
        <v>77</v>
      </c>
      <c r="K2297" t="s">
        <v>78</v>
      </c>
      <c r="L2297" t="s">
        <v>513</v>
      </c>
      <c r="M2297" t="s">
        <v>514</v>
      </c>
      <c r="N2297" t="s">
        <v>1017</v>
      </c>
      <c r="O2297" t="s">
        <v>82</v>
      </c>
      <c r="P2297" t="str">
        <f>"4170055076                    "</f>
        <v xml:space="preserve">4170055076                    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0</v>
      </c>
      <c r="AI2297">
        <v>0</v>
      </c>
      <c r="AJ2297">
        <v>0</v>
      </c>
      <c r="AK2297">
        <v>0</v>
      </c>
      <c r="AL2297">
        <v>0</v>
      </c>
      <c r="AM2297">
        <v>0</v>
      </c>
      <c r="AN2297">
        <v>0</v>
      </c>
      <c r="AO2297">
        <v>0</v>
      </c>
      <c r="AP2297">
        <v>0</v>
      </c>
      <c r="AQ2297">
        <v>44.73</v>
      </c>
      <c r="AR2297">
        <v>0</v>
      </c>
      <c r="AS2297">
        <v>0</v>
      </c>
      <c r="AT2297">
        <v>0</v>
      </c>
      <c r="AU2297">
        <v>0</v>
      </c>
      <c r="AV2297">
        <v>0</v>
      </c>
      <c r="AW2297">
        <v>0</v>
      </c>
      <c r="AX2297">
        <v>0</v>
      </c>
      <c r="AY2297">
        <v>0</v>
      </c>
      <c r="AZ2297">
        <v>0</v>
      </c>
      <c r="BA2297">
        <v>0</v>
      </c>
      <c r="BB2297">
        <v>0</v>
      </c>
      <c r="BC2297">
        <v>0</v>
      </c>
      <c r="BD2297">
        <v>0</v>
      </c>
      <c r="BE2297">
        <v>0</v>
      </c>
      <c r="BF2297">
        <v>0</v>
      </c>
      <c r="BG2297">
        <v>0</v>
      </c>
      <c r="BH2297">
        <v>1</v>
      </c>
      <c r="BI2297">
        <v>1</v>
      </c>
      <c r="BJ2297">
        <v>0.2</v>
      </c>
      <c r="BK2297">
        <v>1</v>
      </c>
      <c r="BL2297">
        <v>138.88999999999999</v>
      </c>
      <c r="BM2297">
        <v>20.83</v>
      </c>
      <c r="BN2297">
        <v>159.72</v>
      </c>
      <c r="BO2297">
        <v>159.72</v>
      </c>
      <c r="BQ2297" t="s">
        <v>1018</v>
      </c>
      <c r="BR2297" t="s">
        <v>84</v>
      </c>
      <c r="BS2297" s="3">
        <v>45887</v>
      </c>
      <c r="BT2297" s="4">
        <v>0.42986111111111114</v>
      </c>
      <c r="BU2297" t="s">
        <v>1019</v>
      </c>
      <c r="BV2297" t="s">
        <v>86</v>
      </c>
      <c r="BY2297">
        <v>1200</v>
      </c>
      <c r="CA2297" t="s">
        <v>518</v>
      </c>
      <c r="CC2297" t="s">
        <v>514</v>
      </c>
      <c r="CD2297" s="5" t="s">
        <v>519</v>
      </c>
      <c r="CE2297" t="s">
        <v>109</v>
      </c>
      <c r="CI2297">
        <v>1</v>
      </c>
      <c r="CJ2297">
        <v>1</v>
      </c>
      <c r="CK2297">
        <v>23</v>
      </c>
      <c r="CL2297" t="s">
        <v>90</v>
      </c>
    </row>
    <row r="2298" spans="1:90" x14ac:dyDescent="0.3">
      <c r="A2298" t="s">
        <v>72</v>
      </c>
      <c r="B2298" t="s">
        <v>73</v>
      </c>
      <c r="C2298" t="s">
        <v>74</v>
      </c>
      <c r="E2298" t="str">
        <f>"080067263342"</f>
        <v>080067263342</v>
      </c>
      <c r="F2298" s="3">
        <v>45884</v>
      </c>
      <c r="G2298">
        <v>202605</v>
      </c>
      <c r="H2298" t="s">
        <v>75</v>
      </c>
      <c r="I2298" t="s">
        <v>76</v>
      </c>
      <c r="J2298" t="s">
        <v>77</v>
      </c>
      <c r="K2298" t="s">
        <v>78</v>
      </c>
      <c r="L2298" t="s">
        <v>291</v>
      </c>
      <c r="M2298" t="s">
        <v>292</v>
      </c>
      <c r="N2298" t="s">
        <v>131</v>
      </c>
      <c r="O2298" t="s">
        <v>82</v>
      </c>
      <c r="P2298" t="str">
        <f>"4170054985                    "</f>
        <v xml:space="preserve">4170054985                    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0</v>
      </c>
      <c r="AI2298">
        <v>0</v>
      </c>
      <c r="AJ2298">
        <v>0</v>
      </c>
      <c r="AK2298">
        <v>0</v>
      </c>
      <c r="AL2298">
        <v>0</v>
      </c>
      <c r="AM2298">
        <v>0</v>
      </c>
      <c r="AN2298">
        <v>0</v>
      </c>
      <c r="AO2298">
        <v>0</v>
      </c>
      <c r="AP2298">
        <v>0</v>
      </c>
      <c r="AQ2298">
        <v>18.03</v>
      </c>
      <c r="AR2298">
        <v>0</v>
      </c>
      <c r="AS2298">
        <v>0</v>
      </c>
      <c r="AT2298">
        <v>0</v>
      </c>
      <c r="AU2298">
        <v>0</v>
      </c>
      <c r="AV2298">
        <v>0</v>
      </c>
      <c r="AW2298">
        <v>0</v>
      </c>
      <c r="AX2298">
        <v>0</v>
      </c>
      <c r="AY2298">
        <v>0</v>
      </c>
      <c r="AZ2298">
        <v>0</v>
      </c>
      <c r="BA2298">
        <v>0</v>
      </c>
      <c r="BB2298">
        <v>0</v>
      </c>
      <c r="BC2298">
        <v>0</v>
      </c>
      <c r="BD2298">
        <v>0</v>
      </c>
      <c r="BE2298">
        <v>0</v>
      </c>
      <c r="BF2298">
        <v>0</v>
      </c>
      <c r="BG2298">
        <v>0</v>
      </c>
      <c r="BH2298">
        <v>1</v>
      </c>
      <c r="BI2298">
        <v>1</v>
      </c>
      <c r="BJ2298">
        <v>0.2</v>
      </c>
      <c r="BK2298">
        <v>1</v>
      </c>
      <c r="BL2298">
        <v>55.99</v>
      </c>
      <c r="BM2298">
        <v>8.4</v>
      </c>
      <c r="BN2298">
        <v>64.39</v>
      </c>
      <c r="BO2298">
        <v>64.39</v>
      </c>
      <c r="BQ2298" t="s">
        <v>132</v>
      </c>
      <c r="BR2298" t="s">
        <v>84</v>
      </c>
      <c r="BS2298" s="3">
        <v>45887</v>
      </c>
      <c r="BT2298" s="4">
        <v>0.33680555555555558</v>
      </c>
      <c r="BU2298" t="s">
        <v>1471</v>
      </c>
      <c r="BV2298" t="s">
        <v>86</v>
      </c>
      <c r="BY2298">
        <v>1200</v>
      </c>
      <c r="CA2298" t="s">
        <v>296</v>
      </c>
      <c r="CC2298" t="s">
        <v>292</v>
      </c>
      <c r="CD2298">
        <v>1451</v>
      </c>
      <c r="CE2298" t="s">
        <v>109</v>
      </c>
      <c r="CF2298" s="3">
        <v>45887</v>
      </c>
      <c r="CI2298">
        <v>1</v>
      </c>
      <c r="CJ2298">
        <v>1</v>
      </c>
      <c r="CK2298">
        <v>22</v>
      </c>
      <c r="CL2298" t="s">
        <v>90</v>
      </c>
    </row>
    <row r="2299" spans="1:90" x14ac:dyDescent="0.3">
      <c r="A2299" t="s">
        <v>72</v>
      </c>
      <c r="B2299" t="s">
        <v>73</v>
      </c>
      <c r="C2299" t="s">
        <v>74</v>
      </c>
      <c r="E2299" t="str">
        <f>"080067263354"</f>
        <v>080067263354</v>
      </c>
      <c r="F2299" s="3">
        <v>45884</v>
      </c>
      <c r="G2299">
        <v>202605</v>
      </c>
      <c r="H2299" t="s">
        <v>75</v>
      </c>
      <c r="I2299" t="s">
        <v>76</v>
      </c>
      <c r="J2299" t="s">
        <v>77</v>
      </c>
      <c r="K2299" t="s">
        <v>78</v>
      </c>
      <c r="L2299" t="s">
        <v>123</v>
      </c>
      <c r="M2299" t="s">
        <v>124</v>
      </c>
      <c r="N2299" t="s">
        <v>577</v>
      </c>
      <c r="O2299" t="s">
        <v>82</v>
      </c>
      <c r="P2299" t="str">
        <f>"4170055048                    "</f>
        <v xml:space="preserve">4170055048                    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0</v>
      </c>
      <c r="AI2299">
        <v>0</v>
      </c>
      <c r="AJ2299">
        <v>0</v>
      </c>
      <c r="AK2299">
        <v>0</v>
      </c>
      <c r="AL2299">
        <v>0</v>
      </c>
      <c r="AM2299">
        <v>0</v>
      </c>
      <c r="AN2299">
        <v>0</v>
      </c>
      <c r="AO2299">
        <v>0</v>
      </c>
      <c r="AP2299">
        <v>0</v>
      </c>
      <c r="AQ2299">
        <v>23.09</v>
      </c>
      <c r="AR2299">
        <v>0</v>
      </c>
      <c r="AS2299">
        <v>0</v>
      </c>
      <c r="AT2299">
        <v>0</v>
      </c>
      <c r="AU2299">
        <v>0</v>
      </c>
      <c r="AV2299">
        <v>0</v>
      </c>
      <c r="AW2299">
        <v>0</v>
      </c>
      <c r="AX2299">
        <v>0</v>
      </c>
      <c r="AY2299">
        <v>0</v>
      </c>
      <c r="AZ2299">
        <v>0</v>
      </c>
      <c r="BA2299">
        <v>0</v>
      </c>
      <c r="BB2299">
        <v>0</v>
      </c>
      <c r="BC2299">
        <v>0</v>
      </c>
      <c r="BD2299">
        <v>0</v>
      </c>
      <c r="BE2299">
        <v>0</v>
      </c>
      <c r="BF2299">
        <v>0</v>
      </c>
      <c r="BG2299">
        <v>0</v>
      </c>
      <c r="BH2299">
        <v>1</v>
      </c>
      <c r="BI2299">
        <v>2</v>
      </c>
      <c r="BJ2299">
        <v>2</v>
      </c>
      <c r="BK2299">
        <v>2</v>
      </c>
      <c r="BL2299">
        <v>71.69</v>
      </c>
      <c r="BM2299">
        <v>10.75</v>
      </c>
      <c r="BN2299">
        <v>82.44</v>
      </c>
      <c r="BO2299">
        <v>82.44</v>
      </c>
      <c r="BQ2299" t="s">
        <v>578</v>
      </c>
      <c r="BR2299" t="s">
        <v>84</v>
      </c>
      <c r="BS2299" s="3">
        <v>45887</v>
      </c>
      <c r="BT2299" s="4">
        <v>0.40902777777777777</v>
      </c>
      <c r="BU2299" t="s">
        <v>2782</v>
      </c>
      <c r="BV2299" t="s">
        <v>86</v>
      </c>
      <c r="BY2299">
        <v>10108</v>
      </c>
      <c r="CA2299" t="s">
        <v>2361</v>
      </c>
      <c r="CC2299" t="s">
        <v>124</v>
      </c>
      <c r="CD2299">
        <v>8001</v>
      </c>
      <c r="CE2299" t="s">
        <v>147</v>
      </c>
      <c r="CI2299">
        <v>1</v>
      </c>
      <c r="CJ2299">
        <v>1</v>
      </c>
      <c r="CK2299">
        <v>21</v>
      </c>
      <c r="CL2299" t="s">
        <v>90</v>
      </c>
    </row>
    <row r="2300" spans="1:90" x14ac:dyDescent="0.3">
      <c r="A2300" t="s">
        <v>72</v>
      </c>
      <c r="B2300" t="s">
        <v>73</v>
      </c>
      <c r="C2300" t="s">
        <v>74</v>
      </c>
      <c r="E2300" t="str">
        <f>"080067263360"</f>
        <v>080067263360</v>
      </c>
      <c r="F2300" s="3">
        <v>45884</v>
      </c>
      <c r="G2300">
        <v>202605</v>
      </c>
      <c r="H2300" t="s">
        <v>75</v>
      </c>
      <c r="I2300" t="s">
        <v>76</v>
      </c>
      <c r="J2300" t="s">
        <v>77</v>
      </c>
      <c r="K2300" t="s">
        <v>78</v>
      </c>
      <c r="L2300" t="s">
        <v>234</v>
      </c>
      <c r="M2300" t="s">
        <v>235</v>
      </c>
      <c r="N2300" t="s">
        <v>236</v>
      </c>
      <c r="O2300" t="s">
        <v>82</v>
      </c>
      <c r="P2300" t="str">
        <f>"4170054988                    "</f>
        <v xml:space="preserve">4170054988                    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0</v>
      </c>
      <c r="AI2300">
        <v>0</v>
      </c>
      <c r="AJ2300"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>
        <v>0</v>
      </c>
      <c r="AQ2300">
        <v>28.85</v>
      </c>
      <c r="AR2300">
        <v>0</v>
      </c>
      <c r="AS2300">
        <v>0</v>
      </c>
      <c r="AT2300">
        <v>0</v>
      </c>
      <c r="AU2300">
        <v>0</v>
      </c>
      <c r="AV2300">
        <v>0</v>
      </c>
      <c r="AW2300">
        <v>0</v>
      </c>
      <c r="AX2300">
        <v>0</v>
      </c>
      <c r="AY2300">
        <v>0</v>
      </c>
      <c r="AZ2300">
        <v>0</v>
      </c>
      <c r="BA2300">
        <v>0</v>
      </c>
      <c r="BB2300">
        <v>0</v>
      </c>
      <c r="BC2300">
        <v>0</v>
      </c>
      <c r="BD2300">
        <v>0</v>
      </c>
      <c r="BE2300">
        <v>0</v>
      </c>
      <c r="BF2300">
        <v>0</v>
      </c>
      <c r="BG2300">
        <v>0</v>
      </c>
      <c r="BH2300">
        <v>1</v>
      </c>
      <c r="BI2300">
        <v>1</v>
      </c>
      <c r="BJ2300">
        <v>2.4</v>
      </c>
      <c r="BK2300">
        <v>2.5</v>
      </c>
      <c r="BL2300">
        <v>89.59</v>
      </c>
      <c r="BM2300">
        <v>13.44</v>
      </c>
      <c r="BN2300">
        <v>103.03</v>
      </c>
      <c r="BO2300">
        <v>103.03</v>
      </c>
      <c r="BQ2300" t="s">
        <v>237</v>
      </c>
      <c r="BR2300" t="s">
        <v>84</v>
      </c>
      <c r="BS2300" s="3">
        <v>45887</v>
      </c>
      <c r="BT2300" s="4">
        <v>0.38611111111111113</v>
      </c>
      <c r="BU2300" t="s">
        <v>650</v>
      </c>
      <c r="BV2300" t="s">
        <v>86</v>
      </c>
      <c r="BY2300">
        <v>12000</v>
      </c>
      <c r="CA2300" t="s">
        <v>239</v>
      </c>
      <c r="CC2300" t="s">
        <v>235</v>
      </c>
      <c r="CD2300" s="5" t="s">
        <v>240</v>
      </c>
      <c r="CE2300" t="s">
        <v>109</v>
      </c>
      <c r="CF2300" s="3">
        <v>45887</v>
      </c>
      <c r="CI2300">
        <v>1</v>
      </c>
      <c r="CJ2300">
        <v>1</v>
      </c>
      <c r="CK2300">
        <v>21</v>
      </c>
      <c r="CL2300" t="s">
        <v>90</v>
      </c>
    </row>
    <row r="2301" spans="1:90" x14ac:dyDescent="0.3">
      <c r="A2301" t="s">
        <v>72</v>
      </c>
      <c r="B2301" t="s">
        <v>73</v>
      </c>
      <c r="C2301" t="s">
        <v>74</v>
      </c>
      <c r="E2301" t="str">
        <f>"080067263375"</f>
        <v>080067263375</v>
      </c>
      <c r="F2301" s="3">
        <v>45884</v>
      </c>
      <c r="G2301">
        <v>202605</v>
      </c>
      <c r="H2301" t="s">
        <v>75</v>
      </c>
      <c r="I2301" t="s">
        <v>76</v>
      </c>
      <c r="J2301" t="s">
        <v>77</v>
      </c>
      <c r="K2301" t="s">
        <v>78</v>
      </c>
      <c r="L2301" t="s">
        <v>118</v>
      </c>
      <c r="M2301" t="s">
        <v>118</v>
      </c>
      <c r="N2301" t="s">
        <v>1965</v>
      </c>
      <c r="O2301" t="s">
        <v>82</v>
      </c>
      <c r="P2301" t="str">
        <f>"4170055139                    "</f>
        <v xml:space="preserve">4170055139                    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0</v>
      </c>
      <c r="AQ2301">
        <v>44.73</v>
      </c>
      <c r="AR2301">
        <v>0</v>
      </c>
      <c r="AS2301">
        <v>0</v>
      </c>
      <c r="AT2301">
        <v>0</v>
      </c>
      <c r="AU2301">
        <v>0</v>
      </c>
      <c r="AV2301">
        <v>0</v>
      </c>
      <c r="AW2301">
        <v>0</v>
      </c>
      <c r="AX2301">
        <v>0</v>
      </c>
      <c r="AY2301">
        <v>0</v>
      </c>
      <c r="AZ2301">
        <v>0</v>
      </c>
      <c r="BA2301">
        <v>0</v>
      </c>
      <c r="BB2301">
        <v>0</v>
      </c>
      <c r="BC2301">
        <v>0</v>
      </c>
      <c r="BD2301">
        <v>0</v>
      </c>
      <c r="BE2301">
        <v>0</v>
      </c>
      <c r="BF2301">
        <v>0</v>
      </c>
      <c r="BG2301">
        <v>0</v>
      </c>
      <c r="BH2301">
        <v>1</v>
      </c>
      <c r="BI2301">
        <v>1</v>
      </c>
      <c r="BJ2301">
        <v>0.2</v>
      </c>
      <c r="BK2301">
        <v>1</v>
      </c>
      <c r="BL2301">
        <v>138.88999999999999</v>
      </c>
      <c r="BM2301">
        <v>20.83</v>
      </c>
      <c r="BN2301">
        <v>159.72</v>
      </c>
      <c r="BO2301">
        <v>159.72</v>
      </c>
      <c r="BQ2301" t="s">
        <v>1966</v>
      </c>
      <c r="BR2301" t="s">
        <v>84</v>
      </c>
      <c r="BS2301" s="3">
        <v>45887</v>
      </c>
      <c r="BT2301" s="4">
        <v>0.5395833333333333</v>
      </c>
      <c r="BU2301" t="s">
        <v>121</v>
      </c>
      <c r="BV2301" t="s">
        <v>86</v>
      </c>
      <c r="BY2301">
        <v>1200</v>
      </c>
      <c r="CA2301" t="s">
        <v>122</v>
      </c>
      <c r="CC2301" t="s">
        <v>118</v>
      </c>
      <c r="CD2301">
        <v>7646</v>
      </c>
      <c r="CE2301" t="s">
        <v>109</v>
      </c>
      <c r="CI2301">
        <v>1</v>
      </c>
      <c r="CJ2301">
        <v>1</v>
      </c>
      <c r="CK2301">
        <v>23</v>
      </c>
      <c r="CL2301" t="s">
        <v>90</v>
      </c>
    </row>
    <row r="2302" spans="1:90" x14ac:dyDescent="0.3">
      <c r="A2302" t="s">
        <v>72</v>
      </c>
      <c r="B2302" t="s">
        <v>73</v>
      </c>
      <c r="C2302" t="s">
        <v>74</v>
      </c>
      <c r="E2302" t="str">
        <f>"080067263380"</f>
        <v>080067263380</v>
      </c>
      <c r="F2302" s="3">
        <v>45884</v>
      </c>
      <c r="G2302">
        <v>202605</v>
      </c>
      <c r="H2302" t="s">
        <v>75</v>
      </c>
      <c r="I2302" t="s">
        <v>76</v>
      </c>
      <c r="J2302" t="s">
        <v>77</v>
      </c>
      <c r="K2302" t="s">
        <v>78</v>
      </c>
      <c r="L2302" t="s">
        <v>123</v>
      </c>
      <c r="M2302" t="s">
        <v>124</v>
      </c>
      <c r="N2302" t="s">
        <v>1115</v>
      </c>
      <c r="O2302" t="s">
        <v>82</v>
      </c>
      <c r="P2302" t="str">
        <f>"4170055114                    "</f>
        <v xml:space="preserve">4170055114                    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0</v>
      </c>
      <c r="AI2302">
        <v>0</v>
      </c>
      <c r="AJ2302">
        <v>0</v>
      </c>
      <c r="AK2302">
        <v>0</v>
      </c>
      <c r="AL2302">
        <v>0</v>
      </c>
      <c r="AM2302">
        <v>0</v>
      </c>
      <c r="AN2302">
        <v>0</v>
      </c>
      <c r="AO2302">
        <v>0</v>
      </c>
      <c r="AP2302">
        <v>0</v>
      </c>
      <c r="AQ2302">
        <v>92.28</v>
      </c>
      <c r="AR2302">
        <v>0</v>
      </c>
      <c r="AS2302">
        <v>0</v>
      </c>
      <c r="AT2302">
        <v>0</v>
      </c>
      <c r="AU2302">
        <v>0</v>
      </c>
      <c r="AV2302">
        <v>0</v>
      </c>
      <c r="AW2302">
        <v>0</v>
      </c>
      <c r="AX2302">
        <v>0</v>
      </c>
      <c r="AY2302">
        <v>0</v>
      </c>
      <c r="AZ2302">
        <v>0</v>
      </c>
      <c r="BA2302">
        <v>0</v>
      </c>
      <c r="BB2302">
        <v>0</v>
      </c>
      <c r="BC2302">
        <v>0</v>
      </c>
      <c r="BD2302">
        <v>0</v>
      </c>
      <c r="BE2302">
        <v>0</v>
      </c>
      <c r="BF2302">
        <v>0</v>
      </c>
      <c r="BG2302">
        <v>0</v>
      </c>
      <c r="BH2302">
        <v>1</v>
      </c>
      <c r="BI2302">
        <v>5</v>
      </c>
      <c r="BJ2302">
        <v>7.7</v>
      </c>
      <c r="BK2302">
        <v>8</v>
      </c>
      <c r="BL2302">
        <v>286.56</v>
      </c>
      <c r="BM2302">
        <v>42.98</v>
      </c>
      <c r="BN2302">
        <v>329.54</v>
      </c>
      <c r="BO2302">
        <v>329.54</v>
      </c>
      <c r="BQ2302" t="s">
        <v>1116</v>
      </c>
      <c r="BR2302" t="s">
        <v>84</v>
      </c>
      <c r="BS2302" s="3">
        <v>45887</v>
      </c>
      <c r="BT2302" s="4">
        <v>0.40763888888888888</v>
      </c>
      <c r="BU2302" t="s">
        <v>2783</v>
      </c>
      <c r="BV2302" t="s">
        <v>86</v>
      </c>
      <c r="BY2302">
        <v>38400</v>
      </c>
      <c r="CA2302" t="s">
        <v>2361</v>
      </c>
      <c r="CC2302" t="s">
        <v>124</v>
      </c>
      <c r="CD2302">
        <v>7441</v>
      </c>
      <c r="CE2302" t="s">
        <v>117</v>
      </c>
      <c r="CI2302">
        <v>1</v>
      </c>
      <c r="CJ2302">
        <v>1</v>
      </c>
      <c r="CK2302">
        <v>21</v>
      </c>
      <c r="CL2302" t="s">
        <v>90</v>
      </c>
    </row>
    <row r="2303" spans="1:90" x14ac:dyDescent="0.3">
      <c r="A2303" t="s">
        <v>72</v>
      </c>
      <c r="B2303" t="s">
        <v>73</v>
      </c>
      <c r="C2303" t="s">
        <v>74</v>
      </c>
      <c r="E2303" t="str">
        <f>"080067263385"</f>
        <v>080067263385</v>
      </c>
      <c r="F2303" s="3">
        <v>45884</v>
      </c>
      <c r="G2303">
        <v>202605</v>
      </c>
      <c r="H2303" t="s">
        <v>75</v>
      </c>
      <c r="I2303" t="s">
        <v>76</v>
      </c>
      <c r="J2303" t="s">
        <v>77</v>
      </c>
      <c r="K2303" t="s">
        <v>78</v>
      </c>
      <c r="L2303" t="s">
        <v>234</v>
      </c>
      <c r="M2303" t="s">
        <v>235</v>
      </c>
      <c r="N2303" t="s">
        <v>236</v>
      </c>
      <c r="O2303" t="s">
        <v>82</v>
      </c>
      <c r="P2303" t="str">
        <f>"4170054989                    "</f>
        <v xml:space="preserve">4170054989                    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0</v>
      </c>
      <c r="AI2303">
        <v>0</v>
      </c>
      <c r="AJ2303">
        <v>0</v>
      </c>
      <c r="AK2303">
        <v>0</v>
      </c>
      <c r="AL2303">
        <v>0</v>
      </c>
      <c r="AM2303">
        <v>0</v>
      </c>
      <c r="AN2303">
        <v>0</v>
      </c>
      <c r="AO2303">
        <v>0</v>
      </c>
      <c r="AP2303">
        <v>0</v>
      </c>
      <c r="AQ2303">
        <v>23.09</v>
      </c>
      <c r="AR2303">
        <v>0</v>
      </c>
      <c r="AS2303">
        <v>0</v>
      </c>
      <c r="AT2303">
        <v>0</v>
      </c>
      <c r="AU2303">
        <v>0</v>
      </c>
      <c r="AV2303">
        <v>0</v>
      </c>
      <c r="AW2303">
        <v>0</v>
      </c>
      <c r="AX2303">
        <v>0</v>
      </c>
      <c r="AY2303">
        <v>0</v>
      </c>
      <c r="AZ2303">
        <v>0</v>
      </c>
      <c r="BA2303">
        <v>0</v>
      </c>
      <c r="BB2303">
        <v>0</v>
      </c>
      <c r="BC2303">
        <v>0</v>
      </c>
      <c r="BD2303">
        <v>0</v>
      </c>
      <c r="BE2303">
        <v>0</v>
      </c>
      <c r="BF2303">
        <v>0</v>
      </c>
      <c r="BG2303">
        <v>0</v>
      </c>
      <c r="BH2303">
        <v>1</v>
      </c>
      <c r="BI2303">
        <v>1</v>
      </c>
      <c r="BJ2303">
        <v>0.2</v>
      </c>
      <c r="BK2303">
        <v>1</v>
      </c>
      <c r="BL2303">
        <v>71.69</v>
      </c>
      <c r="BM2303">
        <v>10.75</v>
      </c>
      <c r="BN2303">
        <v>82.44</v>
      </c>
      <c r="BO2303">
        <v>82.44</v>
      </c>
      <c r="BQ2303" t="s">
        <v>237</v>
      </c>
      <c r="BR2303" t="s">
        <v>84</v>
      </c>
      <c r="BS2303" s="3">
        <v>45887</v>
      </c>
      <c r="BT2303" s="4">
        <v>0.38680555555555557</v>
      </c>
      <c r="BU2303" t="s">
        <v>650</v>
      </c>
      <c r="BV2303" t="s">
        <v>86</v>
      </c>
      <c r="BY2303">
        <v>1200</v>
      </c>
      <c r="CA2303" t="s">
        <v>239</v>
      </c>
      <c r="CC2303" t="s">
        <v>235</v>
      </c>
      <c r="CD2303" s="5" t="s">
        <v>240</v>
      </c>
      <c r="CE2303" t="s">
        <v>2273</v>
      </c>
      <c r="CF2303" s="3">
        <v>45887</v>
      </c>
      <c r="CI2303">
        <v>1</v>
      </c>
      <c r="CJ2303">
        <v>1</v>
      </c>
      <c r="CK2303">
        <v>21</v>
      </c>
      <c r="CL2303" t="s">
        <v>90</v>
      </c>
    </row>
    <row r="2304" spans="1:90" x14ac:dyDescent="0.3">
      <c r="A2304" t="s">
        <v>72</v>
      </c>
      <c r="B2304" t="s">
        <v>73</v>
      </c>
      <c r="C2304" t="s">
        <v>74</v>
      </c>
      <c r="E2304" t="str">
        <f>"080067263397"</f>
        <v>080067263397</v>
      </c>
      <c r="F2304" s="3">
        <v>45884</v>
      </c>
      <c r="G2304">
        <v>202605</v>
      </c>
      <c r="H2304" t="s">
        <v>75</v>
      </c>
      <c r="I2304" t="s">
        <v>76</v>
      </c>
      <c r="J2304" t="s">
        <v>77</v>
      </c>
      <c r="K2304" t="s">
        <v>78</v>
      </c>
      <c r="L2304" t="s">
        <v>137</v>
      </c>
      <c r="M2304" t="s">
        <v>138</v>
      </c>
      <c r="N2304" t="s">
        <v>2784</v>
      </c>
      <c r="O2304" t="s">
        <v>82</v>
      </c>
      <c r="P2304" t="str">
        <f>"4170055098                    "</f>
        <v xml:space="preserve">4170055098                    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0</v>
      </c>
      <c r="AI2304">
        <v>0</v>
      </c>
      <c r="AJ2304">
        <v>0</v>
      </c>
      <c r="AK2304">
        <v>0</v>
      </c>
      <c r="AL2304">
        <v>0</v>
      </c>
      <c r="AM2304">
        <v>0</v>
      </c>
      <c r="AN2304">
        <v>0</v>
      </c>
      <c r="AO2304">
        <v>0</v>
      </c>
      <c r="AP2304">
        <v>0</v>
      </c>
      <c r="AQ2304">
        <v>23.09</v>
      </c>
      <c r="AR2304">
        <v>0</v>
      </c>
      <c r="AS2304">
        <v>0</v>
      </c>
      <c r="AT2304">
        <v>0</v>
      </c>
      <c r="AU2304">
        <v>0</v>
      </c>
      <c r="AV2304">
        <v>0</v>
      </c>
      <c r="AW2304">
        <v>0</v>
      </c>
      <c r="AX2304">
        <v>0</v>
      </c>
      <c r="AY2304">
        <v>0</v>
      </c>
      <c r="AZ2304">
        <v>0</v>
      </c>
      <c r="BA2304">
        <v>0</v>
      </c>
      <c r="BB2304">
        <v>0</v>
      </c>
      <c r="BC2304">
        <v>0</v>
      </c>
      <c r="BD2304">
        <v>0</v>
      </c>
      <c r="BE2304">
        <v>0</v>
      </c>
      <c r="BF2304">
        <v>0</v>
      </c>
      <c r="BG2304">
        <v>0</v>
      </c>
      <c r="BH2304">
        <v>1</v>
      </c>
      <c r="BI2304">
        <v>1</v>
      </c>
      <c r="BJ2304">
        <v>2</v>
      </c>
      <c r="BK2304">
        <v>2</v>
      </c>
      <c r="BL2304">
        <v>71.69</v>
      </c>
      <c r="BM2304">
        <v>10.75</v>
      </c>
      <c r="BN2304">
        <v>82.44</v>
      </c>
      <c r="BO2304">
        <v>82.44</v>
      </c>
      <c r="BQ2304" t="s">
        <v>2785</v>
      </c>
      <c r="BR2304" t="s">
        <v>84</v>
      </c>
      <c r="BS2304" s="3">
        <v>45887</v>
      </c>
      <c r="BT2304" s="4">
        <v>0.40763888888888888</v>
      </c>
      <c r="BU2304" t="s">
        <v>2786</v>
      </c>
      <c r="BV2304" t="s">
        <v>86</v>
      </c>
      <c r="BY2304">
        <v>9900</v>
      </c>
      <c r="CA2304" t="s">
        <v>264</v>
      </c>
      <c r="CC2304" t="s">
        <v>138</v>
      </c>
      <c r="CD2304">
        <v>3610</v>
      </c>
      <c r="CE2304" t="s">
        <v>147</v>
      </c>
      <c r="CF2304" s="3">
        <v>45887</v>
      </c>
      <c r="CI2304">
        <v>1</v>
      </c>
      <c r="CJ2304">
        <v>1</v>
      </c>
      <c r="CK2304">
        <v>21</v>
      </c>
      <c r="CL2304" t="s">
        <v>90</v>
      </c>
    </row>
    <row r="2305" spans="1:90" x14ac:dyDescent="0.3">
      <c r="A2305" t="s">
        <v>72</v>
      </c>
      <c r="B2305" t="s">
        <v>73</v>
      </c>
      <c r="C2305" t="s">
        <v>74</v>
      </c>
      <c r="E2305" t="str">
        <f>"080067263403"</f>
        <v>080067263403</v>
      </c>
      <c r="F2305" s="3">
        <v>45884</v>
      </c>
      <c r="G2305">
        <v>202605</v>
      </c>
      <c r="H2305" t="s">
        <v>75</v>
      </c>
      <c r="I2305" t="s">
        <v>76</v>
      </c>
      <c r="J2305" t="s">
        <v>77</v>
      </c>
      <c r="K2305" t="s">
        <v>78</v>
      </c>
      <c r="L2305" t="s">
        <v>79</v>
      </c>
      <c r="M2305" t="s">
        <v>80</v>
      </c>
      <c r="N2305" t="s">
        <v>635</v>
      </c>
      <c r="O2305" t="s">
        <v>82</v>
      </c>
      <c r="P2305" t="str">
        <f>"4170055087                    "</f>
        <v xml:space="preserve">4170055087                    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0</v>
      </c>
      <c r="AI2305">
        <v>0</v>
      </c>
      <c r="AJ2305">
        <v>0</v>
      </c>
      <c r="AK2305">
        <v>0</v>
      </c>
      <c r="AL2305">
        <v>0</v>
      </c>
      <c r="AM2305">
        <v>0</v>
      </c>
      <c r="AN2305">
        <v>0</v>
      </c>
      <c r="AO2305">
        <v>0</v>
      </c>
      <c r="AP2305">
        <v>0</v>
      </c>
      <c r="AQ2305">
        <v>18.03</v>
      </c>
      <c r="AR2305">
        <v>0</v>
      </c>
      <c r="AS2305">
        <v>0</v>
      </c>
      <c r="AT2305">
        <v>0</v>
      </c>
      <c r="AU2305">
        <v>0</v>
      </c>
      <c r="AV2305">
        <v>0</v>
      </c>
      <c r="AW2305">
        <v>0</v>
      </c>
      <c r="AX2305">
        <v>0</v>
      </c>
      <c r="AY2305">
        <v>0</v>
      </c>
      <c r="AZ2305">
        <v>0</v>
      </c>
      <c r="BA2305">
        <v>0</v>
      </c>
      <c r="BB2305">
        <v>0</v>
      </c>
      <c r="BC2305">
        <v>0</v>
      </c>
      <c r="BD2305">
        <v>0</v>
      </c>
      <c r="BE2305">
        <v>0</v>
      </c>
      <c r="BF2305">
        <v>0</v>
      </c>
      <c r="BG2305">
        <v>0</v>
      </c>
      <c r="BH2305">
        <v>1</v>
      </c>
      <c r="BI2305">
        <v>1</v>
      </c>
      <c r="BJ2305">
        <v>0.2</v>
      </c>
      <c r="BK2305">
        <v>1</v>
      </c>
      <c r="BL2305">
        <v>55.99</v>
      </c>
      <c r="BM2305">
        <v>8.4</v>
      </c>
      <c r="BN2305">
        <v>64.39</v>
      </c>
      <c r="BO2305">
        <v>64.39</v>
      </c>
      <c r="BQ2305" t="s">
        <v>636</v>
      </c>
      <c r="BR2305" t="s">
        <v>84</v>
      </c>
      <c r="BS2305" s="3">
        <v>45887</v>
      </c>
      <c r="BT2305" s="4">
        <v>0.39791666666666664</v>
      </c>
      <c r="BU2305" t="s">
        <v>2787</v>
      </c>
      <c r="BV2305" t="s">
        <v>86</v>
      </c>
      <c r="BY2305">
        <v>1200</v>
      </c>
      <c r="CA2305" t="s">
        <v>151</v>
      </c>
      <c r="CC2305" t="s">
        <v>80</v>
      </c>
      <c r="CD2305">
        <v>1428</v>
      </c>
      <c r="CE2305" t="s">
        <v>109</v>
      </c>
      <c r="CF2305" s="3">
        <v>45887</v>
      </c>
      <c r="CI2305">
        <v>1</v>
      </c>
      <c r="CJ2305">
        <v>1</v>
      </c>
      <c r="CK2305">
        <v>22</v>
      </c>
      <c r="CL2305" t="s">
        <v>90</v>
      </c>
    </row>
    <row r="2306" spans="1:90" x14ac:dyDescent="0.3">
      <c r="A2306" t="s">
        <v>72</v>
      </c>
      <c r="B2306" t="s">
        <v>73</v>
      </c>
      <c r="C2306" t="s">
        <v>74</v>
      </c>
      <c r="E2306" t="str">
        <f>"080067263425"</f>
        <v>080067263425</v>
      </c>
      <c r="F2306" s="3">
        <v>45884</v>
      </c>
      <c r="G2306">
        <v>202605</v>
      </c>
      <c r="H2306" t="s">
        <v>75</v>
      </c>
      <c r="I2306" t="s">
        <v>76</v>
      </c>
      <c r="J2306" t="s">
        <v>77</v>
      </c>
      <c r="K2306" t="s">
        <v>78</v>
      </c>
      <c r="L2306" t="s">
        <v>223</v>
      </c>
      <c r="M2306" t="s">
        <v>224</v>
      </c>
      <c r="N2306" t="s">
        <v>939</v>
      </c>
      <c r="O2306" t="s">
        <v>82</v>
      </c>
      <c r="P2306" t="str">
        <f>"4170055030                    "</f>
        <v xml:space="preserve">4170055030                    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0</v>
      </c>
      <c r="AI2306">
        <v>0</v>
      </c>
      <c r="AJ2306">
        <v>0</v>
      </c>
      <c r="AK2306">
        <v>0</v>
      </c>
      <c r="AL2306">
        <v>0</v>
      </c>
      <c r="AM2306">
        <v>0</v>
      </c>
      <c r="AN2306">
        <v>0</v>
      </c>
      <c r="AO2306">
        <v>0</v>
      </c>
      <c r="AP2306">
        <v>0</v>
      </c>
      <c r="AQ2306">
        <v>51.92</v>
      </c>
      <c r="AR2306">
        <v>0</v>
      </c>
      <c r="AS2306">
        <v>0</v>
      </c>
      <c r="AT2306">
        <v>0</v>
      </c>
      <c r="AU2306">
        <v>0</v>
      </c>
      <c r="AV2306">
        <v>0</v>
      </c>
      <c r="AW2306">
        <v>0</v>
      </c>
      <c r="AX2306">
        <v>0</v>
      </c>
      <c r="AY2306">
        <v>0</v>
      </c>
      <c r="AZ2306">
        <v>0</v>
      </c>
      <c r="BA2306">
        <v>0</v>
      </c>
      <c r="BB2306">
        <v>0</v>
      </c>
      <c r="BC2306">
        <v>0</v>
      </c>
      <c r="BD2306">
        <v>0</v>
      </c>
      <c r="BE2306">
        <v>0</v>
      </c>
      <c r="BF2306">
        <v>0</v>
      </c>
      <c r="BG2306">
        <v>0</v>
      </c>
      <c r="BH2306">
        <v>1</v>
      </c>
      <c r="BI2306">
        <v>4</v>
      </c>
      <c r="BJ2306">
        <v>4.0999999999999996</v>
      </c>
      <c r="BK2306">
        <v>4.5</v>
      </c>
      <c r="BL2306">
        <v>161.22</v>
      </c>
      <c r="BM2306">
        <v>24.18</v>
      </c>
      <c r="BN2306">
        <v>185.4</v>
      </c>
      <c r="BO2306">
        <v>185.4</v>
      </c>
      <c r="BQ2306" t="s">
        <v>940</v>
      </c>
      <c r="BR2306" t="s">
        <v>84</v>
      </c>
      <c r="BS2306" s="3">
        <v>45887</v>
      </c>
      <c r="BT2306" s="4">
        <v>0.57638888888888884</v>
      </c>
      <c r="BU2306" t="s">
        <v>295</v>
      </c>
      <c r="BV2306" t="s">
        <v>90</v>
      </c>
      <c r="BY2306">
        <v>20358</v>
      </c>
      <c r="CA2306" t="s">
        <v>228</v>
      </c>
      <c r="CC2306" t="s">
        <v>224</v>
      </c>
      <c r="CD2306">
        <v>5201</v>
      </c>
      <c r="CE2306" t="s">
        <v>147</v>
      </c>
      <c r="CI2306">
        <v>1</v>
      </c>
      <c r="CJ2306">
        <v>1</v>
      </c>
      <c r="CK2306">
        <v>21</v>
      </c>
      <c r="CL2306" t="s">
        <v>90</v>
      </c>
    </row>
    <row r="2307" spans="1:90" x14ac:dyDescent="0.3">
      <c r="A2307" t="s">
        <v>72</v>
      </c>
      <c r="B2307" t="s">
        <v>73</v>
      </c>
      <c r="C2307" t="s">
        <v>74</v>
      </c>
      <c r="E2307" t="str">
        <f>"080067263428"</f>
        <v>080067263428</v>
      </c>
      <c r="F2307" s="3">
        <v>45884</v>
      </c>
      <c r="G2307">
        <v>202605</v>
      </c>
      <c r="H2307" t="s">
        <v>75</v>
      </c>
      <c r="I2307" t="s">
        <v>76</v>
      </c>
      <c r="J2307" t="s">
        <v>77</v>
      </c>
      <c r="K2307" t="s">
        <v>78</v>
      </c>
      <c r="L2307" t="s">
        <v>110</v>
      </c>
      <c r="M2307" t="s">
        <v>111</v>
      </c>
      <c r="N2307" t="s">
        <v>2788</v>
      </c>
      <c r="O2307" t="s">
        <v>82</v>
      </c>
      <c r="P2307" t="str">
        <f>"4170055089                    "</f>
        <v xml:space="preserve">4170055089                    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0</v>
      </c>
      <c r="AI2307">
        <v>0</v>
      </c>
      <c r="AJ2307">
        <v>0</v>
      </c>
      <c r="AK2307">
        <v>0</v>
      </c>
      <c r="AL2307">
        <v>0</v>
      </c>
      <c r="AM2307">
        <v>0</v>
      </c>
      <c r="AN2307">
        <v>0</v>
      </c>
      <c r="AO2307">
        <v>0</v>
      </c>
      <c r="AP2307">
        <v>0</v>
      </c>
      <c r="AQ2307">
        <v>18.03</v>
      </c>
      <c r="AR2307">
        <v>0</v>
      </c>
      <c r="AS2307">
        <v>0</v>
      </c>
      <c r="AT2307">
        <v>0</v>
      </c>
      <c r="AU2307">
        <v>0</v>
      </c>
      <c r="AV2307">
        <v>0</v>
      </c>
      <c r="AW2307">
        <v>0</v>
      </c>
      <c r="AX2307">
        <v>0</v>
      </c>
      <c r="AY2307">
        <v>0</v>
      </c>
      <c r="AZ2307">
        <v>0</v>
      </c>
      <c r="BA2307">
        <v>0</v>
      </c>
      <c r="BB2307">
        <v>0</v>
      </c>
      <c r="BC2307">
        <v>0</v>
      </c>
      <c r="BD2307">
        <v>0</v>
      </c>
      <c r="BE2307">
        <v>0</v>
      </c>
      <c r="BF2307">
        <v>0</v>
      </c>
      <c r="BG2307">
        <v>0</v>
      </c>
      <c r="BH2307">
        <v>1</v>
      </c>
      <c r="BI2307">
        <v>1</v>
      </c>
      <c r="BJ2307">
        <v>0.2</v>
      </c>
      <c r="BK2307">
        <v>1</v>
      </c>
      <c r="BL2307">
        <v>55.99</v>
      </c>
      <c r="BM2307">
        <v>8.4</v>
      </c>
      <c r="BN2307">
        <v>64.39</v>
      </c>
      <c r="BO2307">
        <v>64.39</v>
      </c>
      <c r="BQ2307" t="s">
        <v>2789</v>
      </c>
      <c r="BR2307" t="s">
        <v>84</v>
      </c>
      <c r="BS2307" s="3">
        <v>45887</v>
      </c>
      <c r="BT2307" s="4">
        <v>0.42222222222222222</v>
      </c>
      <c r="BU2307" t="s">
        <v>2790</v>
      </c>
      <c r="BV2307" t="s">
        <v>86</v>
      </c>
      <c r="BY2307">
        <v>1200</v>
      </c>
      <c r="CA2307" t="s">
        <v>312</v>
      </c>
      <c r="CC2307" t="s">
        <v>111</v>
      </c>
      <c r="CD2307">
        <v>2194</v>
      </c>
      <c r="CE2307" t="s">
        <v>109</v>
      </c>
      <c r="CF2307" s="3">
        <v>45888</v>
      </c>
      <c r="CI2307">
        <v>1</v>
      </c>
      <c r="CJ2307">
        <v>1</v>
      </c>
      <c r="CK2307">
        <v>22</v>
      </c>
      <c r="CL2307" t="s">
        <v>90</v>
      </c>
    </row>
    <row r="2308" spans="1:90" x14ac:dyDescent="0.3">
      <c r="A2308" t="s">
        <v>72</v>
      </c>
      <c r="B2308" t="s">
        <v>73</v>
      </c>
      <c r="C2308" t="s">
        <v>74</v>
      </c>
      <c r="E2308" t="str">
        <f>"080067263439"</f>
        <v>080067263439</v>
      </c>
      <c r="F2308" s="3">
        <v>45884</v>
      </c>
      <c r="G2308">
        <v>202605</v>
      </c>
      <c r="H2308" t="s">
        <v>75</v>
      </c>
      <c r="I2308" t="s">
        <v>76</v>
      </c>
      <c r="J2308" t="s">
        <v>77</v>
      </c>
      <c r="K2308" t="s">
        <v>78</v>
      </c>
      <c r="L2308" t="s">
        <v>555</v>
      </c>
      <c r="M2308" t="s">
        <v>556</v>
      </c>
      <c r="N2308" t="s">
        <v>557</v>
      </c>
      <c r="O2308" t="s">
        <v>82</v>
      </c>
      <c r="P2308" t="str">
        <f>"4170055100                    "</f>
        <v xml:space="preserve">4170055100                    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0</v>
      </c>
      <c r="AI2308">
        <v>0</v>
      </c>
      <c r="AJ2308"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>
        <v>0</v>
      </c>
      <c r="AQ2308">
        <v>44.73</v>
      </c>
      <c r="AR2308">
        <v>0</v>
      </c>
      <c r="AS2308">
        <v>0</v>
      </c>
      <c r="AT2308">
        <v>0</v>
      </c>
      <c r="AU2308">
        <v>0</v>
      </c>
      <c r="AV2308">
        <v>0</v>
      </c>
      <c r="AW2308">
        <v>0</v>
      </c>
      <c r="AX2308">
        <v>0</v>
      </c>
      <c r="AY2308">
        <v>0</v>
      </c>
      <c r="AZ2308">
        <v>0</v>
      </c>
      <c r="BA2308">
        <v>0</v>
      </c>
      <c r="BB2308">
        <v>0</v>
      </c>
      <c r="BC2308">
        <v>0</v>
      </c>
      <c r="BD2308">
        <v>0</v>
      </c>
      <c r="BE2308">
        <v>0</v>
      </c>
      <c r="BF2308">
        <v>0</v>
      </c>
      <c r="BG2308">
        <v>0</v>
      </c>
      <c r="BH2308">
        <v>1</v>
      </c>
      <c r="BI2308">
        <v>1</v>
      </c>
      <c r="BJ2308">
        <v>0.2</v>
      </c>
      <c r="BK2308">
        <v>1</v>
      </c>
      <c r="BL2308">
        <v>138.88999999999999</v>
      </c>
      <c r="BM2308">
        <v>20.83</v>
      </c>
      <c r="BN2308">
        <v>159.72</v>
      </c>
      <c r="BO2308">
        <v>159.72</v>
      </c>
      <c r="BQ2308" t="s">
        <v>558</v>
      </c>
      <c r="BR2308" t="s">
        <v>84</v>
      </c>
      <c r="BS2308" s="3">
        <v>45887</v>
      </c>
      <c r="BT2308" s="4">
        <v>0.50138888888888888</v>
      </c>
      <c r="BU2308" t="s">
        <v>2791</v>
      </c>
      <c r="BV2308" t="s">
        <v>86</v>
      </c>
      <c r="BY2308">
        <v>1200</v>
      </c>
      <c r="CA2308" t="s">
        <v>396</v>
      </c>
      <c r="CC2308" t="s">
        <v>556</v>
      </c>
      <c r="CD2308">
        <v>6850</v>
      </c>
      <c r="CE2308" t="s">
        <v>109</v>
      </c>
      <c r="CI2308">
        <v>2</v>
      </c>
      <c r="CJ2308">
        <v>1</v>
      </c>
      <c r="CK2308">
        <v>23</v>
      </c>
      <c r="CL2308" t="s">
        <v>90</v>
      </c>
    </row>
    <row r="2309" spans="1:90" x14ac:dyDescent="0.3">
      <c r="A2309" t="s">
        <v>72</v>
      </c>
      <c r="B2309" t="s">
        <v>73</v>
      </c>
      <c r="C2309" t="s">
        <v>74</v>
      </c>
      <c r="E2309" t="str">
        <f>"080067263454"</f>
        <v>080067263454</v>
      </c>
      <c r="F2309" s="3">
        <v>45884</v>
      </c>
      <c r="G2309">
        <v>202605</v>
      </c>
      <c r="H2309" t="s">
        <v>75</v>
      </c>
      <c r="I2309" t="s">
        <v>76</v>
      </c>
      <c r="J2309" t="s">
        <v>77</v>
      </c>
      <c r="K2309" t="s">
        <v>78</v>
      </c>
      <c r="L2309" t="s">
        <v>1616</v>
      </c>
      <c r="M2309" t="s">
        <v>1617</v>
      </c>
      <c r="N2309" t="s">
        <v>1618</v>
      </c>
      <c r="O2309" t="s">
        <v>82</v>
      </c>
      <c r="P2309" t="str">
        <f>"4170055049                    "</f>
        <v xml:space="preserve">4170055049                    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0</v>
      </c>
      <c r="AL2309">
        <v>0</v>
      </c>
      <c r="AM2309">
        <v>0</v>
      </c>
      <c r="AN2309">
        <v>0</v>
      </c>
      <c r="AO2309">
        <v>0</v>
      </c>
      <c r="AP2309">
        <v>0</v>
      </c>
      <c r="AQ2309">
        <v>44.73</v>
      </c>
      <c r="AR2309">
        <v>0</v>
      </c>
      <c r="AS2309">
        <v>0</v>
      </c>
      <c r="AT2309">
        <v>0</v>
      </c>
      <c r="AU2309">
        <v>0</v>
      </c>
      <c r="AV2309">
        <v>0</v>
      </c>
      <c r="AW2309">
        <v>0</v>
      </c>
      <c r="AX2309">
        <v>0</v>
      </c>
      <c r="AY2309">
        <v>0</v>
      </c>
      <c r="AZ2309">
        <v>0</v>
      </c>
      <c r="BA2309">
        <v>0</v>
      </c>
      <c r="BB2309">
        <v>0</v>
      </c>
      <c r="BC2309">
        <v>0</v>
      </c>
      <c r="BD2309">
        <v>0</v>
      </c>
      <c r="BE2309">
        <v>0</v>
      </c>
      <c r="BF2309">
        <v>0</v>
      </c>
      <c r="BG2309">
        <v>0</v>
      </c>
      <c r="BH2309">
        <v>1</v>
      </c>
      <c r="BI2309">
        <v>1</v>
      </c>
      <c r="BJ2309">
        <v>0.2</v>
      </c>
      <c r="BK2309">
        <v>1</v>
      </c>
      <c r="BL2309">
        <v>138.88999999999999</v>
      </c>
      <c r="BM2309">
        <v>20.83</v>
      </c>
      <c r="BN2309">
        <v>159.72</v>
      </c>
      <c r="BO2309">
        <v>159.72</v>
      </c>
      <c r="BQ2309" t="s">
        <v>1619</v>
      </c>
      <c r="BR2309" t="s">
        <v>84</v>
      </c>
      <c r="BS2309" s="3">
        <v>45887</v>
      </c>
      <c r="BT2309" s="4">
        <v>0.47430555555555554</v>
      </c>
      <c r="BU2309" t="s">
        <v>2792</v>
      </c>
      <c r="BV2309" t="s">
        <v>86</v>
      </c>
      <c r="BY2309">
        <v>1200</v>
      </c>
      <c r="CA2309" t="s">
        <v>1621</v>
      </c>
      <c r="CC2309" t="s">
        <v>1617</v>
      </c>
      <c r="CD2309">
        <v>7349</v>
      </c>
      <c r="CE2309" t="s">
        <v>109</v>
      </c>
      <c r="CI2309">
        <v>1</v>
      </c>
      <c r="CJ2309">
        <v>1</v>
      </c>
      <c r="CK2309">
        <v>23</v>
      </c>
      <c r="CL2309" t="s">
        <v>90</v>
      </c>
    </row>
    <row r="2310" spans="1:90" x14ac:dyDescent="0.3">
      <c r="A2310" t="s">
        <v>72</v>
      </c>
      <c r="B2310" t="s">
        <v>73</v>
      </c>
      <c r="C2310" t="s">
        <v>74</v>
      </c>
      <c r="E2310" t="str">
        <f>"080067263466"</f>
        <v>080067263466</v>
      </c>
      <c r="F2310" s="3">
        <v>45884</v>
      </c>
      <c r="G2310">
        <v>202605</v>
      </c>
      <c r="H2310" t="s">
        <v>75</v>
      </c>
      <c r="I2310" t="s">
        <v>76</v>
      </c>
      <c r="J2310" t="s">
        <v>77</v>
      </c>
      <c r="K2310" t="s">
        <v>78</v>
      </c>
      <c r="L2310" t="s">
        <v>137</v>
      </c>
      <c r="M2310" t="s">
        <v>138</v>
      </c>
      <c r="N2310" t="s">
        <v>1760</v>
      </c>
      <c r="O2310" t="s">
        <v>82</v>
      </c>
      <c r="P2310" t="str">
        <f>"4170055065                    "</f>
        <v xml:space="preserve">4170055065                    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0</v>
      </c>
      <c r="AI2310">
        <v>0</v>
      </c>
      <c r="AJ2310">
        <v>0</v>
      </c>
      <c r="AK2310">
        <v>0</v>
      </c>
      <c r="AL2310">
        <v>0</v>
      </c>
      <c r="AM2310">
        <v>0</v>
      </c>
      <c r="AN2310">
        <v>0</v>
      </c>
      <c r="AO2310">
        <v>0</v>
      </c>
      <c r="AP2310">
        <v>0</v>
      </c>
      <c r="AQ2310">
        <v>23.09</v>
      </c>
      <c r="AR2310">
        <v>0</v>
      </c>
      <c r="AS2310">
        <v>0</v>
      </c>
      <c r="AT2310">
        <v>0</v>
      </c>
      <c r="AU2310">
        <v>0</v>
      </c>
      <c r="AV2310">
        <v>0</v>
      </c>
      <c r="AW2310">
        <v>0</v>
      </c>
      <c r="AX2310">
        <v>0</v>
      </c>
      <c r="AY2310">
        <v>0</v>
      </c>
      <c r="AZ2310">
        <v>0</v>
      </c>
      <c r="BA2310">
        <v>0</v>
      </c>
      <c r="BB2310">
        <v>0</v>
      </c>
      <c r="BC2310">
        <v>0</v>
      </c>
      <c r="BD2310">
        <v>0</v>
      </c>
      <c r="BE2310">
        <v>0</v>
      </c>
      <c r="BF2310">
        <v>0</v>
      </c>
      <c r="BG2310">
        <v>0</v>
      </c>
      <c r="BH2310">
        <v>1</v>
      </c>
      <c r="BI2310">
        <v>1</v>
      </c>
      <c r="BJ2310">
        <v>0.2</v>
      </c>
      <c r="BK2310">
        <v>1</v>
      </c>
      <c r="BL2310">
        <v>71.69</v>
      </c>
      <c r="BM2310">
        <v>10.75</v>
      </c>
      <c r="BN2310">
        <v>82.44</v>
      </c>
      <c r="BO2310">
        <v>82.44</v>
      </c>
      <c r="BQ2310" t="s">
        <v>1761</v>
      </c>
      <c r="BR2310" t="s">
        <v>84</v>
      </c>
      <c r="BS2310" s="3">
        <v>45887</v>
      </c>
      <c r="BT2310" s="4">
        <v>0.4548611111111111</v>
      </c>
      <c r="BU2310" t="s">
        <v>1819</v>
      </c>
      <c r="BV2310" t="s">
        <v>86</v>
      </c>
      <c r="BY2310">
        <v>1200</v>
      </c>
      <c r="CA2310" t="s">
        <v>953</v>
      </c>
      <c r="CC2310" t="s">
        <v>138</v>
      </c>
      <c r="CD2310">
        <v>3610</v>
      </c>
      <c r="CE2310" t="s">
        <v>109</v>
      </c>
      <c r="CF2310" s="3">
        <v>45888</v>
      </c>
      <c r="CI2310">
        <v>1</v>
      </c>
      <c r="CJ2310">
        <v>1</v>
      </c>
      <c r="CK2310">
        <v>21</v>
      </c>
      <c r="CL2310" t="s">
        <v>90</v>
      </c>
    </row>
    <row r="2311" spans="1:90" x14ac:dyDescent="0.3">
      <c r="A2311" t="s">
        <v>72</v>
      </c>
      <c r="B2311" t="s">
        <v>73</v>
      </c>
      <c r="C2311" t="s">
        <v>74</v>
      </c>
      <c r="E2311" t="str">
        <f>"080067263485"</f>
        <v>080067263485</v>
      </c>
      <c r="F2311" s="3">
        <v>45884</v>
      </c>
      <c r="G2311">
        <v>202605</v>
      </c>
      <c r="H2311" t="s">
        <v>75</v>
      </c>
      <c r="I2311" t="s">
        <v>76</v>
      </c>
      <c r="J2311" t="s">
        <v>77</v>
      </c>
      <c r="K2311" t="s">
        <v>78</v>
      </c>
      <c r="L2311" t="s">
        <v>325</v>
      </c>
      <c r="M2311" t="s">
        <v>326</v>
      </c>
      <c r="N2311" t="s">
        <v>2793</v>
      </c>
      <c r="O2311" t="s">
        <v>82</v>
      </c>
      <c r="P2311" t="str">
        <f>"4170055044                    "</f>
        <v xml:space="preserve">4170055044                    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0</v>
      </c>
      <c r="AP2311">
        <v>0</v>
      </c>
      <c r="AQ2311">
        <v>18.03</v>
      </c>
      <c r="AR2311">
        <v>0</v>
      </c>
      <c r="AS2311">
        <v>0</v>
      </c>
      <c r="AT2311">
        <v>0</v>
      </c>
      <c r="AU2311">
        <v>0</v>
      </c>
      <c r="AV2311">
        <v>0</v>
      </c>
      <c r="AW2311">
        <v>0</v>
      </c>
      <c r="AX2311">
        <v>0</v>
      </c>
      <c r="AY2311">
        <v>0</v>
      </c>
      <c r="AZ2311">
        <v>0</v>
      </c>
      <c r="BA2311">
        <v>0</v>
      </c>
      <c r="BB2311">
        <v>0</v>
      </c>
      <c r="BC2311">
        <v>0</v>
      </c>
      <c r="BD2311">
        <v>0</v>
      </c>
      <c r="BE2311">
        <v>0</v>
      </c>
      <c r="BF2311">
        <v>0</v>
      </c>
      <c r="BG2311">
        <v>0</v>
      </c>
      <c r="BH2311">
        <v>1</v>
      </c>
      <c r="BI2311">
        <v>1</v>
      </c>
      <c r="BJ2311">
        <v>0.2</v>
      </c>
      <c r="BK2311">
        <v>1</v>
      </c>
      <c r="BL2311">
        <v>55.99</v>
      </c>
      <c r="BM2311">
        <v>8.4</v>
      </c>
      <c r="BN2311">
        <v>64.39</v>
      </c>
      <c r="BO2311">
        <v>64.39</v>
      </c>
      <c r="BQ2311" t="s">
        <v>2794</v>
      </c>
      <c r="BR2311" t="s">
        <v>84</v>
      </c>
      <c r="BS2311" s="3">
        <v>45887</v>
      </c>
      <c r="BT2311" s="4">
        <v>0.35069444444444442</v>
      </c>
      <c r="BU2311" t="s">
        <v>2795</v>
      </c>
      <c r="BV2311" t="s">
        <v>86</v>
      </c>
      <c r="BY2311">
        <v>1200</v>
      </c>
      <c r="BZ2311" t="s">
        <v>330</v>
      </c>
      <c r="CA2311" t="s">
        <v>272</v>
      </c>
      <c r="CC2311" t="s">
        <v>326</v>
      </c>
      <c r="CD2311">
        <v>2042</v>
      </c>
      <c r="CE2311" t="s">
        <v>597</v>
      </c>
      <c r="CF2311" s="3">
        <v>45887</v>
      </c>
      <c r="CI2311">
        <v>1</v>
      </c>
      <c r="CJ2311">
        <v>1</v>
      </c>
      <c r="CK2311">
        <v>22</v>
      </c>
      <c r="CL2311" t="s">
        <v>90</v>
      </c>
    </row>
    <row r="2312" spans="1:90" x14ac:dyDescent="0.3">
      <c r="A2312" t="s">
        <v>72</v>
      </c>
      <c r="B2312" t="s">
        <v>73</v>
      </c>
      <c r="C2312" t="s">
        <v>74</v>
      </c>
      <c r="E2312" t="str">
        <f>"080067263513"</f>
        <v>080067263513</v>
      </c>
      <c r="F2312" s="3">
        <v>45884</v>
      </c>
      <c r="G2312">
        <v>202605</v>
      </c>
      <c r="H2312" t="s">
        <v>75</v>
      </c>
      <c r="I2312" t="s">
        <v>76</v>
      </c>
      <c r="J2312" t="s">
        <v>77</v>
      </c>
      <c r="K2312" t="s">
        <v>78</v>
      </c>
      <c r="L2312" t="s">
        <v>373</v>
      </c>
      <c r="M2312" t="s">
        <v>374</v>
      </c>
      <c r="N2312" t="s">
        <v>383</v>
      </c>
      <c r="O2312" t="s">
        <v>82</v>
      </c>
      <c r="P2312" t="str">
        <f>"4170055120                    "</f>
        <v xml:space="preserve">4170055120                    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0</v>
      </c>
      <c r="AI2312">
        <v>0</v>
      </c>
      <c r="AJ2312">
        <v>0</v>
      </c>
      <c r="AK2312">
        <v>0</v>
      </c>
      <c r="AL2312">
        <v>0</v>
      </c>
      <c r="AM2312">
        <v>0</v>
      </c>
      <c r="AN2312">
        <v>0</v>
      </c>
      <c r="AO2312">
        <v>0</v>
      </c>
      <c r="AP2312">
        <v>0</v>
      </c>
      <c r="AQ2312">
        <v>74.98</v>
      </c>
      <c r="AR2312">
        <v>0</v>
      </c>
      <c r="AS2312">
        <v>0</v>
      </c>
      <c r="AT2312">
        <v>0</v>
      </c>
      <c r="AU2312">
        <v>0</v>
      </c>
      <c r="AV2312">
        <v>0</v>
      </c>
      <c r="AW2312">
        <v>0</v>
      </c>
      <c r="AX2312">
        <v>0</v>
      </c>
      <c r="AY2312">
        <v>0</v>
      </c>
      <c r="AZ2312">
        <v>0</v>
      </c>
      <c r="BA2312">
        <v>0</v>
      </c>
      <c r="BB2312">
        <v>0</v>
      </c>
      <c r="BC2312">
        <v>0</v>
      </c>
      <c r="BD2312">
        <v>0</v>
      </c>
      <c r="BE2312">
        <v>0</v>
      </c>
      <c r="BF2312">
        <v>0</v>
      </c>
      <c r="BG2312">
        <v>0</v>
      </c>
      <c r="BH2312">
        <v>1</v>
      </c>
      <c r="BI2312">
        <v>4</v>
      </c>
      <c r="BJ2312">
        <v>6.2</v>
      </c>
      <c r="BK2312">
        <v>6.5</v>
      </c>
      <c r="BL2312">
        <v>232.84</v>
      </c>
      <c r="BM2312">
        <v>34.93</v>
      </c>
      <c r="BN2312">
        <v>267.77</v>
      </c>
      <c r="BO2312">
        <v>267.77</v>
      </c>
      <c r="BQ2312" t="s">
        <v>384</v>
      </c>
      <c r="BR2312" t="s">
        <v>84</v>
      </c>
      <c r="BS2312" s="3">
        <v>45887</v>
      </c>
      <c r="BT2312" s="4">
        <v>0.43472222222222223</v>
      </c>
      <c r="BU2312" t="s">
        <v>2796</v>
      </c>
      <c r="BV2312" t="s">
        <v>86</v>
      </c>
      <c r="BY2312">
        <v>31200</v>
      </c>
      <c r="BZ2312" t="s">
        <v>330</v>
      </c>
      <c r="CA2312" t="s">
        <v>2759</v>
      </c>
      <c r="CC2312" t="s">
        <v>374</v>
      </c>
      <c r="CD2312">
        <v>6220</v>
      </c>
      <c r="CE2312" t="s">
        <v>117</v>
      </c>
      <c r="CF2312" s="3">
        <v>45887</v>
      </c>
      <c r="CI2312">
        <v>1</v>
      </c>
      <c r="CJ2312">
        <v>1</v>
      </c>
      <c r="CK2312">
        <v>21</v>
      </c>
      <c r="CL2312" t="s">
        <v>90</v>
      </c>
    </row>
    <row r="2313" spans="1:90" x14ac:dyDescent="0.3">
      <c r="A2313" t="s">
        <v>72</v>
      </c>
      <c r="B2313" t="s">
        <v>73</v>
      </c>
      <c r="C2313" t="s">
        <v>74</v>
      </c>
      <c r="E2313" t="str">
        <f>"080067263596"</f>
        <v>080067263596</v>
      </c>
      <c r="F2313" s="3">
        <v>45884</v>
      </c>
      <c r="G2313">
        <v>202605</v>
      </c>
      <c r="H2313" t="s">
        <v>75</v>
      </c>
      <c r="I2313" t="s">
        <v>76</v>
      </c>
      <c r="J2313" t="s">
        <v>77</v>
      </c>
      <c r="K2313" t="s">
        <v>78</v>
      </c>
      <c r="L2313" t="s">
        <v>137</v>
      </c>
      <c r="M2313" t="s">
        <v>138</v>
      </c>
      <c r="N2313" t="s">
        <v>261</v>
      </c>
      <c r="O2313" t="s">
        <v>82</v>
      </c>
      <c r="P2313" t="str">
        <f>"4170054954                    "</f>
        <v xml:space="preserve">4170054954                    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0</v>
      </c>
      <c r="AI2313">
        <v>0</v>
      </c>
      <c r="AJ2313">
        <v>0</v>
      </c>
      <c r="AK2313">
        <v>0</v>
      </c>
      <c r="AL2313">
        <v>0</v>
      </c>
      <c r="AM2313">
        <v>0</v>
      </c>
      <c r="AN2313">
        <v>0</v>
      </c>
      <c r="AO2313">
        <v>0</v>
      </c>
      <c r="AP2313">
        <v>0</v>
      </c>
      <c r="AQ2313">
        <v>23.09</v>
      </c>
      <c r="AR2313">
        <v>0</v>
      </c>
      <c r="AS2313">
        <v>0</v>
      </c>
      <c r="AT2313">
        <v>0</v>
      </c>
      <c r="AU2313">
        <v>0</v>
      </c>
      <c r="AV2313">
        <v>0</v>
      </c>
      <c r="AW2313">
        <v>0</v>
      </c>
      <c r="AX2313">
        <v>0</v>
      </c>
      <c r="AY2313">
        <v>0</v>
      </c>
      <c r="AZ2313">
        <v>0</v>
      </c>
      <c r="BA2313">
        <v>0</v>
      </c>
      <c r="BB2313">
        <v>0</v>
      </c>
      <c r="BC2313">
        <v>0</v>
      </c>
      <c r="BD2313">
        <v>0</v>
      </c>
      <c r="BE2313">
        <v>0</v>
      </c>
      <c r="BF2313">
        <v>0</v>
      </c>
      <c r="BG2313">
        <v>0</v>
      </c>
      <c r="BH2313">
        <v>1</v>
      </c>
      <c r="BI2313">
        <v>2</v>
      </c>
      <c r="BJ2313">
        <v>1.4</v>
      </c>
      <c r="BK2313">
        <v>2</v>
      </c>
      <c r="BL2313">
        <v>71.69</v>
      </c>
      <c r="BM2313">
        <v>10.75</v>
      </c>
      <c r="BN2313">
        <v>82.44</v>
      </c>
      <c r="BO2313">
        <v>82.44</v>
      </c>
      <c r="BQ2313" t="s">
        <v>262</v>
      </c>
      <c r="BR2313" t="s">
        <v>84</v>
      </c>
      <c r="BS2313" s="3">
        <v>45887</v>
      </c>
      <c r="BT2313" s="4">
        <v>0.40347222222222223</v>
      </c>
      <c r="BU2313" t="s">
        <v>263</v>
      </c>
      <c r="BV2313" t="s">
        <v>86</v>
      </c>
      <c r="BY2313">
        <v>7000</v>
      </c>
      <c r="CA2313" t="s">
        <v>264</v>
      </c>
      <c r="CC2313" t="s">
        <v>138</v>
      </c>
      <c r="CD2313">
        <v>3608</v>
      </c>
      <c r="CE2313" t="s">
        <v>147</v>
      </c>
      <c r="CF2313" s="3">
        <v>45887</v>
      </c>
      <c r="CI2313">
        <v>1</v>
      </c>
      <c r="CJ2313">
        <v>1</v>
      </c>
      <c r="CK2313">
        <v>21</v>
      </c>
      <c r="CL2313" t="s">
        <v>90</v>
      </c>
    </row>
    <row r="2314" spans="1:90" x14ac:dyDescent="0.3">
      <c r="A2314" t="s">
        <v>72</v>
      </c>
      <c r="B2314" t="s">
        <v>73</v>
      </c>
      <c r="C2314" t="s">
        <v>74</v>
      </c>
      <c r="E2314" t="str">
        <f>"080067263614"</f>
        <v>080067263614</v>
      </c>
      <c r="F2314" s="3">
        <v>45884</v>
      </c>
      <c r="G2314">
        <v>202605</v>
      </c>
      <c r="H2314" t="s">
        <v>75</v>
      </c>
      <c r="I2314" t="s">
        <v>76</v>
      </c>
      <c r="J2314" t="s">
        <v>77</v>
      </c>
      <c r="K2314" t="s">
        <v>78</v>
      </c>
      <c r="L2314" t="s">
        <v>229</v>
      </c>
      <c r="M2314" t="s">
        <v>230</v>
      </c>
      <c r="N2314" t="s">
        <v>231</v>
      </c>
      <c r="O2314" t="s">
        <v>82</v>
      </c>
      <c r="P2314" t="str">
        <f>"4170055073                    "</f>
        <v xml:space="preserve">4170055073                    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0</v>
      </c>
      <c r="AI2314">
        <v>0</v>
      </c>
      <c r="AJ2314">
        <v>0</v>
      </c>
      <c r="AK2314">
        <v>0</v>
      </c>
      <c r="AL2314">
        <v>0</v>
      </c>
      <c r="AM2314">
        <v>0</v>
      </c>
      <c r="AN2314">
        <v>0</v>
      </c>
      <c r="AO2314">
        <v>0</v>
      </c>
      <c r="AP2314">
        <v>0</v>
      </c>
      <c r="AQ2314">
        <v>44.73</v>
      </c>
      <c r="AR2314">
        <v>0</v>
      </c>
      <c r="AS2314">
        <v>0</v>
      </c>
      <c r="AT2314">
        <v>0</v>
      </c>
      <c r="AU2314">
        <v>0</v>
      </c>
      <c r="AV2314">
        <v>0</v>
      </c>
      <c r="AW2314">
        <v>0</v>
      </c>
      <c r="AX2314">
        <v>0</v>
      </c>
      <c r="AY2314">
        <v>0</v>
      </c>
      <c r="AZ2314">
        <v>0</v>
      </c>
      <c r="BA2314">
        <v>0</v>
      </c>
      <c r="BB2314">
        <v>0</v>
      </c>
      <c r="BC2314">
        <v>0</v>
      </c>
      <c r="BD2314">
        <v>0</v>
      </c>
      <c r="BE2314">
        <v>0</v>
      </c>
      <c r="BF2314">
        <v>0</v>
      </c>
      <c r="BG2314">
        <v>0</v>
      </c>
      <c r="BH2314">
        <v>1</v>
      </c>
      <c r="BI2314">
        <v>1</v>
      </c>
      <c r="BJ2314">
        <v>1.4</v>
      </c>
      <c r="BK2314">
        <v>1.5</v>
      </c>
      <c r="BL2314">
        <v>138.88999999999999</v>
      </c>
      <c r="BM2314">
        <v>20.83</v>
      </c>
      <c r="BN2314">
        <v>159.72</v>
      </c>
      <c r="BO2314">
        <v>159.72</v>
      </c>
      <c r="BQ2314" t="s">
        <v>232</v>
      </c>
      <c r="BR2314" t="s">
        <v>84</v>
      </c>
      <c r="BS2314" s="3">
        <v>45887</v>
      </c>
      <c r="BT2314" s="4">
        <v>0.375</v>
      </c>
      <c r="BU2314" t="s">
        <v>233</v>
      </c>
      <c r="BV2314" t="s">
        <v>86</v>
      </c>
      <c r="BY2314">
        <v>7000</v>
      </c>
      <c r="CC2314" t="s">
        <v>230</v>
      </c>
      <c r="CD2314">
        <v>2740</v>
      </c>
      <c r="CE2314" t="s">
        <v>147</v>
      </c>
      <c r="CI2314">
        <v>1</v>
      </c>
      <c r="CJ2314">
        <v>1</v>
      </c>
      <c r="CK2314">
        <v>23</v>
      </c>
      <c r="CL2314" t="s">
        <v>90</v>
      </c>
    </row>
    <row r="2315" spans="1:90" x14ac:dyDescent="0.3">
      <c r="A2315" t="s">
        <v>72</v>
      </c>
      <c r="B2315" t="s">
        <v>73</v>
      </c>
      <c r="C2315" t="s">
        <v>74</v>
      </c>
      <c r="E2315" t="str">
        <f>"080067263636"</f>
        <v>080067263636</v>
      </c>
      <c r="F2315" s="3">
        <v>45884</v>
      </c>
      <c r="G2315">
        <v>202605</v>
      </c>
      <c r="H2315" t="s">
        <v>75</v>
      </c>
      <c r="I2315" t="s">
        <v>76</v>
      </c>
      <c r="J2315" t="s">
        <v>77</v>
      </c>
      <c r="K2315" t="s">
        <v>78</v>
      </c>
      <c r="L2315" t="s">
        <v>1316</v>
      </c>
      <c r="M2315" t="s">
        <v>1317</v>
      </c>
      <c r="N2315" t="s">
        <v>2241</v>
      </c>
      <c r="O2315" t="s">
        <v>82</v>
      </c>
      <c r="P2315" t="str">
        <f>"4170055064                    "</f>
        <v xml:space="preserve">4170055064                    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0</v>
      </c>
      <c r="AI2315">
        <v>0</v>
      </c>
      <c r="AJ2315">
        <v>0</v>
      </c>
      <c r="AK2315">
        <v>0</v>
      </c>
      <c r="AL2315">
        <v>0</v>
      </c>
      <c r="AM2315">
        <v>0</v>
      </c>
      <c r="AN2315">
        <v>0</v>
      </c>
      <c r="AO2315">
        <v>0</v>
      </c>
      <c r="AP2315">
        <v>0</v>
      </c>
      <c r="AQ2315">
        <v>34.619999999999997</v>
      </c>
      <c r="AR2315">
        <v>0</v>
      </c>
      <c r="AS2315">
        <v>0</v>
      </c>
      <c r="AT2315">
        <v>0</v>
      </c>
      <c r="AU2315">
        <v>0</v>
      </c>
      <c r="AV2315">
        <v>0</v>
      </c>
      <c r="AW2315">
        <v>0</v>
      </c>
      <c r="AX2315">
        <v>0</v>
      </c>
      <c r="AY2315">
        <v>0</v>
      </c>
      <c r="AZ2315">
        <v>0</v>
      </c>
      <c r="BA2315">
        <v>0</v>
      </c>
      <c r="BB2315">
        <v>0</v>
      </c>
      <c r="BC2315">
        <v>0</v>
      </c>
      <c r="BD2315">
        <v>0</v>
      </c>
      <c r="BE2315">
        <v>0</v>
      </c>
      <c r="BF2315">
        <v>0</v>
      </c>
      <c r="BG2315">
        <v>0</v>
      </c>
      <c r="BH2315">
        <v>1</v>
      </c>
      <c r="BI2315">
        <v>3</v>
      </c>
      <c r="BJ2315">
        <v>1.3</v>
      </c>
      <c r="BK2315">
        <v>3</v>
      </c>
      <c r="BL2315">
        <v>107.5</v>
      </c>
      <c r="BM2315">
        <v>16.13</v>
      </c>
      <c r="BN2315">
        <v>123.63</v>
      </c>
      <c r="BO2315">
        <v>123.63</v>
      </c>
      <c r="BQ2315" t="s">
        <v>2242</v>
      </c>
      <c r="BR2315" t="s">
        <v>84</v>
      </c>
      <c r="BS2315" s="3">
        <v>45888</v>
      </c>
      <c r="BT2315" s="4">
        <v>0.34166666666666667</v>
      </c>
      <c r="BU2315" t="s">
        <v>2243</v>
      </c>
      <c r="BV2315" t="s">
        <v>90</v>
      </c>
      <c r="BY2315">
        <v>6600</v>
      </c>
      <c r="CA2315" t="s">
        <v>136</v>
      </c>
      <c r="CC2315" t="s">
        <v>1317</v>
      </c>
      <c r="CD2315">
        <v>4026</v>
      </c>
      <c r="CE2315" t="s">
        <v>117</v>
      </c>
      <c r="CI2315">
        <v>1</v>
      </c>
      <c r="CJ2315">
        <v>2</v>
      </c>
      <c r="CK2315">
        <v>21</v>
      </c>
      <c r="CL2315" t="s">
        <v>90</v>
      </c>
    </row>
    <row r="2316" spans="1:90" x14ac:dyDescent="0.3">
      <c r="A2316" t="s">
        <v>72</v>
      </c>
      <c r="B2316" t="s">
        <v>73</v>
      </c>
      <c r="C2316" t="s">
        <v>74</v>
      </c>
      <c r="E2316" t="str">
        <f>"080067263666"</f>
        <v>080067263666</v>
      </c>
      <c r="F2316" s="3">
        <v>45884</v>
      </c>
      <c r="G2316">
        <v>202605</v>
      </c>
      <c r="H2316" t="s">
        <v>75</v>
      </c>
      <c r="I2316" t="s">
        <v>76</v>
      </c>
      <c r="J2316" t="s">
        <v>77</v>
      </c>
      <c r="K2316" t="s">
        <v>78</v>
      </c>
      <c r="L2316" t="s">
        <v>223</v>
      </c>
      <c r="M2316" t="s">
        <v>224</v>
      </c>
      <c r="N2316" t="s">
        <v>939</v>
      </c>
      <c r="O2316" t="s">
        <v>95</v>
      </c>
      <c r="P2316" t="str">
        <f>"4170055112                    "</f>
        <v xml:space="preserve">4170055112                    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0</v>
      </c>
      <c r="AI2316">
        <v>0</v>
      </c>
      <c r="AJ2316">
        <v>0</v>
      </c>
      <c r="AK2316">
        <v>0</v>
      </c>
      <c r="AL2316">
        <v>0</v>
      </c>
      <c r="AM2316">
        <v>0</v>
      </c>
      <c r="AN2316">
        <v>0</v>
      </c>
      <c r="AO2316">
        <v>0</v>
      </c>
      <c r="AP2316">
        <v>0</v>
      </c>
      <c r="AQ2316">
        <v>75.97</v>
      </c>
      <c r="AR2316">
        <v>0</v>
      </c>
      <c r="AS2316">
        <v>0</v>
      </c>
      <c r="AT2316">
        <v>0</v>
      </c>
      <c r="AU2316">
        <v>0</v>
      </c>
      <c r="AV2316">
        <v>0</v>
      </c>
      <c r="AW2316">
        <v>0</v>
      </c>
      <c r="AX2316">
        <v>0</v>
      </c>
      <c r="AY2316">
        <v>0</v>
      </c>
      <c r="AZ2316">
        <v>0</v>
      </c>
      <c r="BA2316">
        <v>0</v>
      </c>
      <c r="BB2316">
        <v>0</v>
      </c>
      <c r="BC2316">
        <v>0</v>
      </c>
      <c r="BD2316">
        <v>0</v>
      </c>
      <c r="BE2316">
        <v>0</v>
      </c>
      <c r="BF2316">
        <v>0</v>
      </c>
      <c r="BG2316">
        <v>0</v>
      </c>
      <c r="BH2316">
        <v>1</v>
      </c>
      <c r="BI2316">
        <v>11</v>
      </c>
      <c r="BJ2316">
        <v>31.6</v>
      </c>
      <c r="BK2316">
        <v>32</v>
      </c>
      <c r="BL2316">
        <v>241.78</v>
      </c>
      <c r="BM2316">
        <v>36.270000000000003</v>
      </c>
      <c r="BN2316">
        <v>278.05</v>
      </c>
      <c r="BO2316">
        <v>278.05</v>
      </c>
      <c r="BQ2316" t="s">
        <v>940</v>
      </c>
      <c r="BR2316" t="s">
        <v>84</v>
      </c>
      <c r="BS2316" s="3">
        <v>45887</v>
      </c>
      <c r="BT2316" s="4">
        <v>0.57638888888888884</v>
      </c>
      <c r="BU2316" t="s">
        <v>295</v>
      </c>
      <c r="BV2316" t="s">
        <v>86</v>
      </c>
      <c r="BY2316">
        <v>157920</v>
      </c>
      <c r="CA2316" t="s">
        <v>228</v>
      </c>
      <c r="CC2316" t="s">
        <v>224</v>
      </c>
      <c r="CD2316">
        <v>5201</v>
      </c>
      <c r="CE2316" t="s">
        <v>147</v>
      </c>
      <c r="CI2316">
        <v>3</v>
      </c>
      <c r="CJ2316">
        <v>1</v>
      </c>
      <c r="CK2316">
        <v>41</v>
      </c>
      <c r="CL2316" t="s">
        <v>90</v>
      </c>
    </row>
    <row r="2317" spans="1:90" x14ac:dyDescent="0.3">
      <c r="A2317" t="s">
        <v>72</v>
      </c>
      <c r="B2317" t="s">
        <v>73</v>
      </c>
      <c r="C2317" t="s">
        <v>74</v>
      </c>
      <c r="E2317" t="str">
        <f>"080067263738"</f>
        <v>080067263738</v>
      </c>
      <c r="F2317" s="3">
        <v>45884</v>
      </c>
      <c r="G2317">
        <v>202605</v>
      </c>
      <c r="H2317" t="s">
        <v>75</v>
      </c>
      <c r="I2317" t="s">
        <v>76</v>
      </c>
      <c r="J2317" t="s">
        <v>77</v>
      </c>
      <c r="K2317" t="s">
        <v>78</v>
      </c>
      <c r="L2317" t="s">
        <v>123</v>
      </c>
      <c r="M2317" t="s">
        <v>124</v>
      </c>
      <c r="N2317" t="s">
        <v>406</v>
      </c>
      <c r="O2317" t="s">
        <v>95</v>
      </c>
      <c r="P2317" t="str">
        <f>"4170055069                    "</f>
        <v xml:space="preserve">4170055069                    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0</v>
      </c>
      <c r="AI2317">
        <v>0</v>
      </c>
      <c r="AJ2317">
        <v>0</v>
      </c>
      <c r="AK2317">
        <v>0</v>
      </c>
      <c r="AL2317">
        <v>0</v>
      </c>
      <c r="AM2317">
        <v>0</v>
      </c>
      <c r="AN2317">
        <v>0</v>
      </c>
      <c r="AO2317">
        <v>0</v>
      </c>
      <c r="AP2317">
        <v>0</v>
      </c>
      <c r="AQ2317">
        <v>61.23</v>
      </c>
      <c r="AR2317">
        <v>0</v>
      </c>
      <c r="AS2317">
        <v>0</v>
      </c>
      <c r="AT2317">
        <v>0</v>
      </c>
      <c r="AU2317">
        <v>0</v>
      </c>
      <c r="AV2317">
        <v>0</v>
      </c>
      <c r="AW2317">
        <v>0</v>
      </c>
      <c r="AX2317">
        <v>0</v>
      </c>
      <c r="AY2317">
        <v>0</v>
      </c>
      <c r="AZ2317">
        <v>0</v>
      </c>
      <c r="BA2317">
        <v>0</v>
      </c>
      <c r="BB2317">
        <v>0</v>
      </c>
      <c r="BC2317">
        <v>0</v>
      </c>
      <c r="BD2317">
        <v>0</v>
      </c>
      <c r="BE2317">
        <v>0</v>
      </c>
      <c r="BF2317">
        <v>0</v>
      </c>
      <c r="BG2317">
        <v>0</v>
      </c>
      <c r="BH2317">
        <v>4</v>
      </c>
      <c r="BI2317">
        <v>24</v>
      </c>
      <c r="BJ2317">
        <v>15.8</v>
      </c>
      <c r="BK2317">
        <v>24</v>
      </c>
      <c r="BL2317">
        <v>196</v>
      </c>
      <c r="BM2317">
        <v>29.4</v>
      </c>
      <c r="BN2317">
        <v>225.4</v>
      </c>
      <c r="BO2317">
        <v>225.4</v>
      </c>
      <c r="BQ2317" t="s">
        <v>407</v>
      </c>
      <c r="BR2317" t="s">
        <v>84</v>
      </c>
      <c r="BS2317" s="3">
        <v>45887</v>
      </c>
      <c r="BT2317" s="4">
        <v>0.58611111111111114</v>
      </c>
      <c r="BU2317" t="s">
        <v>2751</v>
      </c>
      <c r="BV2317" t="s">
        <v>86</v>
      </c>
      <c r="BY2317">
        <v>19712</v>
      </c>
      <c r="CA2317" t="s">
        <v>2752</v>
      </c>
      <c r="CC2317" t="s">
        <v>124</v>
      </c>
      <c r="CD2317">
        <v>7441</v>
      </c>
      <c r="CE2317" t="s">
        <v>2797</v>
      </c>
      <c r="CI2317">
        <v>3</v>
      </c>
      <c r="CJ2317">
        <v>1</v>
      </c>
      <c r="CK2317">
        <v>41</v>
      </c>
      <c r="CL2317" t="s">
        <v>90</v>
      </c>
    </row>
    <row r="2318" spans="1:90" x14ac:dyDescent="0.3">
      <c r="A2318" t="s">
        <v>72</v>
      </c>
      <c r="B2318" t="s">
        <v>73</v>
      </c>
      <c r="C2318" t="s">
        <v>74</v>
      </c>
      <c r="E2318" t="str">
        <f>"080067263883"</f>
        <v>080067263883</v>
      </c>
      <c r="F2318" s="3">
        <v>45884</v>
      </c>
      <c r="G2318">
        <v>202605</v>
      </c>
      <c r="H2318" t="s">
        <v>75</v>
      </c>
      <c r="I2318" t="s">
        <v>76</v>
      </c>
      <c r="J2318" t="s">
        <v>77</v>
      </c>
      <c r="K2318" t="s">
        <v>78</v>
      </c>
      <c r="L2318" t="s">
        <v>241</v>
      </c>
      <c r="M2318" t="s">
        <v>242</v>
      </c>
      <c r="N2318" t="s">
        <v>1251</v>
      </c>
      <c r="O2318" t="s">
        <v>82</v>
      </c>
      <c r="P2318" t="str">
        <f>"4170055082                    "</f>
        <v xml:space="preserve">4170055082                    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N2318">
        <v>0</v>
      </c>
      <c r="AO2318">
        <v>0</v>
      </c>
      <c r="AP2318">
        <v>0</v>
      </c>
      <c r="AQ2318">
        <v>18.03</v>
      </c>
      <c r="AR2318">
        <v>0</v>
      </c>
      <c r="AS2318">
        <v>0</v>
      </c>
      <c r="AT2318">
        <v>0</v>
      </c>
      <c r="AU2318">
        <v>0</v>
      </c>
      <c r="AV2318">
        <v>0</v>
      </c>
      <c r="AW2318">
        <v>0</v>
      </c>
      <c r="AX2318">
        <v>0</v>
      </c>
      <c r="AY2318">
        <v>0</v>
      </c>
      <c r="AZ2318">
        <v>0</v>
      </c>
      <c r="BA2318">
        <v>0</v>
      </c>
      <c r="BB2318">
        <v>0</v>
      </c>
      <c r="BC2318">
        <v>0</v>
      </c>
      <c r="BD2318">
        <v>0</v>
      </c>
      <c r="BE2318">
        <v>0</v>
      </c>
      <c r="BF2318">
        <v>0</v>
      </c>
      <c r="BG2318">
        <v>0</v>
      </c>
      <c r="BH2318">
        <v>1</v>
      </c>
      <c r="BI2318">
        <v>1</v>
      </c>
      <c r="BJ2318">
        <v>0.2</v>
      </c>
      <c r="BK2318">
        <v>1</v>
      </c>
      <c r="BL2318">
        <v>55.99</v>
      </c>
      <c r="BM2318">
        <v>8.4</v>
      </c>
      <c r="BN2318">
        <v>64.39</v>
      </c>
      <c r="BO2318">
        <v>64.39</v>
      </c>
      <c r="BQ2318" t="s">
        <v>1252</v>
      </c>
      <c r="BR2318" t="s">
        <v>84</v>
      </c>
      <c r="BS2318" s="3">
        <v>45887</v>
      </c>
      <c r="BT2318" s="4">
        <v>0.33055555555555555</v>
      </c>
      <c r="BU2318" t="s">
        <v>1253</v>
      </c>
      <c r="BV2318" t="s">
        <v>86</v>
      </c>
      <c r="BY2318">
        <v>1200</v>
      </c>
      <c r="CA2318" t="s">
        <v>720</v>
      </c>
      <c r="CC2318" t="s">
        <v>242</v>
      </c>
      <c r="CD2318">
        <v>1459</v>
      </c>
      <c r="CE2318" t="s">
        <v>109</v>
      </c>
      <c r="CF2318" s="3">
        <v>45888</v>
      </c>
      <c r="CI2318">
        <v>1</v>
      </c>
      <c r="CJ2318">
        <v>1</v>
      </c>
      <c r="CK2318">
        <v>22</v>
      </c>
      <c r="CL2318" t="s">
        <v>90</v>
      </c>
    </row>
    <row r="2319" spans="1:90" x14ac:dyDescent="0.3">
      <c r="A2319" t="s">
        <v>72</v>
      </c>
      <c r="B2319" t="s">
        <v>73</v>
      </c>
      <c r="C2319" t="s">
        <v>74</v>
      </c>
      <c r="E2319" t="str">
        <f>"080067263884"</f>
        <v>080067263884</v>
      </c>
      <c r="F2319" s="3">
        <v>45884</v>
      </c>
      <c r="G2319">
        <v>202605</v>
      </c>
      <c r="H2319" t="s">
        <v>75</v>
      </c>
      <c r="I2319" t="s">
        <v>76</v>
      </c>
      <c r="J2319" t="s">
        <v>77</v>
      </c>
      <c r="K2319" t="s">
        <v>78</v>
      </c>
      <c r="L2319" t="s">
        <v>291</v>
      </c>
      <c r="M2319" t="s">
        <v>292</v>
      </c>
      <c r="N2319" t="s">
        <v>131</v>
      </c>
      <c r="O2319" t="s">
        <v>82</v>
      </c>
      <c r="P2319" t="str">
        <f>"4170054924                    "</f>
        <v xml:space="preserve">4170054924                    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0</v>
      </c>
      <c r="AI2319">
        <v>0</v>
      </c>
      <c r="AJ2319">
        <v>0</v>
      </c>
      <c r="AK2319">
        <v>0</v>
      </c>
      <c r="AL2319">
        <v>0</v>
      </c>
      <c r="AM2319">
        <v>0</v>
      </c>
      <c r="AN2319">
        <v>0</v>
      </c>
      <c r="AO2319">
        <v>0</v>
      </c>
      <c r="AP2319">
        <v>0</v>
      </c>
      <c r="AQ2319">
        <v>18.03</v>
      </c>
      <c r="AR2319">
        <v>0</v>
      </c>
      <c r="AS2319">
        <v>0</v>
      </c>
      <c r="AT2319">
        <v>0</v>
      </c>
      <c r="AU2319">
        <v>0</v>
      </c>
      <c r="AV2319">
        <v>0</v>
      </c>
      <c r="AW2319">
        <v>0</v>
      </c>
      <c r="AX2319">
        <v>0</v>
      </c>
      <c r="AY2319">
        <v>0</v>
      </c>
      <c r="AZ2319">
        <v>0</v>
      </c>
      <c r="BA2319">
        <v>0</v>
      </c>
      <c r="BB2319">
        <v>0</v>
      </c>
      <c r="BC2319">
        <v>0</v>
      </c>
      <c r="BD2319">
        <v>0</v>
      </c>
      <c r="BE2319">
        <v>0</v>
      </c>
      <c r="BF2319">
        <v>0</v>
      </c>
      <c r="BG2319">
        <v>0</v>
      </c>
      <c r="BH2319">
        <v>1</v>
      </c>
      <c r="BI2319">
        <v>1</v>
      </c>
      <c r="BJ2319">
        <v>1.1000000000000001</v>
      </c>
      <c r="BK2319">
        <v>2</v>
      </c>
      <c r="BL2319">
        <v>55.99</v>
      </c>
      <c r="BM2319">
        <v>8.4</v>
      </c>
      <c r="BN2319">
        <v>64.39</v>
      </c>
      <c r="BO2319">
        <v>64.39</v>
      </c>
      <c r="BQ2319" t="s">
        <v>132</v>
      </c>
      <c r="BR2319" t="s">
        <v>84</v>
      </c>
      <c r="BS2319" s="3">
        <v>45887</v>
      </c>
      <c r="BT2319" s="4">
        <v>0.33680555555555558</v>
      </c>
      <c r="BU2319" t="s">
        <v>1471</v>
      </c>
      <c r="BV2319" t="s">
        <v>86</v>
      </c>
      <c r="BY2319">
        <v>5320</v>
      </c>
      <c r="CA2319" t="s">
        <v>296</v>
      </c>
      <c r="CC2319" t="s">
        <v>292</v>
      </c>
      <c r="CD2319">
        <v>1451</v>
      </c>
      <c r="CE2319" t="s">
        <v>147</v>
      </c>
      <c r="CF2319" s="3">
        <v>45887</v>
      </c>
      <c r="CI2319">
        <v>1</v>
      </c>
      <c r="CJ2319">
        <v>1</v>
      </c>
      <c r="CK2319">
        <v>22</v>
      </c>
      <c r="CL2319" t="s">
        <v>90</v>
      </c>
    </row>
    <row r="2320" spans="1:90" x14ac:dyDescent="0.3">
      <c r="A2320" t="s">
        <v>72</v>
      </c>
      <c r="B2320" t="s">
        <v>73</v>
      </c>
      <c r="C2320" t="s">
        <v>74</v>
      </c>
      <c r="E2320" t="str">
        <f>"080067263898"</f>
        <v>080067263898</v>
      </c>
      <c r="F2320" s="3">
        <v>45884</v>
      </c>
      <c r="G2320">
        <v>202605</v>
      </c>
      <c r="H2320" t="s">
        <v>75</v>
      </c>
      <c r="I2320" t="s">
        <v>76</v>
      </c>
      <c r="J2320" t="s">
        <v>77</v>
      </c>
      <c r="K2320" t="s">
        <v>78</v>
      </c>
      <c r="L2320" t="s">
        <v>123</v>
      </c>
      <c r="M2320" t="s">
        <v>124</v>
      </c>
      <c r="N2320" t="s">
        <v>1115</v>
      </c>
      <c r="O2320" t="s">
        <v>82</v>
      </c>
      <c r="P2320" t="str">
        <f>"4170055079                    "</f>
        <v xml:space="preserve">4170055079                    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>
        <v>0</v>
      </c>
      <c r="AQ2320">
        <v>23.09</v>
      </c>
      <c r="AR2320">
        <v>0</v>
      </c>
      <c r="AS2320">
        <v>0</v>
      </c>
      <c r="AT2320">
        <v>0</v>
      </c>
      <c r="AU2320">
        <v>0</v>
      </c>
      <c r="AV2320">
        <v>0</v>
      </c>
      <c r="AW2320">
        <v>0</v>
      </c>
      <c r="AX2320">
        <v>0</v>
      </c>
      <c r="AY2320">
        <v>0</v>
      </c>
      <c r="AZ2320">
        <v>0</v>
      </c>
      <c r="BA2320">
        <v>0</v>
      </c>
      <c r="BB2320">
        <v>0</v>
      </c>
      <c r="BC2320">
        <v>0</v>
      </c>
      <c r="BD2320">
        <v>0</v>
      </c>
      <c r="BE2320">
        <v>0</v>
      </c>
      <c r="BF2320">
        <v>0</v>
      </c>
      <c r="BG2320">
        <v>0</v>
      </c>
      <c r="BH2320">
        <v>1</v>
      </c>
      <c r="BI2320">
        <v>1</v>
      </c>
      <c r="BJ2320">
        <v>0.2</v>
      </c>
      <c r="BK2320">
        <v>1</v>
      </c>
      <c r="BL2320">
        <v>71.69</v>
      </c>
      <c r="BM2320">
        <v>10.75</v>
      </c>
      <c r="BN2320">
        <v>82.44</v>
      </c>
      <c r="BO2320">
        <v>82.44</v>
      </c>
      <c r="BQ2320" t="s">
        <v>1116</v>
      </c>
      <c r="BR2320" t="s">
        <v>84</v>
      </c>
      <c r="BS2320" s="3">
        <v>45887</v>
      </c>
      <c r="BT2320" s="4">
        <v>0.40763888888888888</v>
      </c>
      <c r="BU2320" t="s">
        <v>2783</v>
      </c>
      <c r="BV2320" t="s">
        <v>86</v>
      </c>
      <c r="BY2320">
        <v>1200</v>
      </c>
      <c r="CA2320" t="s">
        <v>2361</v>
      </c>
      <c r="CC2320" t="s">
        <v>124</v>
      </c>
      <c r="CD2320">
        <v>7441</v>
      </c>
      <c r="CE2320" t="s">
        <v>109</v>
      </c>
      <c r="CI2320">
        <v>1</v>
      </c>
      <c r="CJ2320">
        <v>1</v>
      </c>
      <c r="CK2320">
        <v>21</v>
      </c>
      <c r="CL2320" t="s">
        <v>90</v>
      </c>
    </row>
    <row r="2321" spans="1:90" x14ac:dyDescent="0.3">
      <c r="A2321" t="s">
        <v>72</v>
      </c>
      <c r="B2321" t="s">
        <v>73</v>
      </c>
      <c r="C2321" t="s">
        <v>74</v>
      </c>
      <c r="E2321" t="str">
        <f>"080067263901"</f>
        <v>080067263901</v>
      </c>
      <c r="F2321" s="3">
        <v>45884</v>
      </c>
      <c r="G2321">
        <v>202605</v>
      </c>
      <c r="H2321" t="s">
        <v>75</v>
      </c>
      <c r="I2321" t="s">
        <v>76</v>
      </c>
      <c r="J2321" t="s">
        <v>77</v>
      </c>
      <c r="K2321" t="s">
        <v>78</v>
      </c>
      <c r="L2321" t="s">
        <v>123</v>
      </c>
      <c r="M2321" t="s">
        <v>124</v>
      </c>
      <c r="N2321" t="s">
        <v>125</v>
      </c>
      <c r="O2321" t="s">
        <v>95</v>
      </c>
      <c r="P2321" t="str">
        <f>"4170055061                    "</f>
        <v xml:space="preserve">4170055061                    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0</v>
      </c>
      <c r="AL2321">
        <v>0</v>
      </c>
      <c r="AM2321">
        <v>0</v>
      </c>
      <c r="AN2321">
        <v>0</v>
      </c>
      <c r="AO2321">
        <v>0</v>
      </c>
      <c r="AP2321">
        <v>0</v>
      </c>
      <c r="AQ2321">
        <v>66.760000000000005</v>
      </c>
      <c r="AR2321">
        <v>0</v>
      </c>
      <c r="AS2321">
        <v>0</v>
      </c>
      <c r="AT2321">
        <v>0</v>
      </c>
      <c r="AU2321">
        <v>0</v>
      </c>
      <c r="AV2321">
        <v>0</v>
      </c>
      <c r="AW2321">
        <v>0</v>
      </c>
      <c r="AX2321">
        <v>0</v>
      </c>
      <c r="AY2321">
        <v>0</v>
      </c>
      <c r="AZ2321">
        <v>0</v>
      </c>
      <c r="BA2321">
        <v>0</v>
      </c>
      <c r="BB2321">
        <v>0</v>
      </c>
      <c r="BC2321">
        <v>0</v>
      </c>
      <c r="BD2321">
        <v>0</v>
      </c>
      <c r="BE2321">
        <v>0</v>
      </c>
      <c r="BF2321">
        <v>0</v>
      </c>
      <c r="BG2321">
        <v>0</v>
      </c>
      <c r="BH2321">
        <v>1</v>
      </c>
      <c r="BI2321">
        <v>27</v>
      </c>
      <c r="BJ2321">
        <v>8.9</v>
      </c>
      <c r="BK2321">
        <v>27</v>
      </c>
      <c r="BL2321">
        <v>213.17</v>
      </c>
      <c r="BM2321">
        <v>31.98</v>
      </c>
      <c r="BN2321">
        <v>245.15</v>
      </c>
      <c r="BO2321">
        <v>245.15</v>
      </c>
      <c r="BQ2321" t="s">
        <v>126</v>
      </c>
      <c r="BR2321" t="s">
        <v>84</v>
      </c>
      <c r="BS2321" s="3">
        <v>45888</v>
      </c>
      <c r="BT2321" s="4">
        <v>0.32569444444444445</v>
      </c>
      <c r="BU2321" t="s">
        <v>2798</v>
      </c>
      <c r="BV2321" t="s">
        <v>86</v>
      </c>
      <c r="BY2321">
        <v>44640</v>
      </c>
      <c r="CA2321" t="s">
        <v>128</v>
      </c>
      <c r="CC2321" t="s">
        <v>124</v>
      </c>
      <c r="CD2321">
        <v>7530</v>
      </c>
      <c r="CE2321" t="s">
        <v>147</v>
      </c>
      <c r="CI2321">
        <v>3</v>
      </c>
      <c r="CJ2321">
        <v>2</v>
      </c>
      <c r="CK2321">
        <v>41</v>
      </c>
      <c r="CL2321" t="s">
        <v>90</v>
      </c>
    </row>
    <row r="2322" spans="1:90" x14ac:dyDescent="0.3">
      <c r="A2322" t="s">
        <v>72</v>
      </c>
      <c r="B2322" t="s">
        <v>73</v>
      </c>
      <c r="C2322" t="s">
        <v>74</v>
      </c>
      <c r="E2322" t="str">
        <f>"080067263926"</f>
        <v>080067263926</v>
      </c>
      <c r="F2322" s="3">
        <v>45884</v>
      </c>
      <c r="G2322">
        <v>202605</v>
      </c>
      <c r="H2322" t="s">
        <v>75</v>
      </c>
      <c r="I2322" t="s">
        <v>76</v>
      </c>
      <c r="J2322" t="s">
        <v>77</v>
      </c>
      <c r="K2322" t="s">
        <v>78</v>
      </c>
      <c r="L2322" t="s">
        <v>234</v>
      </c>
      <c r="M2322" t="s">
        <v>235</v>
      </c>
      <c r="N2322" t="s">
        <v>2799</v>
      </c>
      <c r="O2322" t="s">
        <v>82</v>
      </c>
      <c r="P2322" t="str">
        <f>"4170055095                    "</f>
        <v xml:space="preserve">4170055095                    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>
        <v>0</v>
      </c>
      <c r="AQ2322">
        <v>23.09</v>
      </c>
      <c r="AR2322">
        <v>0</v>
      </c>
      <c r="AS2322">
        <v>0</v>
      </c>
      <c r="AT2322">
        <v>0</v>
      </c>
      <c r="AU2322">
        <v>0</v>
      </c>
      <c r="AV2322">
        <v>0</v>
      </c>
      <c r="AW2322">
        <v>0</v>
      </c>
      <c r="AX2322">
        <v>0</v>
      </c>
      <c r="AY2322">
        <v>0</v>
      </c>
      <c r="AZ2322">
        <v>0</v>
      </c>
      <c r="BA2322">
        <v>0</v>
      </c>
      <c r="BB2322">
        <v>0</v>
      </c>
      <c r="BC2322">
        <v>0</v>
      </c>
      <c r="BD2322">
        <v>0</v>
      </c>
      <c r="BE2322">
        <v>0</v>
      </c>
      <c r="BF2322">
        <v>0</v>
      </c>
      <c r="BG2322">
        <v>0</v>
      </c>
      <c r="BH2322">
        <v>1</v>
      </c>
      <c r="BI2322">
        <v>1</v>
      </c>
      <c r="BJ2322">
        <v>0.2</v>
      </c>
      <c r="BK2322">
        <v>1</v>
      </c>
      <c r="BL2322">
        <v>71.69</v>
      </c>
      <c r="BM2322">
        <v>10.75</v>
      </c>
      <c r="BN2322">
        <v>82.44</v>
      </c>
      <c r="BO2322">
        <v>82.44</v>
      </c>
      <c r="BQ2322" t="s">
        <v>2800</v>
      </c>
      <c r="BR2322" t="s">
        <v>84</v>
      </c>
      <c r="BS2322" s="3">
        <v>45887</v>
      </c>
      <c r="BT2322" s="4">
        <v>0.32916666666666666</v>
      </c>
      <c r="BU2322" t="s">
        <v>2801</v>
      </c>
      <c r="BV2322" t="s">
        <v>86</v>
      </c>
      <c r="BY2322">
        <v>1200</v>
      </c>
      <c r="CA2322" t="s">
        <v>824</v>
      </c>
      <c r="CC2322" t="s">
        <v>235</v>
      </c>
      <c r="CD2322" s="5" t="s">
        <v>240</v>
      </c>
      <c r="CE2322" t="s">
        <v>109</v>
      </c>
      <c r="CF2322" s="3">
        <v>45887</v>
      </c>
      <c r="CI2322">
        <v>1</v>
      </c>
      <c r="CJ2322">
        <v>1</v>
      </c>
      <c r="CK2322">
        <v>21</v>
      </c>
      <c r="CL2322" t="s">
        <v>90</v>
      </c>
    </row>
    <row r="2323" spans="1:90" x14ac:dyDescent="0.3">
      <c r="A2323" t="s">
        <v>72</v>
      </c>
      <c r="B2323" t="s">
        <v>73</v>
      </c>
      <c r="C2323" t="s">
        <v>74</v>
      </c>
      <c r="E2323" t="str">
        <f>"080067263929"</f>
        <v>080067263929</v>
      </c>
      <c r="F2323" s="3">
        <v>45884</v>
      </c>
      <c r="G2323">
        <v>202605</v>
      </c>
      <c r="H2323" t="s">
        <v>75</v>
      </c>
      <c r="I2323" t="s">
        <v>76</v>
      </c>
      <c r="J2323" t="s">
        <v>77</v>
      </c>
      <c r="K2323" t="s">
        <v>78</v>
      </c>
      <c r="L2323" t="s">
        <v>1087</v>
      </c>
      <c r="M2323" t="s">
        <v>1088</v>
      </c>
      <c r="N2323" t="s">
        <v>1089</v>
      </c>
      <c r="O2323" t="s">
        <v>82</v>
      </c>
      <c r="P2323" t="str">
        <f>"4170055108                    "</f>
        <v xml:space="preserve">4170055108                    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N2323">
        <v>0</v>
      </c>
      <c r="AO2323">
        <v>0</v>
      </c>
      <c r="AP2323">
        <v>0</v>
      </c>
      <c r="AQ2323">
        <v>155.81</v>
      </c>
      <c r="AR2323">
        <v>0</v>
      </c>
      <c r="AS2323">
        <v>0</v>
      </c>
      <c r="AT2323">
        <v>0</v>
      </c>
      <c r="AU2323">
        <v>0</v>
      </c>
      <c r="AV2323">
        <v>0</v>
      </c>
      <c r="AW2323">
        <v>0</v>
      </c>
      <c r="AX2323">
        <v>0</v>
      </c>
      <c r="AY2323">
        <v>0</v>
      </c>
      <c r="AZ2323">
        <v>0</v>
      </c>
      <c r="BA2323">
        <v>0</v>
      </c>
      <c r="BB2323">
        <v>0</v>
      </c>
      <c r="BC2323">
        <v>0</v>
      </c>
      <c r="BD2323">
        <v>0</v>
      </c>
      <c r="BE2323">
        <v>0</v>
      </c>
      <c r="BF2323">
        <v>0</v>
      </c>
      <c r="BG2323">
        <v>0</v>
      </c>
      <c r="BH2323">
        <v>1</v>
      </c>
      <c r="BI2323">
        <v>3</v>
      </c>
      <c r="BJ2323">
        <v>7.1</v>
      </c>
      <c r="BK2323">
        <v>7.5</v>
      </c>
      <c r="BL2323">
        <v>483.83</v>
      </c>
      <c r="BM2323">
        <v>72.569999999999993</v>
      </c>
      <c r="BN2323">
        <v>556.4</v>
      </c>
      <c r="BO2323">
        <v>556.4</v>
      </c>
      <c r="BQ2323" t="s">
        <v>1090</v>
      </c>
      <c r="BR2323" t="s">
        <v>84</v>
      </c>
      <c r="BS2323" s="3">
        <v>45887</v>
      </c>
      <c r="BT2323" s="4">
        <v>0.48958333333333331</v>
      </c>
      <c r="BU2323" t="s">
        <v>1091</v>
      </c>
      <c r="BV2323" t="s">
        <v>86</v>
      </c>
      <c r="BY2323">
        <v>35568</v>
      </c>
      <c r="CA2323" t="s">
        <v>1092</v>
      </c>
      <c r="CC2323" t="s">
        <v>1088</v>
      </c>
      <c r="CD2323">
        <v>6500</v>
      </c>
      <c r="CE2323" t="s">
        <v>147</v>
      </c>
      <c r="CF2323" s="3">
        <v>45887</v>
      </c>
      <c r="CI2323">
        <v>1</v>
      </c>
      <c r="CJ2323">
        <v>1</v>
      </c>
      <c r="CK2323">
        <v>23</v>
      </c>
      <c r="CL2323" t="s">
        <v>90</v>
      </c>
    </row>
    <row r="2324" spans="1:90" x14ac:dyDescent="0.3">
      <c r="A2324" t="s">
        <v>72</v>
      </c>
      <c r="B2324" t="s">
        <v>73</v>
      </c>
      <c r="C2324" t="s">
        <v>74</v>
      </c>
      <c r="E2324" t="str">
        <f>"080067263956"</f>
        <v>080067263956</v>
      </c>
      <c r="F2324" s="3">
        <v>45884</v>
      </c>
      <c r="G2324">
        <v>202605</v>
      </c>
      <c r="H2324" t="s">
        <v>75</v>
      </c>
      <c r="I2324" t="s">
        <v>76</v>
      </c>
      <c r="J2324" t="s">
        <v>77</v>
      </c>
      <c r="K2324" t="s">
        <v>78</v>
      </c>
      <c r="L2324" t="s">
        <v>198</v>
      </c>
      <c r="M2324" t="s">
        <v>199</v>
      </c>
      <c r="N2324" t="s">
        <v>680</v>
      </c>
      <c r="O2324" t="s">
        <v>82</v>
      </c>
      <c r="P2324" t="str">
        <f>"4170055137                    "</f>
        <v xml:space="preserve">4170055137                    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>
        <v>0</v>
      </c>
      <c r="AQ2324">
        <v>23.09</v>
      </c>
      <c r="AR2324">
        <v>0</v>
      </c>
      <c r="AS2324">
        <v>0</v>
      </c>
      <c r="AT2324">
        <v>0</v>
      </c>
      <c r="AU2324">
        <v>0</v>
      </c>
      <c r="AV2324">
        <v>0</v>
      </c>
      <c r="AW2324">
        <v>0</v>
      </c>
      <c r="AX2324">
        <v>0</v>
      </c>
      <c r="AY2324">
        <v>0</v>
      </c>
      <c r="AZ2324">
        <v>0</v>
      </c>
      <c r="BA2324">
        <v>0</v>
      </c>
      <c r="BB2324">
        <v>0</v>
      </c>
      <c r="BC2324">
        <v>0</v>
      </c>
      <c r="BD2324">
        <v>0</v>
      </c>
      <c r="BE2324">
        <v>0</v>
      </c>
      <c r="BF2324">
        <v>0</v>
      </c>
      <c r="BG2324">
        <v>0</v>
      </c>
      <c r="BH2324">
        <v>1</v>
      </c>
      <c r="BI2324">
        <v>1</v>
      </c>
      <c r="BJ2324">
        <v>0.2</v>
      </c>
      <c r="BK2324">
        <v>1</v>
      </c>
      <c r="BL2324">
        <v>71.69</v>
      </c>
      <c r="BM2324">
        <v>10.75</v>
      </c>
      <c r="BN2324">
        <v>82.44</v>
      </c>
      <c r="BO2324">
        <v>82.44</v>
      </c>
      <c r="BQ2324" t="s">
        <v>681</v>
      </c>
      <c r="BR2324" t="s">
        <v>84</v>
      </c>
      <c r="BS2324" s="3">
        <v>45887</v>
      </c>
      <c r="BT2324" s="4">
        <v>0.40069444444444446</v>
      </c>
      <c r="BU2324" t="s">
        <v>1385</v>
      </c>
      <c r="BV2324" t="s">
        <v>86</v>
      </c>
      <c r="BY2324">
        <v>1200</v>
      </c>
      <c r="CA2324" t="s">
        <v>413</v>
      </c>
      <c r="CC2324" t="s">
        <v>199</v>
      </c>
      <c r="CD2324">
        <v>6001</v>
      </c>
      <c r="CE2324" t="s">
        <v>109</v>
      </c>
      <c r="CF2324" s="3">
        <v>45887</v>
      </c>
      <c r="CI2324">
        <v>1</v>
      </c>
      <c r="CJ2324">
        <v>1</v>
      </c>
      <c r="CK2324">
        <v>21</v>
      </c>
      <c r="CL2324" t="s">
        <v>90</v>
      </c>
    </row>
    <row r="2325" spans="1:90" x14ac:dyDescent="0.3">
      <c r="A2325" t="s">
        <v>72</v>
      </c>
      <c r="B2325" t="s">
        <v>73</v>
      </c>
      <c r="C2325" t="s">
        <v>74</v>
      </c>
      <c r="E2325" t="str">
        <f>"080067263968"</f>
        <v>080067263968</v>
      </c>
      <c r="F2325" s="3">
        <v>45884</v>
      </c>
      <c r="G2325">
        <v>202605</v>
      </c>
      <c r="H2325" t="s">
        <v>75</v>
      </c>
      <c r="I2325" t="s">
        <v>76</v>
      </c>
      <c r="J2325" t="s">
        <v>77</v>
      </c>
      <c r="K2325" t="s">
        <v>78</v>
      </c>
      <c r="L2325" t="s">
        <v>123</v>
      </c>
      <c r="M2325" t="s">
        <v>124</v>
      </c>
      <c r="N2325" t="s">
        <v>1416</v>
      </c>
      <c r="O2325" t="s">
        <v>82</v>
      </c>
      <c r="P2325" t="str">
        <f>"4170054968                    "</f>
        <v xml:space="preserve">4170054968                    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0</v>
      </c>
      <c r="AI2325">
        <v>0</v>
      </c>
      <c r="AJ2325">
        <v>0</v>
      </c>
      <c r="AK2325">
        <v>0</v>
      </c>
      <c r="AL2325">
        <v>0</v>
      </c>
      <c r="AM2325">
        <v>0</v>
      </c>
      <c r="AN2325">
        <v>0</v>
      </c>
      <c r="AO2325">
        <v>0</v>
      </c>
      <c r="AP2325">
        <v>0</v>
      </c>
      <c r="AQ2325">
        <v>23.09</v>
      </c>
      <c r="AR2325">
        <v>0</v>
      </c>
      <c r="AS2325">
        <v>0</v>
      </c>
      <c r="AT2325">
        <v>0</v>
      </c>
      <c r="AU2325">
        <v>0</v>
      </c>
      <c r="AV2325">
        <v>0</v>
      </c>
      <c r="AW2325">
        <v>0</v>
      </c>
      <c r="AX2325">
        <v>0</v>
      </c>
      <c r="AY2325">
        <v>0</v>
      </c>
      <c r="AZ2325">
        <v>0</v>
      </c>
      <c r="BA2325">
        <v>0</v>
      </c>
      <c r="BB2325">
        <v>0</v>
      </c>
      <c r="BC2325">
        <v>0</v>
      </c>
      <c r="BD2325">
        <v>0</v>
      </c>
      <c r="BE2325">
        <v>0</v>
      </c>
      <c r="BF2325">
        <v>0</v>
      </c>
      <c r="BG2325">
        <v>0</v>
      </c>
      <c r="BH2325">
        <v>1</v>
      </c>
      <c r="BI2325">
        <v>1</v>
      </c>
      <c r="BJ2325">
        <v>0.2</v>
      </c>
      <c r="BK2325">
        <v>1</v>
      </c>
      <c r="BL2325">
        <v>71.69</v>
      </c>
      <c r="BM2325">
        <v>10.75</v>
      </c>
      <c r="BN2325">
        <v>82.44</v>
      </c>
      <c r="BO2325">
        <v>82.44</v>
      </c>
      <c r="BQ2325" t="s">
        <v>1417</v>
      </c>
      <c r="BR2325" t="s">
        <v>84</v>
      </c>
      <c r="BS2325" s="3">
        <v>45887</v>
      </c>
      <c r="BT2325" s="4">
        <v>0.44444444444444442</v>
      </c>
      <c r="BU2325" t="s">
        <v>2802</v>
      </c>
      <c r="BV2325" t="s">
        <v>90</v>
      </c>
      <c r="BW2325" t="s">
        <v>773</v>
      </c>
      <c r="BX2325" t="s">
        <v>1402</v>
      </c>
      <c r="BY2325">
        <v>1200</v>
      </c>
      <c r="CA2325" t="s">
        <v>1238</v>
      </c>
      <c r="CC2325" t="s">
        <v>124</v>
      </c>
      <c r="CD2325">
        <v>7480</v>
      </c>
      <c r="CE2325" t="s">
        <v>109</v>
      </c>
      <c r="CF2325" s="3">
        <v>45888</v>
      </c>
      <c r="CI2325">
        <v>1</v>
      </c>
      <c r="CJ2325">
        <v>1</v>
      </c>
      <c r="CK2325">
        <v>21</v>
      </c>
      <c r="CL2325" t="s">
        <v>90</v>
      </c>
    </row>
    <row r="2326" spans="1:90" x14ac:dyDescent="0.3">
      <c r="A2326" t="s">
        <v>72</v>
      </c>
      <c r="B2326" t="s">
        <v>73</v>
      </c>
      <c r="C2326" t="s">
        <v>74</v>
      </c>
      <c r="E2326" t="str">
        <f>"080067263987"</f>
        <v>080067263987</v>
      </c>
      <c r="F2326" s="3">
        <v>45884</v>
      </c>
      <c r="G2326">
        <v>202605</v>
      </c>
      <c r="H2326" t="s">
        <v>75</v>
      </c>
      <c r="I2326" t="s">
        <v>76</v>
      </c>
      <c r="J2326" t="s">
        <v>77</v>
      </c>
      <c r="K2326" t="s">
        <v>78</v>
      </c>
      <c r="L2326" t="s">
        <v>319</v>
      </c>
      <c r="M2326" t="s">
        <v>320</v>
      </c>
      <c r="N2326" t="s">
        <v>321</v>
      </c>
      <c r="O2326" t="s">
        <v>82</v>
      </c>
      <c r="P2326" t="str">
        <f>"4170055088                    "</f>
        <v xml:space="preserve">4170055088                    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0</v>
      </c>
      <c r="AI2326">
        <v>0</v>
      </c>
      <c r="AJ2326">
        <v>0</v>
      </c>
      <c r="AK2326">
        <v>0</v>
      </c>
      <c r="AL2326">
        <v>0</v>
      </c>
      <c r="AM2326">
        <v>0</v>
      </c>
      <c r="AN2326">
        <v>0</v>
      </c>
      <c r="AO2326">
        <v>0</v>
      </c>
      <c r="AP2326">
        <v>0</v>
      </c>
      <c r="AQ2326">
        <v>266.89</v>
      </c>
      <c r="AR2326">
        <v>0</v>
      </c>
      <c r="AS2326">
        <v>0</v>
      </c>
      <c r="AT2326">
        <v>0</v>
      </c>
      <c r="AU2326">
        <v>0</v>
      </c>
      <c r="AV2326">
        <v>0</v>
      </c>
      <c r="AW2326">
        <v>0</v>
      </c>
      <c r="AX2326">
        <v>0</v>
      </c>
      <c r="AY2326">
        <v>0</v>
      </c>
      <c r="AZ2326">
        <v>0</v>
      </c>
      <c r="BA2326">
        <v>0</v>
      </c>
      <c r="BB2326">
        <v>0</v>
      </c>
      <c r="BC2326">
        <v>0</v>
      </c>
      <c r="BD2326">
        <v>0</v>
      </c>
      <c r="BE2326">
        <v>0</v>
      </c>
      <c r="BF2326">
        <v>0</v>
      </c>
      <c r="BG2326">
        <v>0</v>
      </c>
      <c r="BH2326">
        <v>2</v>
      </c>
      <c r="BI2326">
        <v>10</v>
      </c>
      <c r="BJ2326">
        <v>12.7</v>
      </c>
      <c r="BK2326">
        <v>13</v>
      </c>
      <c r="BL2326">
        <v>828.77</v>
      </c>
      <c r="BM2326">
        <v>124.32</v>
      </c>
      <c r="BN2326">
        <v>953.09</v>
      </c>
      <c r="BO2326">
        <v>953.09</v>
      </c>
      <c r="BQ2326" t="s">
        <v>322</v>
      </c>
      <c r="BR2326" t="s">
        <v>84</v>
      </c>
      <c r="BS2326" s="3">
        <v>45887</v>
      </c>
      <c r="BT2326" s="4">
        <v>0.52986111111111112</v>
      </c>
      <c r="BU2326" t="s">
        <v>1094</v>
      </c>
      <c r="BV2326" t="s">
        <v>86</v>
      </c>
      <c r="BY2326">
        <v>63477</v>
      </c>
      <c r="CA2326" t="s">
        <v>324</v>
      </c>
      <c r="CC2326" t="s">
        <v>320</v>
      </c>
      <c r="CD2326">
        <v>2531</v>
      </c>
      <c r="CE2326" t="s">
        <v>117</v>
      </c>
      <c r="CI2326">
        <v>1</v>
      </c>
      <c r="CJ2326">
        <v>1</v>
      </c>
      <c r="CK2326">
        <v>23</v>
      </c>
      <c r="CL2326" t="s">
        <v>90</v>
      </c>
    </row>
    <row r="2327" spans="1:90" x14ac:dyDescent="0.3">
      <c r="A2327" t="s">
        <v>72</v>
      </c>
      <c r="B2327" t="s">
        <v>73</v>
      </c>
      <c r="C2327" t="s">
        <v>74</v>
      </c>
      <c r="E2327" t="str">
        <f>"080067263997"</f>
        <v>080067263997</v>
      </c>
      <c r="F2327" s="3">
        <v>45884</v>
      </c>
      <c r="G2327">
        <v>202605</v>
      </c>
      <c r="H2327" t="s">
        <v>75</v>
      </c>
      <c r="I2327" t="s">
        <v>76</v>
      </c>
      <c r="J2327" t="s">
        <v>77</v>
      </c>
      <c r="K2327" t="s">
        <v>78</v>
      </c>
      <c r="L2327" t="s">
        <v>2430</v>
      </c>
      <c r="M2327" t="s">
        <v>2431</v>
      </c>
      <c r="N2327" t="s">
        <v>2432</v>
      </c>
      <c r="O2327" t="s">
        <v>82</v>
      </c>
      <c r="P2327" t="str">
        <f>"4170055096                    "</f>
        <v xml:space="preserve">4170055096                    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0</v>
      </c>
      <c r="AI2327">
        <v>0</v>
      </c>
      <c r="AJ2327">
        <v>0</v>
      </c>
      <c r="AK2327">
        <v>0</v>
      </c>
      <c r="AL2327">
        <v>0</v>
      </c>
      <c r="AM2327">
        <v>0</v>
      </c>
      <c r="AN2327">
        <v>0</v>
      </c>
      <c r="AO2327">
        <v>0</v>
      </c>
      <c r="AP2327">
        <v>0</v>
      </c>
      <c r="AQ2327">
        <v>32.47</v>
      </c>
      <c r="AR2327">
        <v>0</v>
      </c>
      <c r="AS2327">
        <v>0</v>
      </c>
      <c r="AT2327">
        <v>0</v>
      </c>
      <c r="AU2327">
        <v>0</v>
      </c>
      <c r="AV2327">
        <v>0</v>
      </c>
      <c r="AW2327">
        <v>0</v>
      </c>
      <c r="AX2327">
        <v>0</v>
      </c>
      <c r="AY2327">
        <v>0</v>
      </c>
      <c r="AZ2327">
        <v>0</v>
      </c>
      <c r="BA2327">
        <v>0</v>
      </c>
      <c r="BB2327">
        <v>0</v>
      </c>
      <c r="BC2327">
        <v>0</v>
      </c>
      <c r="BD2327">
        <v>0</v>
      </c>
      <c r="BE2327">
        <v>0</v>
      </c>
      <c r="BF2327">
        <v>0</v>
      </c>
      <c r="BG2327">
        <v>0</v>
      </c>
      <c r="BH2327">
        <v>1</v>
      </c>
      <c r="BI2327">
        <v>1</v>
      </c>
      <c r="BJ2327">
        <v>0.2</v>
      </c>
      <c r="BK2327">
        <v>1</v>
      </c>
      <c r="BL2327">
        <v>100.82</v>
      </c>
      <c r="BM2327">
        <v>15.12</v>
      </c>
      <c r="BN2327">
        <v>115.94</v>
      </c>
      <c r="BO2327">
        <v>115.94</v>
      </c>
      <c r="BQ2327" t="s">
        <v>2433</v>
      </c>
      <c r="BR2327" t="s">
        <v>84</v>
      </c>
      <c r="BS2327" s="3">
        <v>45887</v>
      </c>
      <c r="BT2327" s="4">
        <v>0.39097222222222222</v>
      </c>
      <c r="BU2327" t="s">
        <v>2434</v>
      </c>
      <c r="BV2327" t="s">
        <v>86</v>
      </c>
      <c r="BY2327">
        <v>1200</v>
      </c>
      <c r="CA2327" t="s">
        <v>2435</v>
      </c>
      <c r="CC2327" t="s">
        <v>2431</v>
      </c>
      <c r="CD2327">
        <v>2410</v>
      </c>
      <c r="CE2327" t="s">
        <v>109</v>
      </c>
      <c r="CF2327" s="3">
        <v>45887</v>
      </c>
      <c r="CI2327">
        <v>1</v>
      </c>
      <c r="CJ2327">
        <v>1</v>
      </c>
      <c r="CK2327">
        <v>24</v>
      </c>
      <c r="CL2327" t="s">
        <v>90</v>
      </c>
    </row>
    <row r="2328" spans="1:90" x14ac:dyDescent="0.3">
      <c r="A2328" t="s">
        <v>72</v>
      </c>
      <c r="B2328" t="s">
        <v>73</v>
      </c>
      <c r="C2328" t="s">
        <v>74</v>
      </c>
      <c r="E2328" t="str">
        <f>"080067264033"</f>
        <v>080067264033</v>
      </c>
      <c r="F2328" s="3">
        <v>45884</v>
      </c>
      <c r="G2328">
        <v>202605</v>
      </c>
      <c r="H2328" t="s">
        <v>75</v>
      </c>
      <c r="I2328" t="s">
        <v>76</v>
      </c>
      <c r="J2328" t="s">
        <v>77</v>
      </c>
      <c r="K2328" t="s">
        <v>78</v>
      </c>
      <c r="L2328" t="s">
        <v>520</v>
      </c>
      <c r="M2328" t="s">
        <v>521</v>
      </c>
      <c r="N2328" t="s">
        <v>2803</v>
      </c>
      <c r="O2328" t="s">
        <v>82</v>
      </c>
      <c r="P2328" t="str">
        <f>"4170055094                    "</f>
        <v xml:space="preserve">4170055094                    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0</v>
      </c>
      <c r="AI2328">
        <v>0</v>
      </c>
      <c r="AJ2328">
        <v>0</v>
      </c>
      <c r="AK2328">
        <v>0</v>
      </c>
      <c r="AL2328">
        <v>0</v>
      </c>
      <c r="AM2328">
        <v>0</v>
      </c>
      <c r="AN2328">
        <v>0</v>
      </c>
      <c r="AO2328">
        <v>0</v>
      </c>
      <c r="AP2328">
        <v>0</v>
      </c>
      <c r="AQ2328">
        <v>44.73</v>
      </c>
      <c r="AR2328">
        <v>0</v>
      </c>
      <c r="AS2328">
        <v>0</v>
      </c>
      <c r="AT2328">
        <v>0</v>
      </c>
      <c r="AU2328">
        <v>0</v>
      </c>
      <c r="AV2328">
        <v>0</v>
      </c>
      <c r="AW2328">
        <v>0</v>
      </c>
      <c r="AX2328">
        <v>0</v>
      </c>
      <c r="AY2328">
        <v>0</v>
      </c>
      <c r="AZ2328">
        <v>0</v>
      </c>
      <c r="BA2328">
        <v>0</v>
      </c>
      <c r="BB2328">
        <v>0</v>
      </c>
      <c r="BC2328">
        <v>0</v>
      </c>
      <c r="BD2328">
        <v>0</v>
      </c>
      <c r="BE2328">
        <v>0</v>
      </c>
      <c r="BF2328">
        <v>0</v>
      </c>
      <c r="BG2328">
        <v>0</v>
      </c>
      <c r="BH2328">
        <v>1</v>
      </c>
      <c r="BI2328">
        <v>1</v>
      </c>
      <c r="BJ2328">
        <v>0.2</v>
      </c>
      <c r="BK2328">
        <v>1</v>
      </c>
      <c r="BL2328">
        <v>138.88999999999999</v>
      </c>
      <c r="BM2328">
        <v>20.83</v>
      </c>
      <c r="BN2328">
        <v>159.72</v>
      </c>
      <c r="BO2328">
        <v>159.72</v>
      </c>
      <c r="BQ2328" t="s">
        <v>2804</v>
      </c>
      <c r="BR2328" t="s">
        <v>84</v>
      </c>
      <c r="BS2328" s="3">
        <v>45887</v>
      </c>
      <c r="BT2328" s="4">
        <v>0.4375</v>
      </c>
      <c r="BU2328" t="s">
        <v>2805</v>
      </c>
      <c r="BV2328" t="s">
        <v>86</v>
      </c>
      <c r="BY2328">
        <v>1200</v>
      </c>
      <c r="CA2328" t="s">
        <v>525</v>
      </c>
      <c r="CC2328" t="s">
        <v>521</v>
      </c>
      <c r="CD2328">
        <v>1873</v>
      </c>
      <c r="CE2328" t="s">
        <v>109</v>
      </c>
      <c r="CI2328">
        <v>1</v>
      </c>
      <c r="CJ2328">
        <v>1</v>
      </c>
      <c r="CK2328">
        <v>23</v>
      </c>
      <c r="CL2328" t="s">
        <v>90</v>
      </c>
    </row>
    <row r="2329" spans="1:90" x14ac:dyDescent="0.3">
      <c r="A2329" t="s">
        <v>72</v>
      </c>
      <c r="B2329" t="s">
        <v>73</v>
      </c>
      <c r="C2329" t="s">
        <v>74</v>
      </c>
      <c r="E2329" t="str">
        <f>"080067264057"</f>
        <v>080067264057</v>
      </c>
      <c r="F2329" s="3">
        <v>45884</v>
      </c>
      <c r="G2329">
        <v>202605</v>
      </c>
      <c r="H2329" t="s">
        <v>75</v>
      </c>
      <c r="I2329" t="s">
        <v>76</v>
      </c>
      <c r="J2329" t="s">
        <v>77</v>
      </c>
      <c r="K2329" t="s">
        <v>78</v>
      </c>
      <c r="L2329" t="s">
        <v>229</v>
      </c>
      <c r="M2329" t="s">
        <v>230</v>
      </c>
      <c r="N2329" t="s">
        <v>231</v>
      </c>
      <c r="O2329" t="s">
        <v>82</v>
      </c>
      <c r="P2329" t="str">
        <f>"4170055103                    "</f>
        <v xml:space="preserve">4170055103                    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0</v>
      </c>
      <c r="AI2329">
        <v>0</v>
      </c>
      <c r="AJ2329">
        <v>0</v>
      </c>
      <c r="AK2329">
        <v>0</v>
      </c>
      <c r="AL2329">
        <v>0</v>
      </c>
      <c r="AM2329">
        <v>0</v>
      </c>
      <c r="AN2329">
        <v>0</v>
      </c>
      <c r="AO2329">
        <v>0</v>
      </c>
      <c r="AP2329">
        <v>0</v>
      </c>
      <c r="AQ2329">
        <v>44.73</v>
      </c>
      <c r="AR2329">
        <v>0</v>
      </c>
      <c r="AS2329">
        <v>0</v>
      </c>
      <c r="AT2329">
        <v>0</v>
      </c>
      <c r="AU2329">
        <v>0</v>
      </c>
      <c r="AV2329">
        <v>0</v>
      </c>
      <c r="AW2329">
        <v>0</v>
      </c>
      <c r="AX2329">
        <v>0</v>
      </c>
      <c r="AY2329">
        <v>0</v>
      </c>
      <c r="AZ2329">
        <v>0</v>
      </c>
      <c r="BA2329">
        <v>0</v>
      </c>
      <c r="BB2329">
        <v>0</v>
      </c>
      <c r="BC2329">
        <v>0</v>
      </c>
      <c r="BD2329">
        <v>0</v>
      </c>
      <c r="BE2329">
        <v>0</v>
      </c>
      <c r="BF2329">
        <v>0</v>
      </c>
      <c r="BG2329">
        <v>0</v>
      </c>
      <c r="BH2329">
        <v>1</v>
      </c>
      <c r="BI2329">
        <v>1</v>
      </c>
      <c r="BJ2329">
        <v>0.2</v>
      </c>
      <c r="BK2329">
        <v>1</v>
      </c>
      <c r="BL2329">
        <v>138.88999999999999</v>
      </c>
      <c r="BM2329">
        <v>20.83</v>
      </c>
      <c r="BN2329">
        <v>159.72</v>
      </c>
      <c r="BO2329">
        <v>159.72</v>
      </c>
      <c r="BQ2329" t="s">
        <v>232</v>
      </c>
      <c r="BR2329" t="s">
        <v>84</v>
      </c>
      <c r="BS2329" s="3">
        <v>45887</v>
      </c>
      <c r="BT2329" s="4">
        <v>0.375</v>
      </c>
      <c r="BU2329" t="s">
        <v>233</v>
      </c>
      <c r="BV2329" t="s">
        <v>86</v>
      </c>
      <c r="BY2329">
        <v>1200</v>
      </c>
      <c r="CC2329" t="s">
        <v>230</v>
      </c>
      <c r="CD2329">
        <v>2740</v>
      </c>
      <c r="CE2329" t="s">
        <v>109</v>
      </c>
      <c r="CI2329">
        <v>1</v>
      </c>
      <c r="CJ2329">
        <v>1</v>
      </c>
      <c r="CK2329">
        <v>23</v>
      </c>
      <c r="CL2329" t="s">
        <v>90</v>
      </c>
    </row>
    <row r="2330" spans="1:90" x14ac:dyDescent="0.3">
      <c r="A2330" t="s">
        <v>72</v>
      </c>
      <c r="B2330" t="s">
        <v>73</v>
      </c>
      <c r="C2330" t="s">
        <v>74</v>
      </c>
      <c r="E2330" t="str">
        <f>"080067264066"</f>
        <v>080067264066</v>
      </c>
      <c r="F2330" s="3">
        <v>45884</v>
      </c>
      <c r="G2330">
        <v>202605</v>
      </c>
      <c r="H2330" t="s">
        <v>75</v>
      </c>
      <c r="I2330" t="s">
        <v>76</v>
      </c>
      <c r="J2330" t="s">
        <v>77</v>
      </c>
      <c r="K2330" t="s">
        <v>78</v>
      </c>
      <c r="L2330" t="s">
        <v>241</v>
      </c>
      <c r="M2330" t="s">
        <v>242</v>
      </c>
      <c r="N2330" t="s">
        <v>2806</v>
      </c>
      <c r="O2330" t="s">
        <v>113</v>
      </c>
      <c r="P2330" t="str">
        <f>"4170054932                    "</f>
        <v xml:space="preserve">4170054932                    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0</v>
      </c>
      <c r="AI2330">
        <v>0</v>
      </c>
      <c r="AJ2330">
        <v>0</v>
      </c>
      <c r="AK2330">
        <v>0</v>
      </c>
      <c r="AL2330">
        <v>0</v>
      </c>
      <c r="AM2330">
        <v>0</v>
      </c>
      <c r="AN2330">
        <v>0</v>
      </c>
      <c r="AO2330">
        <v>0</v>
      </c>
      <c r="AP2330">
        <v>0</v>
      </c>
      <c r="AQ2330">
        <v>34.22</v>
      </c>
      <c r="AR2330">
        <v>0</v>
      </c>
      <c r="AS2330">
        <v>0</v>
      </c>
      <c r="AT2330">
        <v>0</v>
      </c>
      <c r="AU2330">
        <v>0</v>
      </c>
      <c r="AV2330">
        <v>0</v>
      </c>
      <c r="AW2330">
        <v>0</v>
      </c>
      <c r="AX2330">
        <v>0</v>
      </c>
      <c r="AY2330">
        <v>0</v>
      </c>
      <c r="AZ2330">
        <v>0</v>
      </c>
      <c r="BA2330">
        <v>0</v>
      </c>
      <c r="BB2330">
        <v>0</v>
      </c>
      <c r="BC2330">
        <v>0</v>
      </c>
      <c r="BD2330">
        <v>0</v>
      </c>
      <c r="BE2330">
        <v>0</v>
      </c>
      <c r="BF2330">
        <v>0</v>
      </c>
      <c r="BG2330">
        <v>0</v>
      </c>
      <c r="BH2330">
        <v>1</v>
      </c>
      <c r="BI2330">
        <v>16</v>
      </c>
      <c r="BJ2330">
        <v>3.4</v>
      </c>
      <c r="BK2330">
        <v>16</v>
      </c>
      <c r="BL2330">
        <v>106.27</v>
      </c>
      <c r="BM2330">
        <v>15.94</v>
      </c>
      <c r="BN2330">
        <v>122.21</v>
      </c>
      <c r="BO2330">
        <v>122.21</v>
      </c>
      <c r="BQ2330" t="s">
        <v>2807</v>
      </c>
      <c r="BR2330" t="s">
        <v>84</v>
      </c>
      <c r="BS2330" s="3">
        <v>45887</v>
      </c>
      <c r="BT2330" s="4">
        <v>0.44097222222222221</v>
      </c>
      <c r="BU2330" t="s">
        <v>2808</v>
      </c>
      <c r="BV2330" t="s">
        <v>86</v>
      </c>
      <c r="BY2330">
        <v>16965</v>
      </c>
      <c r="CA2330" t="s">
        <v>576</v>
      </c>
      <c r="CC2330" t="s">
        <v>242</v>
      </c>
      <c r="CD2330">
        <v>1459</v>
      </c>
      <c r="CE2330" t="s">
        <v>147</v>
      </c>
      <c r="CF2330" s="3">
        <v>45887</v>
      </c>
      <c r="CI2330">
        <v>1</v>
      </c>
      <c r="CJ2330">
        <v>1</v>
      </c>
      <c r="CK2330">
        <v>32</v>
      </c>
      <c r="CL2330" t="s">
        <v>90</v>
      </c>
    </row>
    <row r="2331" spans="1:90" x14ac:dyDescent="0.3">
      <c r="A2331" t="s">
        <v>72</v>
      </c>
      <c r="B2331" t="s">
        <v>73</v>
      </c>
      <c r="C2331" t="s">
        <v>74</v>
      </c>
      <c r="E2331" t="str">
        <f>"080067264076"</f>
        <v>080067264076</v>
      </c>
      <c r="F2331" s="3">
        <v>45884</v>
      </c>
      <c r="G2331">
        <v>202605</v>
      </c>
      <c r="H2331" t="s">
        <v>75</v>
      </c>
      <c r="I2331" t="s">
        <v>76</v>
      </c>
      <c r="J2331" t="s">
        <v>77</v>
      </c>
      <c r="K2331" t="s">
        <v>78</v>
      </c>
      <c r="L2331" t="s">
        <v>198</v>
      </c>
      <c r="M2331" t="s">
        <v>199</v>
      </c>
      <c r="N2331" t="s">
        <v>955</v>
      </c>
      <c r="O2331" t="s">
        <v>82</v>
      </c>
      <c r="P2331" t="str">
        <f>"4170055153                    "</f>
        <v xml:space="preserve">4170055153                    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0</v>
      </c>
      <c r="AL2331">
        <v>0</v>
      </c>
      <c r="AM2331">
        <v>0</v>
      </c>
      <c r="AN2331">
        <v>0</v>
      </c>
      <c r="AO2331">
        <v>0</v>
      </c>
      <c r="AP2331">
        <v>0</v>
      </c>
      <c r="AQ2331">
        <v>23.09</v>
      </c>
      <c r="AR2331">
        <v>0</v>
      </c>
      <c r="AS2331">
        <v>0</v>
      </c>
      <c r="AT2331">
        <v>0</v>
      </c>
      <c r="AU2331">
        <v>0</v>
      </c>
      <c r="AV2331">
        <v>0</v>
      </c>
      <c r="AW2331">
        <v>0</v>
      </c>
      <c r="AX2331">
        <v>0</v>
      </c>
      <c r="AY2331">
        <v>0</v>
      </c>
      <c r="AZ2331">
        <v>0</v>
      </c>
      <c r="BA2331">
        <v>0</v>
      </c>
      <c r="BB2331">
        <v>0</v>
      </c>
      <c r="BC2331">
        <v>0</v>
      </c>
      <c r="BD2331">
        <v>0</v>
      </c>
      <c r="BE2331">
        <v>0</v>
      </c>
      <c r="BF2331">
        <v>0</v>
      </c>
      <c r="BG2331">
        <v>0</v>
      </c>
      <c r="BH2331">
        <v>1</v>
      </c>
      <c r="BI2331">
        <v>1</v>
      </c>
      <c r="BJ2331">
        <v>0.2</v>
      </c>
      <c r="BK2331">
        <v>1</v>
      </c>
      <c r="BL2331">
        <v>71.69</v>
      </c>
      <c r="BM2331">
        <v>10.75</v>
      </c>
      <c r="BN2331">
        <v>82.44</v>
      </c>
      <c r="BO2331">
        <v>82.44</v>
      </c>
      <c r="BQ2331" t="s">
        <v>956</v>
      </c>
      <c r="BR2331" t="s">
        <v>84</v>
      </c>
      <c r="BS2331" s="3">
        <v>45887</v>
      </c>
      <c r="BT2331" s="4">
        <v>0.40833333333333333</v>
      </c>
      <c r="BU2331" t="s">
        <v>2809</v>
      </c>
      <c r="BV2331" t="s">
        <v>86</v>
      </c>
      <c r="BY2331">
        <v>1200</v>
      </c>
      <c r="CA2331" t="s">
        <v>2773</v>
      </c>
      <c r="CC2331" t="s">
        <v>199</v>
      </c>
      <c r="CD2331">
        <v>6012</v>
      </c>
      <c r="CE2331" t="s">
        <v>109</v>
      </c>
      <c r="CF2331" s="3">
        <v>45887</v>
      </c>
      <c r="CI2331">
        <v>1</v>
      </c>
      <c r="CJ2331">
        <v>1</v>
      </c>
      <c r="CK2331">
        <v>21</v>
      </c>
      <c r="CL2331" t="s">
        <v>90</v>
      </c>
    </row>
    <row r="2332" spans="1:90" x14ac:dyDescent="0.3">
      <c r="A2332" t="s">
        <v>72</v>
      </c>
      <c r="B2332" t="s">
        <v>73</v>
      </c>
      <c r="C2332" t="s">
        <v>74</v>
      </c>
      <c r="E2332" t="str">
        <f>"080067264109"</f>
        <v>080067264109</v>
      </c>
      <c r="F2332" s="3">
        <v>45884</v>
      </c>
      <c r="G2332">
        <v>202605</v>
      </c>
      <c r="H2332" t="s">
        <v>75</v>
      </c>
      <c r="I2332" t="s">
        <v>76</v>
      </c>
      <c r="J2332" t="s">
        <v>77</v>
      </c>
      <c r="K2332" t="s">
        <v>78</v>
      </c>
      <c r="L2332" t="s">
        <v>513</v>
      </c>
      <c r="M2332" t="s">
        <v>514</v>
      </c>
      <c r="N2332" t="s">
        <v>2810</v>
      </c>
      <c r="O2332" t="s">
        <v>82</v>
      </c>
      <c r="P2332" t="str">
        <f>"4170055080                    "</f>
        <v xml:space="preserve">4170055080                    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0</v>
      </c>
      <c r="AL2332">
        <v>0</v>
      </c>
      <c r="AM2332">
        <v>0</v>
      </c>
      <c r="AN2332">
        <v>0</v>
      </c>
      <c r="AO2332">
        <v>0</v>
      </c>
      <c r="AP2332">
        <v>0</v>
      </c>
      <c r="AQ2332">
        <v>64.92</v>
      </c>
      <c r="AR2332">
        <v>0</v>
      </c>
      <c r="AS2332">
        <v>0</v>
      </c>
      <c r="AT2332">
        <v>0</v>
      </c>
      <c r="AU2332">
        <v>0</v>
      </c>
      <c r="AV2332">
        <v>0</v>
      </c>
      <c r="AW2332">
        <v>0</v>
      </c>
      <c r="AX2332">
        <v>0</v>
      </c>
      <c r="AY2332">
        <v>0</v>
      </c>
      <c r="AZ2332">
        <v>0</v>
      </c>
      <c r="BA2332">
        <v>0</v>
      </c>
      <c r="BB2332">
        <v>0</v>
      </c>
      <c r="BC2332">
        <v>0</v>
      </c>
      <c r="BD2332">
        <v>0</v>
      </c>
      <c r="BE2332">
        <v>0</v>
      </c>
      <c r="BF2332">
        <v>0</v>
      </c>
      <c r="BG2332">
        <v>0</v>
      </c>
      <c r="BH2332">
        <v>1</v>
      </c>
      <c r="BI2332">
        <v>3</v>
      </c>
      <c r="BJ2332">
        <v>1.5</v>
      </c>
      <c r="BK2332">
        <v>3</v>
      </c>
      <c r="BL2332">
        <v>201.6</v>
      </c>
      <c r="BM2332">
        <v>30.24</v>
      </c>
      <c r="BN2332">
        <v>231.84</v>
      </c>
      <c r="BO2332">
        <v>231.84</v>
      </c>
      <c r="BQ2332" t="s">
        <v>2811</v>
      </c>
      <c r="BR2332" t="s">
        <v>84</v>
      </c>
      <c r="BS2332" s="3">
        <v>45887</v>
      </c>
      <c r="BT2332" s="4">
        <v>0.36319444444444443</v>
      </c>
      <c r="BU2332" t="s">
        <v>711</v>
      </c>
      <c r="BV2332" t="s">
        <v>86</v>
      </c>
      <c r="BY2332">
        <v>7308</v>
      </c>
      <c r="CA2332" t="s">
        <v>712</v>
      </c>
      <c r="CC2332" t="s">
        <v>514</v>
      </c>
      <c r="CD2332" s="5" t="s">
        <v>2571</v>
      </c>
      <c r="CE2332" t="s">
        <v>117</v>
      </c>
      <c r="CI2332">
        <v>1</v>
      </c>
      <c r="CJ2332">
        <v>1</v>
      </c>
      <c r="CK2332">
        <v>23</v>
      </c>
      <c r="CL2332" t="s">
        <v>90</v>
      </c>
    </row>
    <row r="2333" spans="1:90" x14ac:dyDescent="0.3">
      <c r="A2333" t="s">
        <v>72</v>
      </c>
      <c r="B2333" t="s">
        <v>73</v>
      </c>
      <c r="C2333" t="s">
        <v>74</v>
      </c>
      <c r="E2333" t="str">
        <f>"080067264130"</f>
        <v>080067264130</v>
      </c>
      <c r="F2333" s="3">
        <v>45884</v>
      </c>
      <c r="G2333">
        <v>202605</v>
      </c>
      <c r="H2333" t="s">
        <v>75</v>
      </c>
      <c r="I2333" t="s">
        <v>76</v>
      </c>
      <c r="J2333" t="s">
        <v>77</v>
      </c>
      <c r="K2333" t="s">
        <v>78</v>
      </c>
      <c r="L2333" t="s">
        <v>198</v>
      </c>
      <c r="M2333" t="s">
        <v>199</v>
      </c>
      <c r="N2333" t="s">
        <v>426</v>
      </c>
      <c r="O2333" t="s">
        <v>82</v>
      </c>
      <c r="P2333" t="str">
        <f>"4170055117                    "</f>
        <v xml:space="preserve">4170055117                    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0</v>
      </c>
      <c r="AI2333">
        <v>0</v>
      </c>
      <c r="AJ2333">
        <v>0</v>
      </c>
      <c r="AK2333">
        <v>0</v>
      </c>
      <c r="AL2333">
        <v>0</v>
      </c>
      <c r="AM2333">
        <v>0</v>
      </c>
      <c r="AN2333">
        <v>0</v>
      </c>
      <c r="AO2333">
        <v>0</v>
      </c>
      <c r="AP2333">
        <v>0</v>
      </c>
      <c r="AQ2333">
        <v>34.619999999999997</v>
      </c>
      <c r="AR2333">
        <v>0</v>
      </c>
      <c r="AS2333">
        <v>0</v>
      </c>
      <c r="AT2333">
        <v>0</v>
      </c>
      <c r="AU2333">
        <v>0</v>
      </c>
      <c r="AV2333">
        <v>0</v>
      </c>
      <c r="AW2333">
        <v>0</v>
      </c>
      <c r="AX2333">
        <v>0</v>
      </c>
      <c r="AY2333">
        <v>0</v>
      </c>
      <c r="AZ2333">
        <v>0</v>
      </c>
      <c r="BA2333">
        <v>0</v>
      </c>
      <c r="BB2333">
        <v>0</v>
      </c>
      <c r="BC2333">
        <v>0</v>
      </c>
      <c r="BD2333">
        <v>0</v>
      </c>
      <c r="BE2333">
        <v>0</v>
      </c>
      <c r="BF2333">
        <v>0</v>
      </c>
      <c r="BG2333">
        <v>0</v>
      </c>
      <c r="BH2333">
        <v>1</v>
      </c>
      <c r="BI2333">
        <v>3</v>
      </c>
      <c r="BJ2333">
        <v>1.8</v>
      </c>
      <c r="BK2333">
        <v>3</v>
      </c>
      <c r="BL2333">
        <v>107.5</v>
      </c>
      <c r="BM2333">
        <v>16.13</v>
      </c>
      <c r="BN2333">
        <v>123.63</v>
      </c>
      <c r="BO2333">
        <v>123.63</v>
      </c>
      <c r="BQ2333" t="s">
        <v>427</v>
      </c>
      <c r="BR2333" t="s">
        <v>84</v>
      </c>
      <c r="BS2333" s="3">
        <v>45887</v>
      </c>
      <c r="BT2333" s="4">
        <v>0.35555555555555557</v>
      </c>
      <c r="BU2333" t="s">
        <v>2812</v>
      </c>
      <c r="BV2333" t="s">
        <v>86</v>
      </c>
      <c r="BY2333">
        <v>9216</v>
      </c>
      <c r="CA2333" t="s">
        <v>2251</v>
      </c>
      <c r="CC2333" t="s">
        <v>199</v>
      </c>
      <c r="CD2333">
        <v>6045</v>
      </c>
      <c r="CE2333" t="s">
        <v>117</v>
      </c>
      <c r="CF2333" s="3">
        <v>45887</v>
      </c>
      <c r="CI2333">
        <v>1</v>
      </c>
      <c r="CJ2333">
        <v>1</v>
      </c>
      <c r="CK2333">
        <v>21</v>
      </c>
      <c r="CL2333" t="s">
        <v>90</v>
      </c>
    </row>
    <row r="2334" spans="1:90" x14ac:dyDescent="0.3">
      <c r="A2334" t="s">
        <v>72</v>
      </c>
      <c r="B2334" t="s">
        <v>73</v>
      </c>
      <c r="C2334" t="s">
        <v>74</v>
      </c>
      <c r="E2334" t="str">
        <f>"080067264291"</f>
        <v>080067264291</v>
      </c>
      <c r="F2334" s="3">
        <v>45884</v>
      </c>
      <c r="G2334">
        <v>202605</v>
      </c>
      <c r="H2334" t="s">
        <v>75</v>
      </c>
      <c r="I2334" t="s">
        <v>76</v>
      </c>
      <c r="J2334" t="s">
        <v>77</v>
      </c>
      <c r="K2334" t="s">
        <v>78</v>
      </c>
      <c r="L2334" t="s">
        <v>234</v>
      </c>
      <c r="M2334" t="s">
        <v>235</v>
      </c>
      <c r="N2334" t="s">
        <v>236</v>
      </c>
      <c r="O2334" t="s">
        <v>82</v>
      </c>
      <c r="P2334" t="str">
        <f>"4170055168                    "</f>
        <v xml:space="preserve">4170055168                    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0</v>
      </c>
      <c r="AI2334">
        <v>0</v>
      </c>
      <c r="AJ2334">
        <v>0</v>
      </c>
      <c r="AK2334">
        <v>0</v>
      </c>
      <c r="AL2334">
        <v>0</v>
      </c>
      <c r="AM2334">
        <v>0</v>
      </c>
      <c r="AN2334">
        <v>0</v>
      </c>
      <c r="AO2334">
        <v>0</v>
      </c>
      <c r="AP2334">
        <v>0</v>
      </c>
      <c r="AQ2334">
        <v>23.09</v>
      </c>
      <c r="AR2334">
        <v>0</v>
      </c>
      <c r="AS2334">
        <v>0</v>
      </c>
      <c r="AT2334">
        <v>0</v>
      </c>
      <c r="AU2334">
        <v>0</v>
      </c>
      <c r="AV2334">
        <v>0</v>
      </c>
      <c r="AW2334">
        <v>0</v>
      </c>
      <c r="AX2334">
        <v>0</v>
      </c>
      <c r="AY2334">
        <v>0</v>
      </c>
      <c r="AZ2334">
        <v>0</v>
      </c>
      <c r="BA2334">
        <v>0</v>
      </c>
      <c r="BB2334">
        <v>0</v>
      </c>
      <c r="BC2334">
        <v>0</v>
      </c>
      <c r="BD2334">
        <v>0</v>
      </c>
      <c r="BE2334">
        <v>0</v>
      </c>
      <c r="BF2334">
        <v>0</v>
      </c>
      <c r="BG2334">
        <v>0</v>
      </c>
      <c r="BH2334">
        <v>1</v>
      </c>
      <c r="BI2334">
        <v>2</v>
      </c>
      <c r="BJ2334">
        <v>1.2</v>
      </c>
      <c r="BK2334">
        <v>2</v>
      </c>
      <c r="BL2334">
        <v>71.69</v>
      </c>
      <c r="BM2334">
        <v>10.75</v>
      </c>
      <c r="BN2334">
        <v>82.44</v>
      </c>
      <c r="BO2334">
        <v>82.44</v>
      </c>
      <c r="BQ2334" t="s">
        <v>237</v>
      </c>
      <c r="BR2334" t="s">
        <v>84</v>
      </c>
      <c r="BS2334" s="3">
        <v>45887</v>
      </c>
      <c r="BT2334" s="4">
        <v>0.38541666666666669</v>
      </c>
      <c r="BU2334" t="s">
        <v>650</v>
      </c>
      <c r="BV2334" t="s">
        <v>86</v>
      </c>
      <c r="BY2334">
        <v>5880</v>
      </c>
      <c r="BZ2334" t="s">
        <v>330</v>
      </c>
      <c r="CA2334" t="s">
        <v>239</v>
      </c>
      <c r="CC2334" t="s">
        <v>235</v>
      </c>
      <c r="CD2334" s="5" t="s">
        <v>240</v>
      </c>
      <c r="CE2334" t="s">
        <v>117</v>
      </c>
      <c r="CF2334" s="3">
        <v>45887</v>
      </c>
      <c r="CI2334">
        <v>1</v>
      </c>
      <c r="CJ2334">
        <v>1</v>
      </c>
      <c r="CK2334">
        <v>21</v>
      </c>
      <c r="CL2334" t="s">
        <v>90</v>
      </c>
    </row>
    <row r="2335" spans="1:90" x14ac:dyDescent="0.3">
      <c r="A2335" t="s">
        <v>72</v>
      </c>
      <c r="B2335" t="s">
        <v>73</v>
      </c>
      <c r="C2335" t="s">
        <v>74</v>
      </c>
      <c r="E2335" t="str">
        <f>"080067264298"</f>
        <v>080067264298</v>
      </c>
      <c r="F2335" s="3">
        <v>45884</v>
      </c>
      <c r="G2335">
        <v>202605</v>
      </c>
      <c r="H2335" t="s">
        <v>75</v>
      </c>
      <c r="I2335" t="s">
        <v>76</v>
      </c>
      <c r="J2335" t="s">
        <v>77</v>
      </c>
      <c r="K2335" t="s">
        <v>78</v>
      </c>
      <c r="L2335" t="s">
        <v>137</v>
      </c>
      <c r="M2335" t="s">
        <v>138</v>
      </c>
      <c r="N2335" t="s">
        <v>2813</v>
      </c>
      <c r="O2335" t="s">
        <v>82</v>
      </c>
      <c r="P2335" t="str">
        <f>"4170055167                    "</f>
        <v xml:space="preserve">4170055167                    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</v>
      </c>
      <c r="AI2335">
        <v>0</v>
      </c>
      <c r="AJ2335">
        <v>0</v>
      </c>
      <c r="AK2335">
        <v>0</v>
      </c>
      <c r="AL2335">
        <v>0</v>
      </c>
      <c r="AM2335">
        <v>0</v>
      </c>
      <c r="AN2335">
        <v>0</v>
      </c>
      <c r="AO2335">
        <v>0</v>
      </c>
      <c r="AP2335">
        <v>0</v>
      </c>
      <c r="AQ2335">
        <v>23.09</v>
      </c>
      <c r="AR2335">
        <v>0</v>
      </c>
      <c r="AS2335">
        <v>0</v>
      </c>
      <c r="AT2335">
        <v>0</v>
      </c>
      <c r="AU2335">
        <v>0</v>
      </c>
      <c r="AV2335">
        <v>0</v>
      </c>
      <c r="AW2335">
        <v>0</v>
      </c>
      <c r="AX2335">
        <v>0</v>
      </c>
      <c r="AY2335">
        <v>0</v>
      </c>
      <c r="AZ2335">
        <v>0</v>
      </c>
      <c r="BA2335">
        <v>0</v>
      </c>
      <c r="BB2335">
        <v>0</v>
      </c>
      <c r="BC2335">
        <v>0</v>
      </c>
      <c r="BD2335">
        <v>0</v>
      </c>
      <c r="BE2335">
        <v>0</v>
      </c>
      <c r="BF2335">
        <v>0</v>
      </c>
      <c r="BG2335">
        <v>0</v>
      </c>
      <c r="BH2335">
        <v>1</v>
      </c>
      <c r="BI2335">
        <v>1</v>
      </c>
      <c r="BJ2335">
        <v>0.2</v>
      </c>
      <c r="BK2335">
        <v>1</v>
      </c>
      <c r="BL2335">
        <v>71.69</v>
      </c>
      <c r="BM2335">
        <v>10.75</v>
      </c>
      <c r="BN2335">
        <v>82.44</v>
      </c>
      <c r="BO2335">
        <v>82.44</v>
      </c>
      <c r="BQ2335" t="s">
        <v>2814</v>
      </c>
      <c r="BR2335" t="s">
        <v>84</v>
      </c>
      <c r="BS2335" s="3">
        <v>45887</v>
      </c>
      <c r="BT2335" s="4">
        <v>0.4375</v>
      </c>
      <c r="BU2335" t="s">
        <v>2815</v>
      </c>
      <c r="BV2335" t="s">
        <v>86</v>
      </c>
      <c r="BY2335">
        <v>1200</v>
      </c>
      <c r="BZ2335" t="s">
        <v>330</v>
      </c>
      <c r="CC2335" t="s">
        <v>138</v>
      </c>
      <c r="CD2335">
        <v>3610</v>
      </c>
      <c r="CE2335" t="s">
        <v>597</v>
      </c>
      <c r="CF2335" s="3">
        <v>45888</v>
      </c>
      <c r="CI2335">
        <v>1</v>
      </c>
      <c r="CJ2335">
        <v>1</v>
      </c>
      <c r="CK2335">
        <v>21</v>
      </c>
      <c r="CL2335" t="s">
        <v>90</v>
      </c>
    </row>
    <row r="2336" spans="1:90" x14ac:dyDescent="0.3">
      <c r="A2336" t="s">
        <v>72</v>
      </c>
      <c r="B2336" t="s">
        <v>73</v>
      </c>
      <c r="C2336" t="s">
        <v>74</v>
      </c>
      <c r="E2336" t="str">
        <f>"080067264311"</f>
        <v>080067264311</v>
      </c>
      <c r="F2336" s="3">
        <v>45884</v>
      </c>
      <c r="G2336">
        <v>202605</v>
      </c>
      <c r="H2336" t="s">
        <v>75</v>
      </c>
      <c r="I2336" t="s">
        <v>76</v>
      </c>
      <c r="J2336" t="s">
        <v>77</v>
      </c>
      <c r="K2336" t="s">
        <v>78</v>
      </c>
      <c r="L2336" t="s">
        <v>223</v>
      </c>
      <c r="M2336" t="s">
        <v>224</v>
      </c>
      <c r="N2336" t="s">
        <v>225</v>
      </c>
      <c r="O2336" t="s">
        <v>82</v>
      </c>
      <c r="P2336" t="str">
        <f>"4170055165                    "</f>
        <v xml:space="preserve">4170055165                    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0</v>
      </c>
      <c r="AI2336">
        <v>0</v>
      </c>
      <c r="AJ2336"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>
        <v>0</v>
      </c>
      <c r="AQ2336">
        <v>23.09</v>
      </c>
      <c r="AR2336">
        <v>0</v>
      </c>
      <c r="AS2336">
        <v>0</v>
      </c>
      <c r="AT2336">
        <v>0</v>
      </c>
      <c r="AU2336">
        <v>0</v>
      </c>
      <c r="AV2336">
        <v>0</v>
      </c>
      <c r="AW2336">
        <v>0</v>
      </c>
      <c r="AX2336">
        <v>0</v>
      </c>
      <c r="AY2336">
        <v>0</v>
      </c>
      <c r="AZ2336">
        <v>0</v>
      </c>
      <c r="BA2336">
        <v>0</v>
      </c>
      <c r="BB2336">
        <v>0</v>
      </c>
      <c r="BC2336">
        <v>0</v>
      </c>
      <c r="BD2336">
        <v>0</v>
      </c>
      <c r="BE2336">
        <v>0</v>
      </c>
      <c r="BF2336">
        <v>0</v>
      </c>
      <c r="BG2336">
        <v>0</v>
      </c>
      <c r="BH2336">
        <v>1</v>
      </c>
      <c r="BI2336">
        <v>1</v>
      </c>
      <c r="BJ2336">
        <v>0.2</v>
      </c>
      <c r="BK2336">
        <v>1</v>
      </c>
      <c r="BL2336">
        <v>71.69</v>
      </c>
      <c r="BM2336">
        <v>10.75</v>
      </c>
      <c r="BN2336">
        <v>82.44</v>
      </c>
      <c r="BO2336">
        <v>82.44</v>
      </c>
      <c r="BQ2336" t="s">
        <v>226</v>
      </c>
      <c r="BR2336" t="s">
        <v>84</v>
      </c>
      <c r="BS2336" s="3">
        <v>45887</v>
      </c>
      <c r="BT2336" s="4">
        <v>0.58958333333333335</v>
      </c>
      <c r="BU2336" t="s">
        <v>2764</v>
      </c>
      <c r="BV2336" t="s">
        <v>90</v>
      </c>
      <c r="BY2336">
        <v>1200</v>
      </c>
      <c r="BZ2336" t="s">
        <v>330</v>
      </c>
      <c r="CA2336" t="s">
        <v>228</v>
      </c>
      <c r="CC2336" t="s">
        <v>224</v>
      </c>
      <c r="CD2336">
        <v>5200</v>
      </c>
      <c r="CE2336" t="s">
        <v>597</v>
      </c>
      <c r="CI2336">
        <v>1</v>
      </c>
      <c r="CJ2336">
        <v>1</v>
      </c>
      <c r="CK2336">
        <v>21</v>
      </c>
      <c r="CL2336" t="s">
        <v>90</v>
      </c>
    </row>
    <row r="2337" spans="1:90" x14ac:dyDescent="0.3">
      <c r="A2337" t="s">
        <v>72</v>
      </c>
      <c r="B2337" t="s">
        <v>73</v>
      </c>
      <c r="C2337" t="s">
        <v>74</v>
      </c>
      <c r="E2337" t="str">
        <f>"080067264318"</f>
        <v>080067264318</v>
      </c>
      <c r="F2337" s="3">
        <v>45884</v>
      </c>
      <c r="G2337">
        <v>202605</v>
      </c>
      <c r="H2337" t="s">
        <v>75</v>
      </c>
      <c r="I2337" t="s">
        <v>76</v>
      </c>
      <c r="J2337" t="s">
        <v>77</v>
      </c>
      <c r="K2337" t="s">
        <v>78</v>
      </c>
      <c r="L2337" t="s">
        <v>278</v>
      </c>
      <c r="M2337" t="s">
        <v>279</v>
      </c>
      <c r="N2337" t="s">
        <v>285</v>
      </c>
      <c r="O2337" t="s">
        <v>95</v>
      </c>
      <c r="P2337" t="str">
        <f>"4170055111                    "</f>
        <v xml:space="preserve">4170055111                    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0</v>
      </c>
      <c r="AI2337">
        <v>0</v>
      </c>
      <c r="AJ2337">
        <v>0</v>
      </c>
      <c r="AK2337">
        <v>0</v>
      </c>
      <c r="AL2337">
        <v>0</v>
      </c>
      <c r="AM2337">
        <v>0</v>
      </c>
      <c r="AN2337">
        <v>0</v>
      </c>
      <c r="AO2337">
        <v>0</v>
      </c>
      <c r="AP2337">
        <v>0</v>
      </c>
      <c r="AQ2337">
        <v>74.13</v>
      </c>
      <c r="AR2337">
        <v>0</v>
      </c>
      <c r="AS2337">
        <v>0</v>
      </c>
      <c r="AT2337">
        <v>0</v>
      </c>
      <c r="AU2337">
        <v>0</v>
      </c>
      <c r="AV2337">
        <v>0</v>
      </c>
      <c r="AW2337">
        <v>0</v>
      </c>
      <c r="AX2337">
        <v>0</v>
      </c>
      <c r="AY2337">
        <v>0</v>
      </c>
      <c r="AZ2337">
        <v>0</v>
      </c>
      <c r="BA2337">
        <v>0</v>
      </c>
      <c r="BB2337">
        <v>0</v>
      </c>
      <c r="BC2337">
        <v>0</v>
      </c>
      <c r="BD2337">
        <v>0</v>
      </c>
      <c r="BE2337">
        <v>0</v>
      </c>
      <c r="BF2337">
        <v>0</v>
      </c>
      <c r="BG2337">
        <v>0</v>
      </c>
      <c r="BH2337">
        <v>1</v>
      </c>
      <c r="BI2337">
        <v>8</v>
      </c>
      <c r="BJ2337">
        <v>30.9</v>
      </c>
      <c r="BK2337">
        <v>31</v>
      </c>
      <c r="BL2337">
        <v>236.06</v>
      </c>
      <c r="BM2337">
        <v>35.409999999999997</v>
      </c>
      <c r="BN2337">
        <v>271.47000000000003</v>
      </c>
      <c r="BO2337">
        <v>271.47000000000003</v>
      </c>
      <c r="BQ2337" t="s">
        <v>286</v>
      </c>
      <c r="BR2337" t="s">
        <v>84</v>
      </c>
      <c r="BS2337" s="3">
        <v>45887</v>
      </c>
      <c r="BT2337" s="4">
        <v>0.36319444444444443</v>
      </c>
      <c r="BU2337" t="s">
        <v>2816</v>
      </c>
      <c r="BV2337" t="s">
        <v>86</v>
      </c>
      <c r="BY2337">
        <v>154560</v>
      </c>
      <c r="BZ2337" t="s">
        <v>100</v>
      </c>
      <c r="CA2337" t="s">
        <v>288</v>
      </c>
      <c r="CC2337" t="s">
        <v>279</v>
      </c>
      <c r="CD2337" s="5" t="s">
        <v>289</v>
      </c>
      <c r="CE2337" t="s">
        <v>89</v>
      </c>
      <c r="CF2337" s="3">
        <v>45887</v>
      </c>
      <c r="CI2337">
        <v>1</v>
      </c>
      <c r="CJ2337">
        <v>1</v>
      </c>
      <c r="CK2337">
        <v>41</v>
      </c>
      <c r="CL2337" t="s">
        <v>90</v>
      </c>
    </row>
    <row r="2338" spans="1:90" x14ac:dyDescent="0.3">
      <c r="A2338" t="s">
        <v>72</v>
      </c>
      <c r="B2338" t="s">
        <v>73</v>
      </c>
      <c r="C2338" t="s">
        <v>74</v>
      </c>
      <c r="E2338" t="str">
        <f>"080067264333"</f>
        <v>080067264333</v>
      </c>
      <c r="F2338" s="3">
        <v>45884</v>
      </c>
      <c r="G2338">
        <v>202605</v>
      </c>
      <c r="H2338" t="s">
        <v>75</v>
      </c>
      <c r="I2338" t="s">
        <v>76</v>
      </c>
      <c r="J2338" t="s">
        <v>77</v>
      </c>
      <c r="K2338" t="s">
        <v>78</v>
      </c>
      <c r="L2338" t="s">
        <v>198</v>
      </c>
      <c r="M2338" t="s">
        <v>199</v>
      </c>
      <c r="N2338" t="s">
        <v>410</v>
      </c>
      <c r="O2338" t="s">
        <v>95</v>
      </c>
      <c r="P2338" t="str">
        <f>"4170055077                    "</f>
        <v xml:space="preserve">4170055077                    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0</v>
      </c>
      <c r="AL2338">
        <v>0</v>
      </c>
      <c r="AM2338">
        <v>0</v>
      </c>
      <c r="AN2338">
        <v>0</v>
      </c>
      <c r="AO2338">
        <v>0</v>
      </c>
      <c r="AP2338">
        <v>0</v>
      </c>
      <c r="AQ2338">
        <v>74.13</v>
      </c>
      <c r="AR2338">
        <v>0</v>
      </c>
      <c r="AS2338">
        <v>0</v>
      </c>
      <c r="AT2338">
        <v>0</v>
      </c>
      <c r="AU2338">
        <v>0</v>
      </c>
      <c r="AV2338">
        <v>0</v>
      </c>
      <c r="AW2338">
        <v>0</v>
      </c>
      <c r="AX2338">
        <v>0</v>
      </c>
      <c r="AY2338">
        <v>0</v>
      </c>
      <c r="AZ2338">
        <v>0</v>
      </c>
      <c r="BA2338">
        <v>0</v>
      </c>
      <c r="BB2338">
        <v>0</v>
      </c>
      <c r="BC2338">
        <v>0</v>
      </c>
      <c r="BD2338">
        <v>0</v>
      </c>
      <c r="BE2338">
        <v>0</v>
      </c>
      <c r="BF2338">
        <v>0</v>
      </c>
      <c r="BG2338">
        <v>0</v>
      </c>
      <c r="BH2338">
        <v>1</v>
      </c>
      <c r="BI2338">
        <v>10</v>
      </c>
      <c r="BJ2338">
        <v>30.9</v>
      </c>
      <c r="BK2338">
        <v>31</v>
      </c>
      <c r="BL2338">
        <v>236.06</v>
      </c>
      <c r="BM2338">
        <v>35.409999999999997</v>
      </c>
      <c r="BN2338">
        <v>271.47000000000003</v>
      </c>
      <c r="BO2338">
        <v>271.47000000000003</v>
      </c>
      <c r="BQ2338" t="s">
        <v>411</v>
      </c>
      <c r="BR2338" t="s">
        <v>84</v>
      </c>
      <c r="BS2338" s="3">
        <v>45887</v>
      </c>
      <c r="BT2338" s="4">
        <v>0.37986111111111109</v>
      </c>
      <c r="BU2338" t="s">
        <v>1411</v>
      </c>
      <c r="BV2338" t="s">
        <v>86</v>
      </c>
      <c r="BY2338">
        <v>154560</v>
      </c>
      <c r="CA2338" t="s">
        <v>413</v>
      </c>
      <c r="CC2338" t="s">
        <v>199</v>
      </c>
      <c r="CD2338">
        <v>6001</v>
      </c>
      <c r="CE2338" t="s">
        <v>147</v>
      </c>
      <c r="CF2338" s="3">
        <v>45887</v>
      </c>
      <c r="CI2338">
        <v>3</v>
      </c>
      <c r="CJ2338">
        <v>1</v>
      </c>
      <c r="CK2338">
        <v>41</v>
      </c>
      <c r="CL2338" t="s">
        <v>90</v>
      </c>
    </row>
    <row r="2339" spans="1:90" x14ac:dyDescent="0.3">
      <c r="A2339" t="s">
        <v>72</v>
      </c>
      <c r="B2339" t="s">
        <v>73</v>
      </c>
      <c r="C2339" t="s">
        <v>74</v>
      </c>
      <c r="E2339" t="str">
        <f>"080067264348"</f>
        <v>080067264348</v>
      </c>
      <c r="F2339" s="3">
        <v>45884</v>
      </c>
      <c r="G2339">
        <v>202605</v>
      </c>
      <c r="H2339" t="s">
        <v>75</v>
      </c>
      <c r="I2339" t="s">
        <v>76</v>
      </c>
      <c r="J2339" t="s">
        <v>77</v>
      </c>
      <c r="K2339" t="s">
        <v>78</v>
      </c>
      <c r="L2339" t="s">
        <v>349</v>
      </c>
      <c r="M2339" t="s">
        <v>350</v>
      </c>
      <c r="N2339" t="s">
        <v>1008</v>
      </c>
      <c r="O2339" t="s">
        <v>82</v>
      </c>
      <c r="P2339" t="str">
        <f>"4170055123                    "</f>
        <v xml:space="preserve">4170055123                    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0</v>
      </c>
      <c r="AI2339">
        <v>0</v>
      </c>
      <c r="AJ2339">
        <v>0</v>
      </c>
      <c r="AK2339">
        <v>0</v>
      </c>
      <c r="AL2339">
        <v>0</v>
      </c>
      <c r="AM2339">
        <v>0</v>
      </c>
      <c r="AN2339">
        <v>0</v>
      </c>
      <c r="AO2339">
        <v>0</v>
      </c>
      <c r="AP2339">
        <v>0</v>
      </c>
      <c r="AQ2339">
        <v>105.32</v>
      </c>
      <c r="AR2339">
        <v>0</v>
      </c>
      <c r="AS2339">
        <v>0</v>
      </c>
      <c r="AT2339">
        <v>0</v>
      </c>
      <c r="AU2339">
        <v>0</v>
      </c>
      <c r="AV2339">
        <v>0</v>
      </c>
      <c r="AW2339">
        <v>16.739999999999998</v>
      </c>
      <c r="AX2339">
        <v>0</v>
      </c>
      <c r="AY2339">
        <v>0</v>
      </c>
      <c r="AZ2339">
        <v>0</v>
      </c>
      <c r="BA2339">
        <v>0</v>
      </c>
      <c r="BB2339">
        <v>0</v>
      </c>
      <c r="BC2339">
        <v>0</v>
      </c>
      <c r="BD2339">
        <v>0</v>
      </c>
      <c r="BE2339">
        <v>0</v>
      </c>
      <c r="BF2339">
        <v>0</v>
      </c>
      <c r="BG2339">
        <v>0</v>
      </c>
      <c r="BH2339">
        <v>1</v>
      </c>
      <c r="BI2339">
        <v>2</v>
      </c>
      <c r="BJ2339">
        <v>5</v>
      </c>
      <c r="BK2339">
        <v>5</v>
      </c>
      <c r="BL2339">
        <v>343.78</v>
      </c>
      <c r="BM2339">
        <v>51.57</v>
      </c>
      <c r="BN2339">
        <v>395.35</v>
      </c>
      <c r="BO2339">
        <v>395.35</v>
      </c>
      <c r="BQ2339" t="s">
        <v>1009</v>
      </c>
      <c r="BR2339" t="s">
        <v>84</v>
      </c>
      <c r="BS2339" s="3">
        <v>45887</v>
      </c>
      <c r="BT2339" s="4">
        <v>0.6875</v>
      </c>
      <c r="BU2339" t="s">
        <v>1010</v>
      </c>
      <c r="BV2339" t="s">
        <v>86</v>
      </c>
      <c r="BY2339">
        <v>25088</v>
      </c>
      <c r="BZ2339" t="s">
        <v>30</v>
      </c>
      <c r="CA2339" t="s">
        <v>651</v>
      </c>
      <c r="CC2339" t="s">
        <v>350</v>
      </c>
      <c r="CD2339" s="5" t="s">
        <v>1011</v>
      </c>
      <c r="CE2339" t="s">
        <v>117</v>
      </c>
      <c r="CF2339" s="3">
        <v>45887</v>
      </c>
      <c r="CI2339">
        <v>1</v>
      </c>
      <c r="CJ2339">
        <v>1</v>
      </c>
      <c r="CK2339">
        <v>23</v>
      </c>
      <c r="CL2339" t="s">
        <v>90</v>
      </c>
    </row>
    <row r="2340" spans="1:90" x14ac:dyDescent="0.3">
      <c r="A2340" t="s">
        <v>72</v>
      </c>
      <c r="B2340" t="s">
        <v>73</v>
      </c>
      <c r="C2340" t="s">
        <v>74</v>
      </c>
      <c r="E2340" t="str">
        <f>"080067264433"</f>
        <v>080067264433</v>
      </c>
      <c r="F2340" s="3">
        <v>45884</v>
      </c>
      <c r="G2340">
        <v>202605</v>
      </c>
      <c r="H2340" t="s">
        <v>75</v>
      </c>
      <c r="I2340" t="s">
        <v>76</v>
      </c>
      <c r="J2340" t="s">
        <v>77</v>
      </c>
      <c r="K2340" t="s">
        <v>78</v>
      </c>
      <c r="L2340" t="s">
        <v>75</v>
      </c>
      <c r="M2340" t="s">
        <v>76</v>
      </c>
      <c r="N2340" t="s">
        <v>1020</v>
      </c>
      <c r="O2340" t="s">
        <v>82</v>
      </c>
      <c r="P2340" t="str">
        <f>"4170055138                    "</f>
        <v xml:space="preserve">4170055138                    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0</v>
      </c>
      <c r="AL2340">
        <v>0</v>
      </c>
      <c r="AM2340">
        <v>0</v>
      </c>
      <c r="AN2340">
        <v>0</v>
      </c>
      <c r="AO2340">
        <v>0</v>
      </c>
      <c r="AP2340">
        <v>0</v>
      </c>
      <c r="AQ2340">
        <v>18.03</v>
      </c>
      <c r="AR2340">
        <v>0</v>
      </c>
      <c r="AS2340">
        <v>0</v>
      </c>
      <c r="AT2340">
        <v>0</v>
      </c>
      <c r="AU2340">
        <v>0</v>
      </c>
      <c r="AV2340">
        <v>0</v>
      </c>
      <c r="AW2340">
        <v>0</v>
      </c>
      <c r="AX2340">
        <v>0</v>
      </c>
      <c r="AY2340">
        <v>0</v>
      </c>
      <c r="AZ2340">
        <v>0</v>
      </c>
      <c r="BA2340">
        <v>0</v>
      </c>
      <c r="BB2340">
        <v>0</v>
      </c>
      <c r="BC2340">
        <v>0</v>
      </c>
      <c r="BD2340">
        <v>0</v>
      </c>
      <c r="BE2340">
        <v>0</v>
      </c>
      <c r="BF2340">
        <v>0</v>
      </c>
      <c r="BG2340">
        <v>0</v>
      </c>
      <c r="BH2340">
        <v>1</v>
      </c>
      <c r="BI2340">
        <v>1</v>
      </c>
      <c r="BJ2340">
        <v>0.2</v>
      </c>
      <c r="BK2340">
        <v>1</v>
      </c>
      <c r="BL2340">
        <v>55.99</v>
      </c>
      <c r="BM2340">
        <v>8.4</v>
      </c>
      <c r="BN2340">
        <v>64.39</v>
      </c>
      <c r="BO2340">
        <v>64.39</v>
      </c>
      <c r="BQ2340" t="s">
        <v>1021</v>
      </c>
      <c r="BR2340" t="s">
        <v>84</v>
      </c>
      <c r="BS2340" s="3">
        <v>45887</v>
      </c>
      <c r="BT2340" s="4">
        <v>0.375</v>
      </c>
      <c r="BU2340" t="s">
        <v>1959</v>
      </c>
      <c r="BV2340" t="s">
        <v>86</v>
      </c>
      <c r="BY2340">
        <v>1200</v>
      </c>
      <c r="CA2340" t="s">
        <v>146</v>
      </c>
      <c r="CC2340" t="s">
        <v>76</v>
      </c>
      <c r="CD2340">
        <v>1645</v>
      </c>
      <c r="CE2340" t="s">
        <v>109</v>
      </c>
      <c r="CF2340" s="3">
        <v>45887</v>
      </c>
      <c r="CI2340">
        <v>1</v>
      </c>
      <c r="CJ2340">
        <v>1</v>
      </c>
      <c r="CK2340">
        <v>22</v>
      </c>
      <c r="CL2340" t="s">
        <v>90</v>
      </c>
    </row>
    <row r="2341" spans="1:90" x14ac:dyDescent="0.3">
      <c r="A2341" t="s">
        <v>72</v>
      </c>
      <c r="B2341" t="s">
        <v>73</v>
      </c>
      <c r="C2341" t="s">
        <v>74</v>
      </c>
      <c r="E2341" t="str">
        <f>"080067264455"</f>
        <v>080067264455</v>
      </c>
      <c r="F2341" s="3">
        <v>45884</v>
      </c>
      <c r="G2341">
        <v>202605</v>
      </c>
      <c r="H2341" t="s">
        <v>75</v>
      </c>
      <c r="I2341" t="s">
        <v>76</v>
      </c>
      <c r="J2341" t="s">
        <v>77</v>
      </c>
      <c r="K2341" t="s">
        <v>78</v>
      </c>
      <c r="L2341" t="s">
        <v>79</v>
      </c>
      <c r="M2341" t="s">
        <v>80</v>
      </c>
      <c r="N2341" t="s">
        <v>1500</v>
      </c>
      <c r="O2341" t="s">
        <v>82</v>
      </c>
      <c r="P2341" t="str">
        <f>"4170055125                    "</f>
        <v xml:space="preserve">4170055125                    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>
        <v>0</v>
      </c>
      <c r="AQ2341">
        <v>18.03</v>
      </c>
      <c r="AR2341">
        <v>0</v>
      </c>
      <c r="AS2341">
        <v>0</v>
      </c>
      <c r="AT2341">
        <v>0</v>
      </c>
      <c r="AU2341">
        <v>0</v>
      </c>
      <c r="AV2341">
        <v>0</v>
      </c>
      <c r="AW2341">
        <v>0</v>
      </c>
      <c r="AX2341">
        <v>0</v>
      </c>
      <c r="AY2341">
        <v>0</v>
      </c>
      <c r="AZ2341">
        <v>0</v>
      </c>
      <c r="BA2341">
        <v>0</v>
      </c>
      <c r="BB2341">
        <v>0</v>
      </c>
      <c r="BC2341">
        <v>0</v>
      </c>
      <c r="BD2341">
        <v>0</v>
      </c>
      <c r="BE2341">
        <v>0</v>
      </c>
      <c r="BF2341">
        <v>0</v>
      </c>
      <c r="BG2341">
        <v>0</v>
      </c>
      <c r="BH2341">
        <v>1</v>
      </c>
      <c r="BI2341">
        <v>1</v>
      </c>
      <c r="BJ2341">
        <v>0.2</v>
      </c>
      <c r="BK2341">
        <v>1</v>
      </c>
      <c r="BL2341">
        <v>55.99</v>
      </c>
      <c r="BM2341">
        <v>8.4</v>
      </c>
      <c r="BN2341">
        <v>64.39</v>
      </c>
      <c r="BO2341">
        <v>64.39</v>
      </c>
      <c r="BQ2341" t="s">
        <v>1501</v>
      </c>
      <c r="BR2341" t="s">
        <v>84</v>
      </c>
      <c r="BS2341" s="3">
        <v>45887</v>
      </c>
      <c r="BT2341" s="4">
        <v>0.43333333333333335</v>
      </c>
      <c r="BU2341" t="s">
        <v>1502</v>
      </c>
      <c r="BV2341" t="s">
        <v>86</v>
      </c>
      <c r="BY2341">
        <v>1200</v>
      </c>
      <c r="CC2341" t="s">
        <v>80</v>
      </c>
      <c r="CD2341">
        <v>1401</v>
      </c>
      <c r="CE2341" t="s">
        <v>109</v>
      </c>
      <c r="CF2341" s="3">
        <v>45887</v>
      </c>
      <c r="CI2341">
        <v>1</v>
      </c>
      <c r="CJ2341">
        <v>1</v>
      </c>
      <c r="CK2341">
        <v>22</v>
      </c>
      <c r="CL2341" t="s">
        <v>90</v>
      </c>
    </row>
    <row r="2342" spans="1:90" x14ac:dyDescent="0.3">
      <c r="A2342" t="s">
        <v>72</v>
      </c>
      <c r="B2342" t="s">
        <v>73</v>
      </c>
      <c r="C2342" t="s">
        <v>74</v>
      </c>
      <c r="E2342" t="str">
        <f>"080067264465"</f>
        <v>080067264465</v>
      </c>
      <c r="F2342" s="3">
        <v>45884</v>
      </c>
      <c r="G2342">
        <v>202605</v>
      </c>
      <c r="H2342" t="s">
        <v>75</v>
      </c>
      <c r="I2342" t="s">
        <v>76</v>
      </c>
      <c r="J2342" t="s">
        <v>77</v>
      </c>
      <c r="K2342" t="s">
        <v>78</v>
      </c>
      <c r="L2342" t="s">
        <v>198</v>
      </c>
      <c r="M2342" t="s">
        <v>199</v>
      </c>
      <c r="N2342" t="s">
        <v>955</v>
      </c>
      <c r="O2342" t="s">
        <v>82</v>
      </c>
      <c r="P2342" t="str">
        <f>"4170055149                    "</f>
        <v xml:space="preserve">4170055149                    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0</v>
      </c>
      <c r="AJ2342">
        <v>0</v>
      </c>
      <c r="AK2342">
        <v>0</v>
      </c>
      <c r="AL2342">
        <v>0</v>
      </c>
      <c r="AM2342">
        <v>0</v>
      </c>
      <c r="AN2342">
        <v>0</v>
      </c>
      <c r="AO2342">
        <v>0</v>
      </c>
      <c r="AP2342">
        <v>0</v>
      </c>
      <c r="AQ2342">
        <v>23.09</v>
      </c>
      <c r="AR2342">
        <v>0</v>
      </c>
      <c r="AS2342">
        <v>0</v>
      </c>
      <c r="AT2342">
        <v>0</v>
      </c>
      <c r="AU2342">
        <v>0</v>
      </c>
      <c r="AV2342">
        <v>0</v>
      </c>
      <c r="AW2342">
        <v>0</v>
      </c>
      <c r="AX2342">
        <v>0</v>
      </c>
      <c r="AY2342">
        <v>0</v>
      </c>
      <c r="AZ2342">
        <v>0</v>
      </c>
      <c r="BA2342">
        <v>0</v>
      </c>
      <c r="BB2342">
        <v>0</v>
      </c>
      <c r="BC2342">
        <v>0</v>
      </c>
      <c r="BD2342">
        <v>0</v>
      </c>
      <c r="BE2342">
        <v>0</v>
      </c>
      <c r="BF2342">
        <v>0</v>
      </c>
      <c r="BG2342">
        <v>0</v>
      </c>
      <c r="BH2342">
        <v>1</v>
      </c>
      <c r="BI2342">
        <v>1</v>
      </c>
      <c r="BJ2342">
        <v>0.2</v>
      </c>
      <c r="BK2342">
        <v>1</v>
      </c>
      <c r="BL2342">
        <v>71.69</v>
      </c>
      <c r="BM2342">
        <v>10.75</v>
      </c>
      <c r="BN2342">
        <v>82.44</v>
      </c>
      <c r="BO2342">
        <v>82.44</v>
      </c>
      <c r="BQ2342" t="s">
        <v>956</v>
      </c>
      <c r="BR2342" t="s">
        <v>84</v>
      </c>
      <c r="BS2342" s="3">
        <v>45887</v>
      </c>
      <c r="BT2342" s="4">
        <v>0.41111111111111109</v>
      </c>
      <c r="BU2342" t="s">
        <v>2809</v>
      </c>
      <c r="BV2342" t="s">
        <v>86</v>
      </c>
      <c r="BY2342">
        <v>1200</v>
      </c>
      <c r="CA2342" t="s">
        <v>2773</v>
      </c>
      <c r="CC2342" t="s">
        <v>199</v>
      </c>
      <c r="CD2342">
        <v>6012</v>
      </c>
      <c r="CE2342" t="s">
        <v>109</v>
      </c>
      <c r="CF2342" s="3">
        <v>45887</v>
      </c>
      <c r="CI2342">
        <v>1</v>
      </c>
      <c r="CJ2342">
        <v>1</v>
      </c>
      <c r="CK2342">
        <v>21</v>
      </c>
      <c r="CL2342" t="s">
        <v>90</v>
      </c>
    </row>
    <row r="2343" spans="1:90" x14ac:dyDescent="0.3">
      <c r="A2343" t="s">
        <v>72</v>
      </c>
      <c r="B2343" t="s">
        <v>73</v>
      </c>
      <c r="C2343" t="s">
        <v>74</v>
      </c>
      <c r="E2343" t="str">
        <f>"080067264488"</f>
        <v>080067264488</v>
      </c>
      <c r="F2343" s="3">
        <v>45884</v>
      </c>
      <c r="G2343">
        <v>202605</v>
      </c>
      <c r="H2343" t="s">
        <v>75</v>
      </c>
      <c r="I2343" t="s">
        <v>76</v>
      </c>
      <c r="J2343" t="s">
        <v>77</v>
      </c>
      <c r="K2343" t="s">
        <v>78</v>
      </c>
      <c r="L2343" t="s">
        <v>198</v>
      </c>
      <c r="M2343" t="s">
        <v>199</v>
      </c>
      <c r="N2343" t="s">
        <v>955</v>
      </c>
      <c r="O2343" t="s">
        <v>82</v>
      </c>
      <c r="P2343" t="str">
        <f>"4170055148                    "</f>
        <v xml:space="preserve">4170055148                    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0</v>
      </c>
      <c r="AL2343">
        <v>0</v>
      </c>
      <c r="AM2343">
        <v>0</v>
      </c>
      <c r="AN2343">
        <v>0</v>
      </c>
      <c r="AO2343">
        <v>0</v>
      </c>
      <c r="AP2343">
        <v>0</v>
      </c>
      <c r="AQ2343">
        <v>23.09</v>
      </c>
      <c r="AR2343">
        <v>0</v>
      </c>
      <c r="AS2343">
        <v>0</v>
      </c>
      <c r="AT2343">
        <v>0</v>
      </c>
      <c r="AU2343">
        <v>0</v>
      </c>
      <c r="AV2343">
        <v>0</v>
      </c>
      <c r="AW2343">
        <v>0</v>
      </c>
      <c r="AX2343">
        <v>0</v>
      </c>
      <c r="AY2343">
        <v>0</v>
      </c>
      <c r="AZ2343">
        <v>0</v>
      </c>
      <c r="BA2343">
        <v>0</v>
      </c>
      <c r="BB2343">
        <v>0</v>
      </c>
      <c r="BC2343">
        <v>0</v>
      </c>
      <c r="BD2343">
        <v>0</v>
      </c>
      <c r="BE2343">
        <v>0</v>
      </c>
      <c r="BF2343">
        <v>0</v>
      </c>
      <c r="BG2343">
        <v>0</v>
      </c>
      <c r="BH2343">
        <v>1</v>
      </c>
      <c r="BI2343">
        <v>1</v>
      </c>
      <c r="BJ2343">
        <v>0.2</v>
      </c>
      <c r="BK2343">
        <v>1</v>
      </c>
      <c r="BL2343">
        <v>71.69</v>
      </c>
      <c r="BM2343">
        <v>10.75</v>
      </c>
      <c r="BN2343">
        <v>82.44</v>
      </c>
      <c r="BO2343">
        <v>82.44</v>
      </c>
      <c r="BQ2343" t="s">
        <v>956</v>
      </c>
      <c r="BR2343" t="s">
        <v>84</v>
      </c>
      <c r="BS2343" s="3">
        <v>45887</v>
      </c>
      <c r="BT2343" s="4">
        <v>0.41180555555555554</v>
      </c>
      <c r="BU2343" t="s">
        <v>2809</v>
      </c>
      <c r="BV2343" t="s">
        <v>86</v>
      </c>
      <c r="BY2343">
        <v>1200</v>
      </c>
      <c r="CA2343" t="s">
        <v>2773</v>
      </c>
      <c r="CC2343" t="s">
        <v>199</v>
      </c>
      <c r="CD2343">
        <v>6012</v>
      </c>
      <c r="CE2343" t="s">
        <v>178</v>
      </c>
      <c r="CF2343" s="3">
        <v>45887</v>
      </c>
      <c r="CI2343">
        <v>1</v>
      </c>
      <c r="CJ2343">
        <v>1</v>
      </c>
      <c r="CK2343">
        <v>21</v>
      </c>
      <c r="CL2343" t="s">
        <v>90</v>
      </c>
    </row>
    <row r="2344" spans="1:90" x14ac:dyDescent="0.3">
      <c r="A2344" t="s">
        <v>72</v>
      </c>
      <c r="B2344" t="s">
        <v>73</v>
      </c>
      <c r="C2344" t="s">
        <v>74</v>
      </c>
      <c r="E2344" t="str">
        <f>"080067264541"</f>
        <v>080067264541</v>
      </c>
      <c r="F2344" s="3">
        <v>45884</v>
      </c>
      <c r="G2344">
        <v>202605</v>
      </c>
      <c r="H2344" t="s">
        <v>75</v>
      </c>
      <c r="I2344" t="s">
        <v>76</v>
      </c>
      <c r="J2344" t="s">
        <v>77</v>
      </c>
      <c r="K2344" t="s">
        <v>78</v>
      </c>
      <c r="L2344" t="s">
        <v>1157</v>
      </c>
      <c r="M2344" t="s">
        <v>1158</v>
      </c>
      <c r="N2344" t="s">
        <v>1159</v>
      </c>
      <c r="O2344" t="s">
        <v>82</v>
      </c>
      <c r="P2344" t="str">
        <f>"4170055110                    "</f>
        <v xml:space="preserve">4170055110                    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0</v>
      </c>
      <c r="AJ2344">
        <v>0</v>
      </c>
      <c r="AK2344">
        <v>0</v>
      </c>
      <c r="AL2344">
        <v>0</v>
      </c>
      <c r="AM2344">
        <v>0</v>
      </c>
      <c r="AN2344">
        <v>0</v>
      </c>
      <c r="AO2344">
        <v>0</v>
      </c>
      <c r="AP2344">
        <v>0</v>
      </c>
      <c r="AQ2344">
        <v>44.73</v>
      </c>
      <c r="AR2344">
        <v>0</v>
      </c>
      <c r="AS2344">
        <v>0</v>
      </c>
      <c r="AT2344">
        <v>0</v>
      </c>
      <c r="AU2344">
        <v>0</v>
      </c>
      <c r="AV2344">
        <v>0</v>
      </c>
      <c r="AW2344">
        <v>0</v>
      </c>
      <c r="AX2344">
        <v>0</v>
      </c>
      <c r="AY2344">
        <v>0</v>
      </c>
      <c r="AZ2344">
        <v>0</v>
      </c>
      <c r="BA2344">
        <v>0</v>
      </c>
      <c r="BB2344">
        <v>0</v>
      </c>
      <c r="BC2344">
        <v>0</v>
      </c>
      <c r="BD2344">
        <v>0</v>
      </c>
      <c r="BE2344">
        <v>0</v>
      </c>
      <c r="BF2344">
        <v>0</v>
      </c>
      <c r="BG2344">
        <v>0</v>
      </c>
      <c r="BH2344">
        <v>1</v>
      </c>
      <c r="BI2344">
        <v>2</v>
      </c>
      <c r="BJ2344">
        <v>1.3</v>
      </c>
      <c r="BK2344">
        <v>2</v>
      </c>
      <c r="BL2344">
        <v>138.88999999999999</v>
      </c>
      <c r="BM2344">
        <v>20.83</v>
      </c>
      <c r="BN2344">
        <v>159.72</v>
      </c>
      <c r="BO2344">
        <v>159.72</v>
      </c>
      <c r="BQ2344" t="s">
        <v>1160</v>
      </c>
      <c r="BR2344" t="s">
        <v>84</v>
      </c>
      <c r="BS2344" s="3">
        <v>45887</v>
      </c>
      <c r="BT2344" s="4">
        <v>0.43819444444444444</v>
      </c>
      <c r="BU2344" t="s">
        <v>1161</v>
      </c>
      <c r="BV2344" t="s">
        <v>90</v>
      </c>
      <c r="BY2344">
        <v>6440</v>
      </c>
      <c r="CA2344" t="s">
        <v>1162</v>
      </c>
      <c r="CC2344" t="s">
        <v>1158</v>
      </c>
      <c r="CD2344">
        <v>2302</v>
      </c>
      <c r="CE2344" t="s">
        <v>147</v>
      </c>
      <c r="CF2344" s="3">
        <v>45887</v>
      </c>
      <c r="CI2344">
        <v>1</v>
      </c>
      <c r="CJ2344">
        <v>1</v>
      </c>
      <c r="CK2344">
        <v>23</v>
      </c>
      <c r="CL2344" t="s">
        <v>90</v>
      </c>
    </row>
    <row r="2345" spans="1:90" x14ac:dyDescent="0.3">
      <c r="A2345" t="s">
        <v>72</v>
      </c>
      <c r="B2345" t="s">
        <v>73</v>
      </c>
      <c r="C2345" t="s">
        <v>74</v>
      </c>
      <c r="E2345" t="str">
        <f>"080067264558"</f>
        <v>080067264558</v>
      </c>
      <c r="F2345" s="3">
        <v>45884</v>
      </c>
      <c r="G2345">
        <v>202605</v>
      </c>
      <c r="H2345" t="s">
        <v>75</v>
      </c>
      <c r="I2345" t="s">
        <v>76</v>
      </c>
      <c r="J2345" t="s">
        <v>77</v>
      </c>
      <c r="K2345" t="s">
        <v>78</v>
      </c>
      <c r="L2345" t="s">
        <v>241</v>
      </c>
      <c r="M2345" t="s">
        <v>242</v>
      </c>
      <c r="N2345" t="s">
        <v>2629</v>
      </c>
      <c r="O2345" t="s">
        <v>82</v>
      </c>
      <c r="P2345" t="str">
        <f>"4170055141                    "</f>
        <v xml:space="preserve">4170055141                    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0</v>
      </c>
      <c r="AI2345">
        <v>0</v>
      </c>
      <c r="AJ2345">
        <v>0</v>
      </c>
      <c r="AK2345">
        <v>0</v>
      </c>
      <c r="AL2345">
        <v>0</v>
      </c>
      <c r="AM2345">
        <v>0</v>
      </c>
      <c r="AN2345">
        <v>0</v>
      </c>
      <c r="AO2345">
        <v>0</v>
      </c>
      <c r="AP2345">
        <v>0</v>
      </c>
      <c r="AQ2345">
        <v>18.03</v>
      </c>
      <c r="AR2345">
        <v>0</v>
      </c>
      <c r="AS2345">
        <v>0</v>
      </c>
      <c r="AT2345">
        <v>0</v>
      </c>
      <c r="AU2345">
        <v>0</v>
      </c>
      <c r="AV2345">
        <v>0</v>
      </c>
      <c r="AW2345">
        <v>0</v>
      </c>
      <c r="AX2345">
        <v>0</v>
      </c>
      <c r="AY2345">
        <v>0</v>
      </c>
      <c r="AZ2345">
        <v>0</v>
      </c>
      <c r="BA2345">
        <v>0</v>
      </c>
      <c r="BB2345">
        <v>0</v>
      </c>
      <c r="BC2345">
        <v>0</v>
      </c>
      <c r="BD2345">
        <v>0</v>
      </c>
      <c r="BE2345">
        <v>0</v>
      </c>
      <c r="BF2345">
        <v>0</v>
      </c>
      <c r="BG2345">
        <v>0</v>
      </c>
      <c r="BH2345">
        <v>1</v>
      </c>
      <c r="BI2345">
        <v>3</v>
      </c>
      <c r="BJ2345">
        <v>1.1000000000000001</v>
      </c>
      <c r="BK2345">
        <v>3</v>
      </c>
      <c r="BL2345">
        <v>55.99</v>
      </c>
      <c r="BM2345">
        <v>8.4</v>
      </c>
      <c r="BN2345">
        <v>64.39</v>
      </c>
      <c r="BO2345">
        <v>64.39</v>
      </c>
      <c r="BQ2345" t="s">
        <v>2630</v>
      </c>
      <c r="BR2345" t="s">
        <v>84</v>
      </c>
      <c r="BS2345" s="3">
        <v>45887</v>
      </c>
      <c r="BT2345" s="4">
        <v>0.35902777777777778</v>
      </c>
      <c r="BU2345" t="s">
        <v>2756</v>
      </c>
      <c r="BV2345" t="s">
        <v>86</v>
      </c>
      <c r="BY2345">
        <v>5320</v>
      </c>
      <c r="CA2345" t="s">
        <v>720</v>
      </c>
      <c r="CC2345" t="s">
        <v>242</v>
      </c>
      <c r="CD2345">
        <v>1459</v>
      </c>
      <c r="CE2345" t="s">
        <v>147</v>
      </c>
      <c r="CF2345" s="3">
        <v>45888</v>
      </c>
      <c r="CI2345">
        <v>1</v>
      </c>
      <c r="CJ2345">
        <v>1</v>
      </c>
      <c r="CK2345">
        <v>22</v>
      </c>
      <c r="CL2345" t="s">
        <v>90</v>
      </c>
    </row>
    <row r="2346" spans="1:90" x14ac:dyDescent="0.3">
      <c r="A2346" t="s">
        <v>72</v>
      </c>
      <c r="B2346" t="s">
        <v>73</v>
      </c>
      <c r="C2346" t="s">
        <v>74</v>
      </c>
      <c r="E2346" t="str">
        <f>"080067264889"</f>
        <v>080067264889</v>
      </c>
      <c r="F2346" s="3">
        <v>45884</v>
      </c>
      <c r="G2346">
        <v>202605</v>
      </c>
      <c r="H2346" t="s">
        <v>75</v>
      </c>
      <c r="I2346" t="s">
        <v>76</v>
      </c>
      <c r="J2346" t="s">
        <v>77</v>
      </c>
      <c r="K2346" t="s">
        <v>78</v>
      </c>
      <c r="L2346" t="s">
        <v>452</v>
      </c>
      <c r="M2346" t="s">
        <v>453</v>
      </c>
      <c r="N2346" t="s">
        <v>2295</v>
      </c>
      <c r="O2346" t="s">
        <v>82</v>
      </c>
      <c r="P2346" t="str">
        <f>"4170055052                    "</f>
        <v xml:space="preserve">4170055052                    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0</v>
      </c>
      <c r="AI2346">
        <v>0</v>
      </c>
      <c r="AJ2346"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>
        <v>0</v>
      </c>
      <c r="AQ2346">
        <v>64.92</v>
      </c>
      <c r="AR2346">
        <v>0</v>
      </c>
      <c r="AS2346">
        <v>0</v>
      </c>
      <c r="AT2346">
        <v>0</v>
      </c>
      <c r="AU2346">
        <v>0</v>
      </c>
      <c r="AV2346">
        <v>0</v>
      </c>
      <c r="AW2346">
        <v>0</v>
      </c>
      <c r="AX2346">
        <v>0</v>
      </c>
      <c r="AY2346">
        <v>0</v>
      </c>
      <c r="AZ2346">
        <v>0</v>
      </c>
      <c r="BA2346">
        <v>0</v>
      </c>
      <c r="BB2346">
        <v>0</v>
      </c>
      <c r="BC2346">
        <v>0</v>
      </c>
      <c r="BD2346">
        <v>0</v>
      </c>
      <c r="BE2346">
        <v>0</v>
      </c>
      <c r="BF2346">
        <v>0</v>
      </c>
      <c r="BG2346">
        <v>0</v>
      </c>
      <c r="BH2346">
        <v>1</v>
      </c>
      <c r="BI2346">
        <v>1</v>
      </c>
      <c r="BJ2346">
        <v>2.9</v>
      </c>
      <c r="BK2346">
        <v>3</v>
      </c>
      <c r="BL2346">
        <v>201.6</v>
      </c>
      <c r="BM2346">
        <v>30.24</v>
      </c>
      <c r="BN2346">
        <v>231.84</v>
      </c>
      <c r="BO2346">
        <v>231.84</v>
      </c>
      <c r="BQ2346" t="s">
        <v>2296</v>
      </c>
      <c r="BR2346" t="s">
        <v>84</v>
      </c>
      <c r="BS2346" s="3">
        <v>45887</v>
      </c>
      <c r="BT2346" s="4">
        <v>0.4284722222222222</v>
      </c>
      <c r="BU2346" t="s">
        <v>2817</v>
      </c>
      <c r="BV2346" t="s">
        <v>86</v>
      </c>
      <c r="BY2346">
        <v>14688</v>
      </c>
      <c r="CA2346" t="s">
        <v>484</v>
      </c>
      <c r="CC2346" t="s">
        <v>453</v>
      </c>
      <c r="CD2346">
        <v>1947</v>
      </c>
      <c r="CE2346" t="s">
        <v>147</v>
      </c>
      <c r="CI2346">
        <v>1</v>
      </c>
      <c r="CJ2346">
        <v>1</v>
      </c>
      <c r="CK2346">
        <v>23</v>
      </c>
      <c r="CL2346" t="s">
        <v>90</v>
      </c>
    </row>
    <row r="2347" spans="1:90" x14ac:dyDescent="0.3">
      <c r="A2347" t="s">
        <v>72</v>
      </c>
      <c r="B2347" t="s">
        <v>73</v>
      </c>
      <c r="C2347" t="s">
        <v>74</v>
      </c>
      <c r="E2347" t="str">
        <f>"RR080066832849"</f>
        <v>RR080066832849</v>
      </c>
      <c r="F2347" s="3">
        <v>45884</v>
      </c>
      <c r="G2347">
        <v>202605</v>
      </c>
      <c r="H2347" t="s">
        <v>75</v>
      </c>
      <c r="I2347" t="s">
        <v>76</v>
      </c>
      <c r="J2347" t="s">
        <v>2351</v>
      </c>
      <c r="K2347" t="s">
        <v>78</v>
      </c>
      <c r="L2347" t="s">
        <v>75</v>
      </c>
      <c r="M2347" t="s">
        <v>76</v>
      </c>
      <c r="N2347" t="s">
        <v>2818</v>
      </c>
      <c r="O2347" t="s">
        <v>95</v>
      </c>
      <c r="P2347" t="str">
        <f>"4170051392                    "</f>
        <v xml:space="preserve">4170051392                    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0</v>
      </c>
      <c r="AL2347">
        <v>0</v>
      </c>
      <c r="AM2347">
        <v>0</v>
      </c>
      <c r="AN2347">
        <v>0</v>
      </c>
      <c r="AO2347">
        <v>0</v>
      </c>
      <c r="AP2347">
        <v>0</v>
      </c>
      <c r="AQ2347">
        <v>34.450000000000003</v>
      </c>
      <c r="AR2347">
        <v>0</v>
      </c>
      <c r="AS2347">
        <v>0</v>
      </c>
      <c r="AT2347">
        <v>0</v>
      </c>
      <c r="AU2347">
        <v>0</v>
      </c>
      <c r="AV2347">
        <v>0</v>
      </c>
      <c r="AW2347">
        <v>0</v>
      </c>
      <c r="AX2347">
        <v>0</v>
      </c>
      <c r="AY2347">
        <v>0</v>
      </c>
      <c r="AZ2347">
        <v>0</v>
      </c>
      <c r="BA2347">
        <v>0</v>
      </c>
      <c r="BB2347">
        <v>0</v>
      </c>
      <c r="BC2347">
        <v>0</v>
      </c>
      <c r="BD2347">
        <v>0</v>
      </c>
      <c r="BE2347">
        <v>0</v>
      </c>
      <c r="BF2347">
        <v>0</v>
      </c>
      <c r="BG2347">
        <v>0</v>
      </c>
      <c r="BH2347">
        <v>1</v>
      </c>
      <c r="BI2347">
        <v>1</v>
      </c>
      <c r="BJ2347">
        <v>0.2</v>
      </c>
      <c r="BK2347">
        <v>1</v>
      </c>
      <c r="BL2347">
        <v>112.84</v>
      </c>
      <c r="BM2347">
        <v>16.93</v>
      </c>
      <c r="BN2347">
        <v>129.77000000000001</v>
      </c>
      <c r="BO2347">
        <v>129.77000000000001</v>
      </c>
      <c r="BQ2347" t="s">
        <v>2352</v>
      </c>
      <c r="BR2347" t="s">
        <v>2352</v>
      </c>
      <c r="BS2347" t="s">
        <v>96</v>
      </c>
      <c r="BY2347">
        <v>1200</v>
      </c>
      <c r="CC2347" t="s">
        <v>76</v>
      </c>
      <c r="CD2347">
        <v>1619</v>
      </c>
      <c r="CE2347" t="s">
        <v>109</v>
      </c>
      <c r="CI2347">
        <v>1</v>
      </c>
      <c r="CJ2347" t="s">
        <v>96</v>
      </c>
      <c r="CK2347">
        <v>42</v>
      </c>
      <c r="CL2347" t="s">
        <v>90</v>
      </c>
    </row>
    <row r="2348" spans="1:90" x14ac:dyDescent="0.3">
      <c r="A2348" t="s">
        <v>72</v>
      </c>
      <c r="B2348" t="s">
        <v>73</v>
      </c>
      <c r="C2348" t="s">
        <v>74</v>
      </c>
      <c r="E2348" t="str">
        <f>"080067265422"</f>
        <v>080067265422</v>
      </c>
      <c r="F2348" s="3">
        <v>45884</v>
      </c>
      <c r="G2348">
        <v>202605</v>
      </c>
      <c r="H2348" t="s">
        <v>75</v>
      </c>
      <c r="I2348" t="s">
        <v>76</v>
      </c>
      <c r="J2348" t="s">
        <v>77</v>
      </c>
      <c r="K2348" t="s">
        <v>78</v>
      </c>
      <c r="L2348" t="s">
        <v>241</v>
      </c>
      <c r="M2348" t="s">
        <v>242</v>
      </c>
      <c r="N2348" t="s">
        <v>799</v>
      </c>
      <c r="O2348" t="s">
        <v>95</v>
      </c>
      <c r="P2348" t="str">
        <f>"4170054869                    "</f>
        <v xml:space="preserve">4170054869                    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0</v>
      </c>
      <c r="AJ2348">
        <v>0</v>
      </c>
      <c r="AK2348">
        <v>0</v>
      </c>
      <c r="AL2348">
        <v>0</v>
      </c>
      <c r="AM2348">
        <v>0</v>
      </c>
      <c r="AN2348">
        <v>0</v>
      </c>
      <c r="AO2348">
        <v>0</v>
      </c>
      <c r="AP2348">
        <v>0</v>
      </c>
      <c r="AQ2348">
        <v>45.52</v>
      </c>
      <c r="AR2348">
        <v>0</v>
      </c>
      <c r="AS2348">
        <v>0</v>
      </c>
      <c r="AT2348">
        <v>0</v>
      </c>
      <c r="AU2348">
        <v>0</v>
      </c>
      <c r="AV2348">
        <v>0</v>
      </c>
      <c r="AW2348">
        <v>0</v>
      </c>
      <c r="AX2348">
        <v>0</v>
      </c>
      <c r="AY2348">
        <v>0</v>
      </c>
      <c r="AZ2348">
        <v>0</v>
      </c>
      <c r="BA2348">
        <v>0</v>
      </c>
      <c r="BB2348">
        <v>0</v>
      </c>
      <c r="BC2348">
        <v>0</v>
      </c>
      <c r="BD2348">
        <v>0</v>
      </c>
      <c r="BE2348">
        <v>0</v>
      </c>
      <c r="BF2348">
        <v>0</v>
      </c>
      <c r="BG2348">
        <v>0</v>
      </c>
      <c r="BH2348">
        <v>1</v>
      </c>
      <c r="BI2348">
        <v>26</v>
      </c>
      <c r="BJ2348">
        <v>17.7</v>
      </c>
      <c r="BK2348">
        <v>26</v>
      </c>
      <c r="BL2348">
        <v>147.22999999999999</v>
      </c>
      <c r="BM2348">
        <v>22.08</v>
      </c>
      <c r="BN2348">
        <v>169.31</v>
      </c>
      <c r="BO2348">
        <v>169.31</v>
      </c>
      <c r="BQ2348" t="s">
        <v>800</v>
      </c>
      <c r="BR2348" t="s">
        <v>84</v>
      </c>
      <c r="BS2348" s="3">
        <v>45887</v>
      </c>
      <c r="BT2348" s="4">
        <v>0.52777777777777779</v>
      </c>
      <c r="BU2348" t="s">
        <v>2819</v>
      </c>
      <c r="BV2348" t="s">
        <v>86</v>
      </c>
      <c r="BY2348">
        <v>88320</v>
      </c>
      <c r="CA2348" t="s">
        <v>720</v>
      </c>
      <c r="CC2348" t="s">
        <v>242</v>
      </c>
      <c r="CD2348">
        <v>1459</v>
      </c>
      <c r="CE2348" t="s">
        <v>147</v>
      </c>
      <c r="CF2348" s="3">
        <v>45888</v>
      </c>
      <c r="CI2348">
        <v>1</v>
      </c>
      <c r="CJ2348">
        <v>1</v>
      </c>
      <c r="CK2348">
        <v>42</v>
      </c>
      <c r="CL2348" t="s">
        <v>90</v>
      </c>
    </row>
    <row r="2349" spans="1:90" x14ac:dyDescent="0.3">
      <c r="A2349" t="s">
        <v>72</v>
      </c>
      <c r="B2349" t="s">
        <v>73</v>
      </c>
      <c r="C2349" t="s">
        <v>74</v>
      </c>
      <c r="E2349" t="str">
        <f>"080067265539"</f>
        <v>080067265539</v>
      </c>
      <c r="F2349" s="3">
        <v>45884</v>
      </c>
      <c r="G2349">
        <v>202605</v>
      </c>
      <c r="H2349" t="s">
        <v>75</v>
      </c>
      <c r="I2349" t="s">
        <v>76</v>
      </c>
      <c r="J2349" t="s">
        <v>77</v>
      </c>
      <c r="K2349" t="s">
        <v>78</v>
      </c>
      <c r="L2349" t="s">
        <v>241</v>
      </c>
      <c r="M2349" t="s">
        <v>242</v>
      </c>
      <c r="N2349" t="s">
        <v>2820</v>
      </c>
      <c r="O2349" t="s">
        <v>82</v>
      </c>
      <c r="P2349" t="str">
        <f>"4170055144                    "</f>
        <v xml:space="preserve">4170055144                    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>
        <v>0</v>
      </c>
      <c r="AQ2349">
        <v>18.03</v>
      </c>
      <c r="AR2349">
        <v>0</v>
      </c>
      <c r="AS2349">
        <v>0</v>
      </c>
      <c r="AT2349">
        <v>0</v>
      </c>
      <c r="AU2349">
        <v>0</v>
      </c>
      <c r="AV2349">
        <v>0</v>
      </c>
      <c r="AW2349">
        <v>0</v>
      </c>
      <c r="AX2349">
        <v>0</v>
      </c>
      <c r="AY2349">
        <v>0</v>
      </c>
      <c r="AZ2349">
        <v>0</v>
      </c>
      <c r="BA2349">
        <v>0</v>
      </c>
      <c r="BB2349">
        <v>0</v>
      </c>
      <c r="BC2349">
        <v>0</v>
      </c>
      <c r="BD2349">
        <v>0</v>
      </c>
      <c r="BE2349">
        <v>0</v>
      </c>
      <c r="BF2349">
        <v>0</v>
      </c>
      <c r="BG2349">
        <v>0</v>
      </c>
      <c r="BH2349">
        <v>1</v>
      </c>
      <c r="BI2349">
        <v>1</v>
      </c>
      <c r="BJ2349">
        <v>0.2</v>
      </c>
      <c r="BK2349">
        <v>1</v>
      </c>
      <c r="BL2349">
        <v>55.99</v>
      </c>
      <c r="BM2349">
        <v>8.4</v>
      </c>
      <c r="BN2349">
        <v>64.39</v>
      </c>
      <c r="BO2349">
        <v>64.39</v>
      </c>
      <c r="BQ2349" t="s">
        <v>2821</v>
      </c>
      <c r="BR2349" t="s">
        <v>84</v>
      </c>
      <c r="BS2349" s="3">
        <v>45887</v>
      </c>
      <c r="BT2349" s="4">
        <v>0.5625</v>
      </c>
      <c r="BU2349" t="s">
        <v>2822</v>
      </c>
      <c r="BV2349" t="s">
        <v>90</v>
      </c>
      <c r="BW2349" t="s">
        <v>380</v>
      </c>
      <c r="BX2349" t="s">
        <v>2081</v>
      </c>
      <c r="BY2349">
        <v>1200</v>
      </c>
      <c r="CA2349" t="s">
        <v>739</v>
      </c>
      <c r="CC2349" t="s">
        <v>242</v>
      </c>
      <c r="CD2349">
        <v>1459</v>
      </c>
      <c r="CE2349" t="s">
        <v>109</v>
      </c>
      <c r="CF2349" s="3">
        <v>45887</v>
      </c>
      <c r="CI2349">
        <v>1</v>
      </c>
      <c r="CJ2349">
        <v>1</v>
      </c>
      <c r="CK2349">
        <v>22</v>
      </c>
      <c r="CL2349" t="s">
        <v>90</v>
      </c>
    </row>
    <row r="2350" spans="1:90" x14ac:dyDescent="0.3">
      <c r="A2350" t="s">
        <v>72</v>
      </c>
      <c r="B2350" t="s">
        <v>73</v>
      </c>
      <c r="C2350" t="s">
        <v>74</v>
      </c>
      <c r="E2350" t="str">
        <f>"080067265553"</f>
        <v>080067265553</v>
      </c>
      <c r="F2350" s="3">
        <v>45884</v>
      </c>
      <c r="G2350">
        <v>202605</v>
      </c>
      <c r="H2350" t="s">
        <v>75</v>
      </c>
      <c r="I2350" t="s">
        <v>76</v>
      </c>
      <c r="J2350" t="s">
        <v>77</v>
      </c>
      <c r="K2350" t="s">
        <v>78</v>
      </c>
      <c r="L2350" t="s">
        <v>278</v>
      </c>
      <c r="M2350" t="s">
        <v>279</v>
      </c>
      <c r="N2350" t="s">
        <v>2823</v>
      </c>
      <c r="O2350" t="s">
        <v>82</v>
      </c>
      <c r="P2350" t="str">
        <f>"4170055157                    "</f>
        <v xml:space="preserve">4170055157                    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0</v>
      </c>
      <c r="AL2350">
        <v>0</v>
      </c>
      <c r="AM2350">
        <v>0</v>
      </c>
      <c r="AN2350">
        <v>0</v>
      </c>
      <c r="AO2350">
        <v>0</v>
      </c>
      <c r="AP2350">
        <v>0</v>
      </c>
      <c r="AQ2350">
        <v>23.09</v>
      </c>
      <c r="AR2350">
        <v>0</v>
      </c>
      <c r="AS2350">
        <v>0</v>
      </c>
      <c r="AT2350">
        <v>0</v>
      </c>
      <c r="AU2350">
        <v>0</v>
      </c>
      <c r="AV2350">
        <v>0</v>
      </c>
      <c r="AW2350">
        <v>0</v>
      </c>
      <c r="AX2350">
        <v>0</v>
      </c>
      <c r="AY2350">
        <v>0</v>
      </c>
      <c r="AZ2350">
        <v>0</v>
      </c>
      <c r="BA2350">
        <v>0</v>
      </c>
      <c r="BB2350">
        <v>0</v>
      </c>
      <c r="BC2350">
        <v>0</v>
      </c>
      <c r="BD2350">
        <v>0</v>
      </c>
      <c r="BE2350">
        <v>0</v>
      </c>
      <c r="BF2350">
        <v>0</v>
      </c>
      <c r="BG2350">
        <v>0</v>
      </c>
      <c r="BH2350">
        <v>1</v>
      </c>
      <c r="BI2350">
        <v>1</v>
      </c>
      <c r="BJ2350">
        <v>0.2</v>
      </c>
      <c r="BK2350">
        <v>1</v>
      </c>
      <c r="BL2350">
        <v>71.69</v>
      </c>
      <c r="BM2350">
        <v>10.75</v>
      </c>
      <c r="BN2350">
        <v>82.44</v>
      </c>
      <c r="BO2350">
        <v>82.44</v>
      </c>
      <c r="BQ2350" t="s">
        <v>2824</v>
      </c>
      <c r="BR2350" t="s">
        <v>84</v>
      </c>
      <c r="BS2350" s="3">
        <v>45887</v>
      </c>
      <c r="BT2350" s="4">
        <v>0.41944444444444445</v>
      </c>
      <c r="BU2350" t="s">
        <v>886</v>
      </c>
      <c r="BV2350" t="s">
        <v>86</v>
      </c>
      <c r="BY2350">
        <v>1200</v>
      </c>
      <c r="CA2350" t="s">
        <v>239</v>
      </c>
      <c r="CC2350" t="s">
        <v>279</v>
      </c>
      <c r="CD2350" s="5" t="s">
        <v>2825</v>
      </c>
      <c r="CE2350" t="s">
        <v>109</v>
      </c>
      <c r="CF2350" s="3">
        <v>45887</v>
      </c>
      <c r="CI2350">
        <v>1</v>
      </c>
      <c r="CJ2350">
        <v>1</v>
      </c>
      <c r="CK2350">
        <v>21</v>
      </c>
      <c r="CL2350" t="s">
        <v>90</v>
      </c>
    </row>
    <row r="2351" spans="1:90" x14ac:dyDescent="0.3">
      <c r="A2351" t="s">
        <v>72</v>
      </c>
      <c r="B2351" t="s">
        <v>73</v>
      </c>
      <c r="C2351" t="s">
        <v>74</v>
      </c>
      <c r="E2351" t="str">
        <f>"080067265576"</f>
        <v>080067265576</v>
      </c>
      <c r="F2351" s="3">
        <v>45884</v>
      </c>
      <c r="G2351">
        <v>202605</v>
      </c>
      <c r="H2351" t="s">
        <v>75</v>
      </c>
      <c r="I2351" t="s">
        <v>76</v>
      </c>
      <c r="J2351" t="s">
        <v>77</v>
      </c>
      <c r="K2351" t="s">
        <v>78</v>
      </c>
      <c r="L2351" t="s">
        <v>2826</v>
      </c>
      <c r="M2351" t="s">
        <v>2827</v>
      </c>
      <c r="N2351" t="s">
        <v>2828</v>
      </c>
      <c r="O2351" t="s">
        <v>82</v>
      </c>
      <c r="P2351" t="str">
        <f>"4170055024                    "</f>
        <v xml:space="preserve">4170055024                    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0</v>
      </c>
      <c r="AI2351">
        <v>0</v>
      </c>
      <c r="AJ2351">
        <v>0</v>
      </c>
      <c r="AK2351">
        <v>0</v>
      </c>
      <c r="AL2351">
        <v>0</v>
      </c>
      <c r="AM2351">
        <v>0</v>
      </c>
      <c r="AN2351">
        <v>0</v>
      </c>
      <c r="AO2351">
        <v>0</v>
      </c>
      <c r="AP2351">
        <v>0</v>
      </c>
      <c r="AQ2351">
        <v>44.73</v>
      </c>
      <c r="AR2351">
        <v>0</v>
      </c>
      <c r="AS2351">
        <v>0</v>
      </c>
      <c r="AT2351">
        <v>0</v>
      </c>
      <c r="AU2351">
        <v>0</v>
      </c>
      <c r="AV2351">
        <v>0</v>
      </c>
      <c r="AW2351">
        <v>0</v>
      </c>
      <c r="AX2351">
        <v>0</v>
      </c>
      <c r="AY2351">
        <v>0</v>
      </c>
      <c r="AZ2351">
        <v>0</v>
      </c>
      <c r="BA2351">
        <v>0</v>
      </c>
      <c r="BB2351">
        <v>0</v>
      </c>
      <c r="BC2351">
        <v>0</v>
      </c>
      <c r="BD2351">
        <v>0</v>
      </c>
      <c r="BE2351">
        <v>0</v>
      </c>
      <c r="BF2351">
        <v>0</v>
      </c>
      <c r="BG2351">
        <v>0</v>
      </c>
      <c r="BH2351">
        <v>1</v>
      </c>
      <c r="BI2351">
        <v>1</v>
      </c>
      <c r="BJ2351">
        <v>0.2</v>
      </c>
      <c r="BK2351">
        <v>1</v>
      </c>
      <c r="BL2351">
        <v>138.88999999999999</v>
      </c>
      <c r="BM2351">
        <v>20.83</v>
      </c>
      <c r="BN2351">
        <v>159.72</v>
      </c>
      <c r="BO2351">
        <v>159.72</v>
      </c>
      <c r="BQ2351" t="s">
        <v>2829</v>
      </c>
      <c r="BR2351" t="s">
        <v>84</v>
      </c>
      <c r="BS2351" t="s">
        <v>96</v>
      </c>
      <c r="BY2351">
        <v>1200</v>
      </c>
      <c r="CC2351" t="s">
        <v>2827</v>
      </c>
      <c r="CD2351">
        <v>5320</v>
      </c>
      <c r="CE2351" t="s">
        <v>109</v>
      </c>
      <c r="CI2351">
        <v>5</v>
      </c>
      <c r="CJ2351" t="s">
        <v>96</v>
      </c>
      <c r="CK2351">
        <v>23</v>
      </c>
      <c r="CL2351" t="s">
        <v>90</v>
      </c>
    </row>
    <row r="2352" spans="1:90" x14ac:dyDescent="0.3">
      <c r="A2352" t="s">
        <v>72</v>
      </c>
      <c r="B2352" t="s">
        <v>73</v>
      </c>
      <c r="C2352" t="s">
        <v>74</v>
      </c>
      <c r="E2352" t="str">
        <f>"080067265591"</f>
        <v>080067265591</v>
      </c>
      <c r="F2352" s="3">
        <v>45884</v>
      </c>
      <c r="G2352">
        <v>202605</v>
      </c>
      <c r="H2352" t="s">
        <v>75</v>
      </c>
      <c r="I2352" t="s">
        <v>76</v>
      </c>
      <c r="J2352" t="s">
        <v>77</v>
      </c>
      <c r="K2352" t="s">
        <v>78</v>
      </c>
      <c r="L2352" t="s">
        <v>137</v>
      </c>
      <c r="M2352" t="s">
        <v>138</v>
      </c>
      <c r="N2352" t="s">
        <v>815</v>
      </c>
      <c r="O2352" t="s">
        <v>82</v>
      </c>
      <c r="P2352" t="str">
        <f>"4170055013                    "</f>
        <v xml:space="preserve">4170055013                    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0</v>
      </c>
      <c r="AI2352">
        <v>0</v>
      </c>
      <c r="AJ2352">
        <v>0</v>
      </c>
      <c r="AK2352">
        <v>0</v>
      </c>
      <c r="AL2352">
        <v>0</v>
      </c>
      <c r="AM2352">
        <v>0</v>
      </c>
      <c r="AN2352">
        <v>0</v>
      </c>
      <c r="AO2352">
        <v>0</v>
      </c>
      <c r="AP2352">
        <v>0</v>
      </c>
      <c r="AQ2352">
        <v>23.09</v>
      </c>
      <c r="AR2352">
        <v>0</v>
      </c>
      <c r="AS2352">
        <v>0</v>
      </c>
      <c r="AT2352">
        <v>0</v>
      </c>
      <c r="AU2352">
        <v>0</v>
      </c>
      <c r="AV2352">
        <v>0</v>
      </c>
      <c r="AW2352">
        <v>0</v>
      </c>
      <c r="AX2352">
        <v>0</v>
      </c>
      <c r="AY2352">
        <v>0</v>
      </c>
      <c r="AZ2352">
        <v>0</v>
      </c>
      <c r="BA2352">
        <v>0</v>
      </c>
      <c r="BB2352">
        <v>0</v>
      </c>
      <c r="BC2352">
        <v>0</v>
      </c>
      <c r="BD2352">
        <v>0</v>
      </c>
      <c r="BE2352">
        <v>0</v>
      </c>
      <c r="BF2352">
        <v>0</v>
      </c>
      <c r="BG2352">
        <v>0</v>
      </c>
      <c r="BH2352">
        <v>1</v>
      </c>
      <c r="BI2352">
        <v>1</v>
      </c>
      <c r="BJ2352">
        <v>0.2</v>
      </c>
      <c r="BK2352">
        <v>1</v>
      </c>
      <c r="BL2352">
        <v>71.69</v>
      </c>
      <c r="BM2352">
        <v>10.75</v>
      </c>
      <c r="BN2352">
        <v>82.44</v>
      </c>
      <c r="BO2352">
        <v>82.44</v>
      </c>
      <c r="BQ2352" t="s">
        <v>816</v>
      </c>
      <c r="BR2352" t="s">
        <v>84</v>
      </c>
      <c r="BS2352" s="3">
        <v>45887</v>
      </c>
      <c r="BT2352" s="4">
        <v>0.42986111111111114</v>
      </c>
      <c r="BU2352" t="s">
        <v>817</v>
      </c>
      <c r="BV2352" t="s">
        <v>86</v>
      </c>
      <c r="BY2352">
        <v>1200</v>
      </c>
      <c r="CA2352" t="s">
        <v>264</v>
      </c>
      <c r="CC2352" t="s">
        <v>138</v>
      </c>
      <c r="CD2352">
        <v>3610</v>
      </c>
      <c r="CE2352" t="s">
        <v>109</v>
      </c>
      <c r="CF2352" s="3">
        <v>45887</v>
      </c>
      <c r="CI2352">
        <v>1</v>
      </c>
      <c r="CJ2352">
        <v>1</v>
      </c>
      <c r="CK2352">
        <v>21</v>
      </c>
      <c r="CL2352" t="s">
        <v>90</v>
      </c>
    </row>
    <row r="2353" spans="1:90" x14ac:dyDescent="0.3">
      <c r="A2353" t="s">
        <v>72</v>
      </c>
      <c r="B2353" t="s">
        <v>73</v>
      </c>
      <c r="C2353" t="s">
        <v>74</v>
      </c>
      <c r="E2353" t="str">
        <f>"080067265606"</f>
        <v>080067265606</v>
      </c>
      <c r="F2353" s="3">
        <v>45884</v>
      </c>
      <c r="G2353">
        <v>202605</v>
      </c>
      <c r="H2353" t="s">
        <v>75</v>
      </c>
      <c r="I2353" t="s">
        <v>76</v>
      </c>
      <c r="J2353" t="s">
        <v>77</v>
      </c>
      <c r="K2353" t="s">
        <v>78</v>
      </c>
      <c r="L2353" t="s">
        <v>123</v>
      </c>
      <c r="M2353" t="s">
        <v>124</v>
      </c>
      <c r="N2353" t="s">
        <v>2830</v>
      </c>
      <c r="O2353" t="s">
        <v>82</v>
      </c>
      <c r="P2353" t="str">
        <f>"4170055034                    "</f>
        <v xml:space="preserve">4170055034                    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0</v>
      </c>
      <c r="AI2353">
        <v>0</v>
      </c>
      <c r="AJ2353">
        <v>0</v>
      </c>
      <c r="AK2353">
        <v>0</v>
      </c>
      <c r="AL2353">
        <v>0</v>
      </c>
      <c r="AM2353">
        <v>0</v>
      </c>
      <c r="AN2353">
        <v>0</v>
      </c>
      <c r="AO2353">
        <v>0</v>
      </c>
      <c r="AP2353">
        <v>0</v>
      </c>
      <c r="AQ2353">
        <v>23.09</v>
      </c>
      <c r="AR2353">
        <v>0</v>
      </c>
      <c r="AS2353">
        <v>0</v>
      </c>
      <c r="AT2353">
        <v>0</v>
      </c>
      <c r="AU2353">
        <v>0</v>
      </c>
      <c r="AV2353">
        <v>0</v>
      </c>
      <c r="AW2353">
        <v>0</v>
      </c>
      <c r="AX2353">
        <v>0</v>
      </c>
      <c r="AY2353">
        <v>0</v>
      </c>
      <c r="AZ2353">
        <v>0</v>
      </c>
      <c r="BA2353">
        <v>0</v>
      </c>
      <c r="BB2353">
        <v>0</v>
      </c>
      <c r="BC2353">
        <v>0</v>
      </c>
      <c r="BD2353">
        <v>0</v>
      </c>
      <c r="BE2353">
        <v>0</v>
      </c>
      <c r="BF2353">
        <v>0</v>
      </c>
      <c r="BG2353">
        <v>0</v>
      </c>
      <c r="BH2353">
        <v>1</v>
      </c>
      <c r="BI2353">
        <v>1</v>
      </c>
      <c r="BJ2353">
        <v>0.2</v>
      </c>
      <c r="BK2353">
        <v>1</v>
      </c>
      <c r="BL2353">
        <v>71.69</v>
      </c>
      <c r="BM2353">
        <v>10.75</v>
      </c>
      <c r="BN2353">
        <v>82.44</v>
      </c>
      <c r="BO2353">
        <v>82.44</v>
      </c>
      <c r="BQ2353" t="s">
        <v>2831</v>
      </c>
      <c r="BR2353" t="s">
        <v>84</v>
      </c>
      <c r="BS2353" s="3">
        <v>45887</v>
      </c>
      <c r="BT2353" s="4">
        <v>0.4</v>
      </c>
      <c r="BU2353" t="s">
        <v>428</v>
      </c>
      <c r="BV2353" t="s">
        <v>86</v>
      </c>
      <c r="BY2353">
        <v>1200</v>
      </c>
      <c r="CA2353" t="s">
        <v>128</v>
      </c>
      <c r="CC2353" t="s">
        <v>124</v>
      </c>
      <c r="CD2353">
        <v>7560</v>
      </c>
      <c r="CE2353" t="s">
        <v>109</v>
      </c>
      <c r="CI2353">
        <v>1</v>
      </c>
      <c r="CJ2353">
        <v>1</v>
      </c>
      <c r="CK2353">
        <v>21</v>
      </c>
      <c r="CL2353" t="s">
        <v>90</v>
      </c>
    </row>
    <row r="2354" spans="1:90" x14ac:dyDescent="0.3">
      <c r="A2354" t="s">
        <v>72</v>
      </c>
      <c r="B2354" t="s">
        <v>73</v>
      </c>
      <c r="C2354" t="s">
        <v>74</v>
      </c>
      <c r="E2354" t="str">
        <f>"080067265685"</f>
        <v>080067265685</v>
      </c>
      <c r="F2354" s="3">
        <v>45884</v>
      </c>
      <c r="G2354">
        <v>202605</v>
      </c>
      <c r="H2354" t="s">
        <v>75</v>
      </c>
      <c r="I2354" t="s">
        <v>76</v>
      </c>
      <c r="J2354" t="s">
        <v>77</v>
      </c>
      <c r="K2354" t="s">
        <v>78</v>
      </c>
      <c r="L2354" t="s">
        <v>278</v>
      </c>
      <c r="M2354" t="s">
        <v>279</v>
      </c>
      <c r="N2354" t="s">
        <v>131</v>
      </c>
      <c r="O2354" t="s">
        <v>82</v>
      </c>
      <c r="P2354" t="str">
        <f>"4170055136                    "</f>
        <v xml:space="preserve">4170055136                    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0</v>
      </c>
      <c r="AI2354">
        <v>0</v>
      </c>
      <c r="AJ2354">
        <v>0</v>
      </c>
      <c r="AK2354">
        <v>0</v>
      </c>
      <c r="AL2354">
        <v>0</v>
      </c>
      <c r="AM2354">
        <v>0</v>
      </c>
      <c r="AN2354">
        <v>0</v>
      </c>
      <c r="AO2354">
        <v>0</v>
      </c>
      <c r="AP2354">
        <v>0</v>
      </c>
      <c r="AQ2354">
        <v>23.09</v>
      </c>
      <c r="AR2354">
        <v>0</v>
      </c>
      <c r="AS2354">
        <v>0</v>
      </c>
      <c r="AT2354">
        <v>0</v>
      </c>
      <c r="AU2354">
        <v>0</v>
      </c>
      <c r="AV2354">
        <v>0</v>
      </c>
      <c r="AW2354">
        <v>0</v>
      </c>
      <c r="AX2354">
        <v>0</v>
      </c>
      <c r="AY2354">
        <v>0</v>
      </c>
      <c r="AZ2354">
        <v>0</v>
      </c>
      <c r="BA2354">
        <v>0</v>
      </c>
      <c r="BB2354">
        <v>0</v>
      </c>
      <c r="BC2354">
        <v>0</v>
      </c>
      <c r="BD2354">
        <v>0</v>
      </c>
      <c r="BE2354">
        <v>0</v>
      </c>
      <c r="BF2354">
        <v>0</v>
      </c>
      <c r="BG2354">
        <v>0</v>
      </c>
      <c r="BH2354">
        <v>1</v>
      </c>
      <c r="BI2354">
        <v>1</v>
      </c>
      <c r="BJ2354">
        <v>0.2</v>
      </c>
      <c r="BK2354">
        <v>1</v>
      </c>
      <c r="BL2354">
        <v>71.69</v>
      </c>
      <c r="BM2354">
        <v>10.75</v>
      </c>
      <c r="BN2354">
        <v>82.44</v>
      </c>
      <c r="BO2354">
        <v>82.44</v>
      </c>
      <c r="BQ2354" t="s">
        <v>132</v>
      </c>
      <c r="BR2354" t="s">
        <v>84</v>
      </c>
      <c r="BS2354" s="3">
        <v>45887</v>
      </c>
      <c r="BT2354" s="4">
        <v>0.41736111111111113</v>
      </c>
      <c r="BU2354" t="s">
        <v>2832</v>
      </c>
      <c r="BV2354" t="s">
        <v>86</v>
      </c>
      <c r="BY2354">
        <v>1200</v>
      </c>
      <c r="CA2354" t="s">
        <v>1987</v>
      </c>
      <c r="CC2354" t="s">
        <v>279</v>
      </c>
      <c r="CD2354" s="5" t="s">
        <v>533</v>
      </c>
      <c r="CE2354" t="s">
        <v>109</v>
      </c>
      <c r="CF2354" s="3">
        <v>45887</v>
      </c>
      <c r="CI2354">
        <v>1</v>
      </c>
      <c r="CJ2354">
        <v>1</v>
      </c>
      <c r="CK2354">
        <v>21</v>
      </c>
      <c r="CL2354" t="s">
        <v>90</v>
      </c>
    </row>
    <row r="2355" spans="1:90" x14ac:dyDescent="0.3">
      <c r="A2355" t="s">
        <v>72</v>
      </c>
      <c r="B2355" t="s">
        <v>73</v>
      </c>
      <c r="C2355" t="s">
        <v>74</v>
      </c>
      <c r="E2355" t="str">
        <f>"080067265718"</f>
        <v>080067265718</v>
      </c>
      <c r="F2355" s="3">
        <v>45884</v>
      </c>
      <c r="G2355">
        <v>202605</v>
      </c>
      <c r="H2355" t="s">
        <v>75</v>
      </c>
      <c r="I2355" t="s">
        <v>76</v>
      </c>
      <c r="J2355" t="s">
        <v>77</v>
      </c>
      <c r="K2355" t="s">
        <v>78</v>
      </c>
      <c r="L2355" t="s">
        <v>373</v>
      </c>
      <c r="M2355" t="s">
        <v>374</v>
      </c>
      <c r="N2355" t="s">
        <v>1695</v>
      </c>
      <c r="O2355" t="s">
        <v>82</v>
      </c>
      <c r="P2355" t="str">
        <f>"4170055179                    "</f>
        <v xml:space="preserve">4170055179                    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0</v>
      </c>
      <c r="AI2355">
        <v>0</v>
      </c>
      <c r="AJ2355">
        <v>0</v>
      </c>
      <c r="AK2355">
        <v>0</v>
      </c>
      <c r="AL2355">
        <v>0</v>
      </c>
      <c r="AM2355">
        <v>0</v>
      </c>
      <c r="AN2355">
        <v>0</v>
      </c>
      <c r="AO2355">
        <v>0</v>
      </c>
      <c r="AP2355">
        <v>0</v>
      </c>
      <c r="AQ2355">
        <v>23.09</v>
      </c>
      <c r="AR2355">
        <v>0</v>
      </c>
      <c r="AS2355">
        <v>0</v>
      </c>
      <c r="AT2355">
        <v>0</v>
      </c>
      <c r="AU2355">
        <v>0</v>
      </c>
      <c r="AV2355">
        <v>0</v>
      </c>
      <c r="AW2355">
        <v>0</v>
      </c>
      <c r="AX2355">
        <v>0</v>
      </c>
      <c r="AY2355">
        <v>0</v>
      </c>
      <c r="AZ2355">
        <v>0</v>
      </c>
      <c r="BA2355">
        <v>0</v>
      </c>
      <c r="BB2355">
        <v>0</v>
      </c>
      <c r="BC2355">
        <v>0</v>
      </c>
      <c r="BD2355">
        <v>0</v>
      </c>
      <c r="BE2355">
        <v>0</v>
      </c>
      <c r="BF2355">
        <v>0</v>
      </c>
      <c r="BG2355">
        <v>0</v>
      </c>
      <c r="BH2355">
        <v>1</v>
      </c>
      <c r="BI2355">
        <v>1</v>
      </c>
      <c r="BJ2355">
        <v>1.3</v>
      </c>
      <c r="BK2355">
        <v>1.5</v>
      </c>
      <c r="BL2355">
        <v>71.69</v>
      </c>
      <c r="BM2355">
        <v>10.75</v>
      </c>
      <c r="BN2355">
        <v>82.44</v>
      </c>
      <c r="BO2355">
        <v>82.44</v>
      </c>
      <c r="BQ2355" t="s">
        <v>1696</v>
      </c>
      <c r="BR2355" t="s">
        <v>84</v>
      </c>
      <c r="BS2355" s="3">
        <v>45887</v>
      </c>
      <c r="BT2355" s="4">
        <v>0.42430555555555555</v>
      </c>
      <c r="BU2355" t="s">
        <v>2833</v>
      </c>
      <c r="BV2355" t="s">
        <v>86</v>
      </c>
      <c r="BY2355">
        <v>6384</v>
      </c>
      <c r="CA2355" t="s">
        <v>2759</v>
      </c>
      <c r="CC2355" t="s">
        <v>374</v>
      </c>
      <c r="CD2355">
        <v>6220</v>
      </c>
      <c r="CE2355" t="s">
        <v>147</v>
      </c>
      <c r="CF2355" s="3">
        <v>45887</v>
      </c>
      <c r="CI2355">
        <v>1</v>
      </c>
      <c r="CJ2355">
        <v>1</v>
      </c>
      <c r="CK2355">
        <v>21</v>
      </c>
      <c r="CL2355" t="s">
        <v>90</v>
      </c>
    </row>
    <row r="2356" spans="1:90" x14ac:dyDescent="0.3">
      <c r="A2356" t="s">
        <v>72</v>
      </c>
      <c r="B2356" t="s">
        <v>73</v>
      </c>
      <c r="C2356" t="s">
        <v>74</v>
      </c>
      <c r="E2356" t="str">
        <f>"080067265760"</f>
        <v>080067265760</v>
      </c>
      <c r="F2356" s="3">
        <v>45884</v>
      </c>
      <c r="G2356">
        <v>202605</v>
      </c>
      <c r="H2356" t="s">
        <v>75</v>
      </c>
      <c r="I2356" t="s">
        <v>76</v>
      </c>
      <c r="J2356" t="s">
        <v>77</v>
      </c>
      <c r="K2356" t="s">
        <v>78</v>
      </c>
      <c r="L2356" t="s">
        <v>229</v>
      </c>
      <c r="M2356" t="s">
        <v>230</v>
      </c>
      <c r="N2356" t="s">
        <v>231</v>
      </c>
      <c r="O2356" t="s">
        <v>82</v>
      </c>
      <c r="P2356" t="str">
        <f>"4170055007                    "</f>
        <v xml:space="preserve">4170055007                    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0</v>
      </c>
      <c r="AI2356">
        <v>0</v>
      </c>
      <c r="AJ2356">
        <v>0</v>
      </c>
      <c r="AK2356">
        <v>0</v>
      </c>
      <c r="AL2356">
        <v>0</v>
      </c>
      <c r="AM2356">
        <v>0</v>
      </c>
      <c r="AN2356">
        <v>0</v>
      </c>
      <c r="AO2356">
        <v>0</v>
      </c>
      <c r="AP2356">
        <v>0</v>
      </c>
      <c r="AQ2356">
        <v>105.32</v>
      </c>
      <c r="AR2356">
        <v>0</v>
      </c>
      <c r="AS2356">
        <v>0</v>
      </c>
      <c r="AT2356">
        <v>0</v>
      </c>
      <c r="AU2356">
        <v>0</v>
      </c>
      <c r="AV2356">
        <v>0</v>
      </c>
      <c r="AW2356">
        <v>0</v>
      </c>
      <c r="AX2356">
        <v>0</v>
      </c>
      <c r="AY2356">
        <v>0</v>
      </c>
      <c r="AZ2356">
        <v>0</v>
      </c>
      <c r="BA2356">
        <v>0</v>
      </c>
      <c r="BB2356">
        <v>0</v>
      </c>
      <c r="BC2356">
        <v>0</v>
      </c>
      <c r="BD2356">
        <v>0</v>
      </c>
      <c r="BE2356">
        <v>0</v>
      </c>
      <c r="BF2356">
        <v>0</v>
      </c>
      <c r="BG2356">
        <v>0</v>
      </c>
      <c r="BH2356">
        <v>1</v>
      </c>
      <c r="BI2356">
        <v>5</v>
      </c>
      <c r="BJ2356">
        <v>1.7</v>
      </c>
      <c r="BK2356">
        <v>5</v>
      </c>
      <c r="BL2356">
        <v>327.04000000000002</v>
      </c>
      <c r="BM2356">
        <v>49.06</v>
      </c>
      <c r="BN2356">
        <v>376.1</v>
      </c>
      <c r="BO2356">
        <v>376.1</v>
      </c>
      <c r="BQ2356" t="s">
        <v>232</v>
      </c>
      <c r="BR2356" t="s">
        <v>84</v>
      </c>
      <c r="BS2356" s="3">
        <v>45887</v>
      </c>
      <c r="BT2356" s="4">
        <v>0.375</v>
      </c>
      <c r="BU2356" t="s">
        <v>2834</v>
      </c>
      <c r="BV2356" t="s">
        <v>86</v>
      </c>
      <c r="BY2356">
        <v>8512</v>
      </c>
      <c r="CC2356" t="s">
        <v>230</v>
      </c>
      <c r="CD2356">
        <v>2740</v>
      </c>
      <c r="CE2356" t="s">
        <v>147</v>
      </c>
      <c r="CI2356">
        <v>1</v>
      </c>
      <c r="CJ2356">
        <v>1</v>
      </c>
      <c r="CK2356">
        <v>23</v>
      </c>
      <c r="CL2356" t="s">
        <v>90</v>
      </c>
    </row>
    <row r="2357" spans="1:90" x14ac:dyDescent="0.3">
      <c r="A2357" t="s">
        <v>72</v>
      </c>
      <c r="B2357" t="s">
        <v>73</v>
      </c>
      <c r="C2357" t="s">
        <v>74</v>
      </c>
      <c r="E2357" t="str">
        <f>"080067265817"</f>
        <v>080067265817</v>
      </c>
      <c r="F2357" s="3">
        <v>45884</v>
      </c>
      <c r="G2357">
        <v>202605</v>
      </c>
      <c r="H2357" t="s">
        <v>75</v>
      </c>
      <c r="I2357" t="s">
        <v>76</v>
      </c>
      <c r="J2357" t="s">
        <v>77</v>
      </c>
      <c r="K2357" t="s">
        <v>78</v>
      </c>
      <c r="L2357" t="s">
        <v>606</v>
      </c>
      <c r="M2357" t="s">
        <v>607</v>
      </c>
      <c r="N2357" t="s">
        <v>1413</v>
      </c>
      <c r="O2357" t="s">
        <v>82</v>
      </c>
      <c r="P2357" t="str">
        <f>"4170054982                    "</f>
        <v xml:space="preserve">4170054982                    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0</v>
      </c>
      <c r="AJ2357">
        <v>0</v>
      </c>
      <c r="AK2357">
        <v>0</v>
      </c>
      <c r="AL2357">
        <v>0</v>
      </c>
      <c r="AM2357">
        <v>0</v>
      </c>
      <c r="AN2357">
        <v>0</v>
      </c>
      <c r="AO2357">
        <v>0</v>
      </c>
      <c r="AP2357">
        <v>0</v>
      </c>
      <c r="AQ2357">
        <v>85.12</v>
      </c>
      <c r="AR2357">
        <v>0</v>
      </c>
      <c r="AS2357">
        <v>0</v>
      </c>
      <c r="AT2357">
        <v>0</v>
      </c>
      <c r="AU2357">
        <v>0</v>
      </c>
      <c r="AV2357">
        <v>0</v>
      </c>
      <c r="AW2357">
        <v>0</v>
      </c>
      <c r="AX2357">
        <v>0</v>
      </c>
      <c r="AY2357">
        <v>0</v>
      </c>
      <c r="AZ2357">
        <v>0</v>
      </c>
      <c r="BA2357">
        <v>0</v>
      </c>
      <c r="BB2357">
        <v>0</v>
      </c>
      <c r="BC2357">
        <v>0</v>
      </c>
      <c r="BD2357">
        <v>0</v>
      </c>
      <c r="BE2357">
        <v>0</v>
      </c>
      <c r="BF2357">
        <v>0</v>
      </c>
      <c r="BG2357">
        <v>0</v>
      </c>
      <c r="BH2357">
        <v>1</v>
      </c>
      <c r="BI2357">
        <v>4</v>
      </c>
      <c r="BJ2357">
        <v>1.4</v>
      </c>
      <c r="BK2357">
        <v>4</v>
      </c>
      <c r="BL2357">
        <v>264.32</v>
      </c>
      <c r="BM2357">
        <v>39.65</v>
      </c>
      <c r="BN2357">
        <v>303.97000000000003</v>
      </c>
      <c r="BO2357">
        <v>303.97000000000003</v>
      </c>
      <c r="BQ2357" t="s">
        <v>1414</v>
      </c>
      <c r="BR2357" t="s">
        <v>84</v>
      </c>
      <c r="BS2357" t="s">
        <v>96</v>
      </c>
      <c r="BY2357">
        <v>7000</v>
      </c>
      <c r="CC2357" t="s">
        <v>607</v>
      </c>
      <c r="CD2357">
        <v>1390</v>
      </c>
      <c r="CE2357" t="s">
        <v>147</v>
      </c>
      <c r="CI2357">
        <v>1</v>
      </c>
      <c r="CJ2357" t="s">
        <v>96</v>
      </c>
      <c r="CK2357">
        <v>23</v>
      </c>
      <c r="CL2357" t="s">
        <v>90</v>
      </c>
    </row>
    <row r="2358" spans="1:90" x14ac:dyDescent="0.3">
      <c r="A2358" t="s">
        <v>72</v>
      </c>
      <c r="B2358" t="s">
        <v>73</v>
      </c>
      <c r="C2358" t="s">
        <v>74</v>
      </c>
      <c r="E2358" t="str">
        <f>"080067265844"</f>
        <v>080067265844</v>
      </c>
      <c r="F2358" s="3">
        <v>45884</v>
      </c>
      <c r="G2358">
        <v>202605</v>
      </c>
      <c r="H2358" t="s">
        <v>75</v>
      </c>
      <c r="I2358" t="s">
        <v>76</v>
      </c>
      <c r="J2358" t="s">
        <v>77</v>
      </c>
      <c r="K2358" t="s">
        <v>78</v>
      </c>
      <c r="L2358" t="s">
        <v>314</v>
      </c>
      <c r="M2358" t="s">
        <v>314</v>
      </c>
      <c r="N2358" t="s">
        <v>2835</v>
      </c>
      <c r="O2358" t="s">
        <v>82</v>
      </c>
      <c r="P2358" t="str">
        <f>"4170055063                    "</f>
        <v xml:space="preserve">4170055063                    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0</v>
      </c>
      <c r="AI2358">
        <v>0</v>
      </c>
      <c r="AJ2358">
        <v>0</v>
      </c>
      <c r="AK2358">
        <v>0</v>
      </c>
      <c r="AL2358">
        <v>0</v>
      </c>
      <c r="AM2358">
        <v>0</v>
      </c>
      <c r="AN2358">
        <v>0</v>
      </c>
      <c r="AO2358">
        <v>0</v>
      </c>
      <c r="AP2358">
        <v>0</v>
      </c>
      <c r="AQ2358">
        <v>32.47</v>
      </c>
      <c r="AR2358">
        <v>0</v>
      </c>
      <c r="AS2358">
        <v>0</v>
      </c>
      <c r="AT2358">
        <v>0</v>
      </c>
      <c r="AU2358">
        <v>0</v>
      </c>
      <c r="AV2358">
        <v>0</v>
      </c>
      <c r="AW2358">
        <v>0</v>
      </c>
      <c r="AX2358">
        <v>0</v>
      </c>
      <c r="AY2358">
        <v>0</v>
      </c>
      <c r="AZ2358">
        <v>0</v>
      </c>
      <c r="BA2358">
        <v>0</v>
      </c>
      <c r="BB2358">
        <v>0</v>
      </c>
      <c r="BC2358">
        <v>0</v>
      </c>
      <c r="BD2358">
        <v>0</v>
      </c>
      <c r="BE2358">
        <v>0</v>
      </c>
      <c r="BF2358">
        <v>0</v>
      </c>
      <c r="BG2358">
        <v>0</v>
      </c>
      <c r="BH2358">
        <v>1</v>
      </c>
      <c r="BI2358">
        <v>1</v>
      </c>
      <c r="BJ2358">
        <v>0.2</v>
      </c>
      <c r="BK2358">
        <v>1</v>
      </c>
      <c r="BL2358">
        <v>100.82</v>
      </c>
      <c r="BM2358">
        <v>15.12</v>
      </c>
      <c r="BN2358">
        <v>115.94</v>
      </c>
      <c r="BO2358">
        <v>115.94</v>
      </c>
      <c r="BQ2358" t="s">
        <v>2836</v>
      </c>
      <c r="BR2358" t="s">
        <v>84</v>
      </c>
      <c r="BS2358" s="3">
        <v>45887</v>
      </c>
      <c r="BT2358" s="4">
        <v>0.61111111111111116</v>
      </c>
      <c r="BU2358" t="s">
        <v>2837</v>
      </c>
      <c r="BV2358" t="s">
        <v>86</v>
      </c>
      <c r="BY2358">
        <v>1200</v>
      </c>
      <c r="CA2358" t="s">
        <v>1125</v>
      </c>
      <c r="CC2358" t="s">
        <v>314</v>
      </c>
      <c r="CD2358">
        <v>1490</v>
      </c>
      <c r="CE2358" t="s">
        <v>109</v>
      </c>
      <c r="CF2358" s="3">
        <v>45887</v>
      </c>
      <c r="CI2358">
        <v>1</v>
      </c>
      <c r="CJ2358">
        <v>1</v>
      </c>
      <c r="CK2358">
        <v>24</v>
      </c>
      <c r="CL2358" t="s">
        <v>90</v>
      </c>
    </row>
    <row r="2359" spans="1:90" x14ac:dyDescent="0.3">
      <c r="A2359" t="s">
        <v>72</v>
      </c>
      <c r="B2359" t="s">
        <v>73</v>
      </c>
      <c r="C2359" t="s">
        <v>74</v>
      </c>
      <c r="E2359" t="str">
        <f>"080067265890"</f>
        <v>080067265890</v>
      </c>
      <c r="F2359" s="3">
        <v>45884</v>
      </c>
      <c r="G2359">
        <v>202605</v>
      </c>
      <c r="H2359" t="s">
        <v>75</v>
      </c>
      <c r="I2359" t="s">
        <v>76</v>
      </c>
      <c r="J2359" t="s">
        <v>77</v>
      </c>
      <c r="K2359" t="s">
        <v>78</v>
      </c>
      <c r="L2359" t="s">
        <v>217</v>
      </c>
      <c r="M2359" t="s">
        <v>218</v>
      </c>
      <c r="N2359" t="s">
        <v>861</v>
      </c>
      <c r="O2359" t="s">
        <v>82</v>
      </c>
      <c r="P2359" t="str">
        <f>"4170055058                    "</f>
        <v xml:space="preserve">4170055058                    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0</v>
      </c>
      <c r="AL2359">
        <v>0</v>
      </c>
      <c r="AM2359">
        <v>0</v>
      </c>
      <c r="AN2359">
        <v>0</v>
      </c>
      <c r="AO2359">
        <v>0</v>
      </c>
      <c r="AP2359">
        <v>0</v>
      </c>
      <c r="AQ2359">
        <v>23.09</v>
      </c>
      <c r="AR2359">
        <v>0</v>
      </c>
      <c r="AS2359">
        <v>0</v>
      </c>
      <c r="AT2359">
        <v>0</v>
      </c>
      <c r="AU2359">
        <v>0</v>
      </c>
      <c r="AV2359">
        <v>0</v>
      </c>
      <c r="AW2359">
        <v>0</v>
      </c>
      <c r="AX2359">
        <v>0</v>
      </c>
      <c r="AY2359">
        <v>0</v>
      </c>
      <c r="AZ2359">
        <v>0</v>
      </c>
      <c r="BA2359">
        <v>0</v>
      </c>
      <c r="BB2359">
        <v>0</v>
      </c>
      <c r="BC2359">
        <v>0</v>
      </c>
      <c r="BD2359">
        <v>0</v>
      </c>
      <c r="BE2359">
        <v>0</v>
      </c>
      <c r="BF2359">
        <v>0</v>
      </c>
      <c r="BG2359">
        <v>0</v>
      </c>
      <c r="BH2359">
        <v>1</v>
      </c>
      <c r="BI2359">
        <v>2</v>
      </c>
      <c r="BJ2359">
        <v>1.1000000000000001</v>
      </c>
      <c r="BK2359">
        <v>2</v>
      </c>
      <c r="BL2359">
        <v>71.69</v>
      </c>
      <c r="BM2359">
        <v>10.75</v>
      </c>
      <c r="BN2359">
        <v>82.44</v>
      </c>
      <c r="BO2359">
        <v>82.44</v>
      </c>
      <c r="BQ2359" t="s">
        <v>862</v>
      </c>
      <c r="BR2359" t="s">
        <v>84</v>
      </c>
      <c r="BS2359" s="3">
        <v>45887</v>
      </c>
      <c r="BT2359" s="4">
        <v>0.5</v>
      </c>
      <c r="BU2359" t="s">
        <v>2838</v>
      </c>
      <c r="BV2359" t="s">
        <v>86</v>
      </c>
      <c r="BY2359">
        <v>5320</v>
      </c>
      <c r="CA2359" t="s">
        <v>864</v>
      </c>
      <c r="CC2359" t="s">
        <v>218</v>
      </c>
      <c r="CD2359">
        <v>4001</v>
      </c>
      <c r="CE2359" t="s">
        <v>147</v>
      </c>
      <c r="CF2359" s="3">
        <v>45888</v>
      </c>
      <c r="CI2359">
        <v>1</v>
      </c>
      <c r="CJ2359">
        <v>1</v>
      </c>
      <c r="CK2359">
        <v>21</v>
      </c>
      <c r="CL2359" t="s">
        <v>90</v>
      </c>
    </row>
    <row r="2360" spans="1:90" x14ac:dyDescent="0.3">
      <c r="A2360" t="s">
        <v>72</v>
      </c>
      <c r="B2360" t="s">
        <v>73</v>
      </c>
      <c r="C2360" t="s">
        <v>74</v>
      </c>
      <c r="E2360" t="str">
        <f>"080067265993"</f>
        <v>080067265993</v>
      </c>
      <c r="F2360" s="3">
        <v>45884</v>
      </c>
      <c r="G2360">
        <v>202605</v>
      </c>
      <c r="H2360" t="s">
        <v>75</v>
      </c>
      <c r="I2360" t="s">
        <v>76</v>
      </c>
      <c r="J2360" t="s">
        <v>77</v>
      </c>
      <c r="K2360" t="s">
        <v>78</v>
      </c>
      <c r="L2360" t="s">
        <v>137</v>
      </c>
      <c r="M2360" t="s">
        <v>138</v>
      </c>
      <c r="N2360" t="s">
        <v>815</v>
      </c>
      <c r="O2360" t="s">
        <v>82</v>
      </c>
      <c r="P2360" t="str">
        <f>"4170055134                    "</f>
        <v xml:space="preserve">4170055134                    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0</v>
      </c>
      <c r="AI2360">
        <v>0</v>
      </c>
      <c r="AJ2360">
        <v>0</v>
      </c>
      <c r="AK2360">
        <v>0</v>
      </c>
      <c r="AL2360">
        <v>0</v>
      </c>
      <c r="AM2360">
        <v>0</v>
      </c>
      <c r="AN2360">
        <v>0</v>
      </c>
      <c r="AO2360">
        <v>0</v>
      </c>
      <c r="AP2360">
        <v>0</v>
      </c>
      <c r="AQ2360">
        <v>69.22</v>
      </c>
      <c r="AR2360">
        <v>0</v>
      </c>
      <c r="AS2360">
        <v>0</v>
      </c>
      <c r="AT2360">
        <v>0</v>
      </c>
      <c r="AU2360">
        <v>0</v>
      </c>
      <c r="AV2360">
        <v>0</v>
      </c>
      <c r="AW2360">
        <v>0</v>
      </c>
      <c r="AX2360">
        <v>0</v>
      </c>
      <c r="AY2360">
        <v>0</v>
      </c>
      <c r="AZ2360">
        <v>0</v>
      </c>
      <c r="BA2360">
        <v>0</v>
      </c>
      <c r="BB2360">
        <v>0</v>
      </c>
      <c r="BC2360">
        <v>0</v>
      </c>
      <c r="BD2360">
        <v>0</v>
      </c>
      <c r="BE2360">
        <v>0</v>
      </c>
      <c r="BF2360">
        <v>0</v>
      </c>
      <c r="BG2360">
        <v>0</v>
      </c>
      <c r="BH2360">
        <v>1</v>
      </c>
      <c r="BI2360">
        <v>4</v>
      </c>
      <c r="BJ2360">
        <v>6</v>
      </c>
      <c r="BK2360">
        <v>6</v>
      </c>
      <c r="BL2360">
        <v>214.94</v>
      </c>
      <c r="BM2360">
        <v>32.24</v>
      </c>
      <c r="BN2360">
        <v>247.18</v>
      </c>
      <c r="BO2360">
        <v>247.18</v>
      </c>
      <c r="BQ2360" t="s">
        <v>816</v>
      </c>
      <c r="BR2360" t="s">
        <v>84</v>
      </c>
      <c r="BS2360" s="3">
        <v>45887</v>
      </c>
      <c r="BT2360" s="4">
        <v>0.43055555555555558</v>
      </c>
      <c r="BU2360" t="s">
        <v>817</v>
      </c>
      <c r="BV2360" t="s">
        <v>86</v>
      </c>
      <c r="BY2360">
        <v>30056</v>
      </c>
      <c r="CA2360" t="s">
        <v>264</v>
      </c>
      <c r="CC2360" t="s">
        <v>138</v>
      </c>
      <c r="CD2360">
        <v>3610</v>
      </c>
      <c r="CE2360" t="s">
        <v>117</v>
      </c>
      <c r="CF2360" s="3">
        <v>45887</v>
      </c>
      <c r="CI2360">
        <v>1</v>
      </c>
      <c r="CJ2360">
        <v>1</v>
      </c>
      <c r="CK2360">
        <v>21</v>
      </c>
      <c r="CL2360" t="s">
        <v>90</v>
      </c>
    </row>
    <row r="2361" spans="1:90" x14ac:dyDescent="0.3">
      <c r="A2361" t="s">
        <v>72</v>
      </c>
      <c r="B2361" t="s">
        <v>73</v>
      </c>
      <c r="C2361" t="s">
        <v>74</v>
      </c>
      <c r="E2361" t="str">
        <f>"080067266020"</f>
        <v>080067266020</v>
      </c>
      <c r="F2361" s="3">
        <v>45884</v>
      </c>
      <c r="G2361">
        <v>202605</v>
      </c>
      <c r="H2361" t="s">
        <v>75</v>
      </c>
      <c r="I2361" t="s">
        <v>76</v>
      </c>
      <c r="J2361" t="s">
        <v>77</v>
      </c>
      <c r="K2361" t="s">
        <v>78</v>
      </c>
      <c r="L2361" t="s">
        <v>1272</v>
      </c>
      <c r="M2361" t="s">
        <v>1273</v>
      </c>
      <c r="N2361" t="s">
        <v>557</v>
      </c>
      <c r="O2361" t="s">
        <v>82</v>
      </c>
      <c r="P2361" t="str">
        <f>"4170055161                    "</f>
        <v xml:space="preserve">4170055161                    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>
        <v>0</v>
      </c>
      <c r="AQ2361">
        <v>23.09</v>
      </c>
      <c r="AR2361">
        <v>0</v>
      </c>
      <c r="AS2361">
        <v>0</v>
      </c>
      <c r="AT2361">
        <v>0</v>
      </c>
      <c r="AU2361">
        <v>0</v>
      </c>
      <c r="AV2361">
        <v>0</v>
      </c>
      <c r="AW2361">
        <v>0</v>
      </c>
      <c r="AX2361">
        <v>0</v>
      </c>
      <c r="AY2361">
        <v>0</v>
      </c>
      <c r="AZ2361">
        <v>0</v>
      </c>
      <c r="BA2361">
        <v>0</v>
      </c>
      <c r="BB2361">
        <v>0</v>
      </c>
      <c r="BC2361">
        <v>0</v>
      </c>
      <c r="BD2361">
        <v>0</v>
      </c>
      <c r="BE2361">
        <v>0</v>
      </c>
      <c r="BF2361">
        <v>0</v>
      </c>
      <c r="BG2361">
        <v>0</v>
      </c>
      <c r="BH2361">
        <v>1</v>
      </c>
      <c r="BI2361">
        <v>2</v>
      </c>
      <c r="BJ2361">
        <v>0.6</v>
      </c>
      <c r="BK2361">
        <v>2</v>
      </c>
      <c r="BL2361">
        <v>71.69</v>
      </c>
      <c r="BM2361">
        <v>10.75</v>
      </c>
      <c r="BN2361">
        <v>82.44</v>
      </c>
      <c r="BO2361">
        <v>82.44</v>
      </c>
      <c r="BQ2361" t="s">
        <v>558</v>
      </c>
      <c r="BR2361" t="s">
        <v>84</v>
      </c>
      <c r="BS2361" s="3">
        <v>45887</v>
      </c>
      <c r="BT2361" s="4">
        <v>0.56874999999999998</v>
      </c>
      <c r="BU2361" t="s">
        <v>2839</v>
      </c>
      <c r="BV2361" t="s">
        <v>86</v>
      </c>
      <c r="BY2361">
        <v>3192</v>
      </c>
      <c r="CA2361" t="s">
        <v>2840</v>
      </c>
      <c r="CC2361" t="s">
        <v>1273</v>
      </c>
      <c r="CD2361">
        <v>3720</v>
      </c>
      <c r="CE2361" t="s">
        <v>147</v>
      </c>
      <c r="CF2361" s="3">
        <v>45888</v>
      </c>
      <c r="CI2361">
        <v>1</v>
      </c>
      <c r="CJ2361">
        <v>1</v>
      </c>
      <c r="CK2361">
        <v>21</v>
      </c>
      <c r="CL2361" t="s">
        <v>90</v>
      </c>
    </row>
    <row r="2362" spans="1:90" x14ac:dyDescent="0.3">
      <c r="A2362" t="s">
        <v>72</v>
      </c>
      <c r="B2362" t="s">
        <v>73</v>
      </c>
      <c r="C2362" t="s">
        <v>74</v>
      </c>
      <c r="E2362" t="str">
        <f>"080067266024"</f>
        <v>080067266024</v>
      </c>
      <c r="F2362" s="3">
        <v>45884</v>
      </c>
      <c r="G2362">
        <v>202605</v>
      </c>
      <c r="H2362" t="s">
        <v>75</v>
      </c>
      <c r="I2362" t="s">
        <v>76</v>
      </c>
      <c r="J2362" t="s">
        <v>77</v>
      </c>
      <c r="K2362" t="s">
        <v>78</v>
      </c>
      <c r="L2362" t="s">
        <v>123</v>
      </c>
      <c r="M2362" t="s">
        <v>124</v>
      </c>
      <c r="N2362" t="s">
        <v>168</v>
      </c>
      <c r="O2362" t="s">
        <v>82</v>
      </c>
      <c r="P2362" t="str">
        <f>"4170055172                    "</f>
        <v xml:space="preserve">4170055172                    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0</v>
      </c>
      <c r="AI2362">
        <v>0</v>
      </c>
      <c r="AJ2362">
        <v>0</v>
      </c>
      <c r="AK2362">
        <v>0</v>
      </c>
      <c r="AL2362">
        <v>0</v>
      </c>
      <c r="AM2362">
        <v>0</v>
      </c>
      <c r="AN2362">
        <v>0</v>
      </c>
      <c r="AO2362">
        <v>0</v>
      </c>
      <c r="AP2362">
        <v>0</v>
      </c>
      <c r="AQ2362">
        <v>23.09</v>
      </c>
      <c r="AR2362">
        <v>0</v>
      </c>
      <c r="AS2362">
        <v>0</v>
      </c>
      <c r="AT2362">
        <v>0</v>
      </c>
      <c r="AU2362">
        <v>0</v>
      </c>
      <c r="AV2362">
        <v>0</v>
      </c>
      <c r="AW2362">
        <v>0</v>
      </c>
      <c r="AX2362">
        <v>0</v>
      </c>
      <c r="AY2362">
        <v>0</v>
      </c>
      <c r="AZ2362">
        <v>0</v>
      </c>
      <c r="BA2362">
        <v>0</v>
      </c>
      <c r="BB2362">
        <v>0</v>
      </c>
      <c r="BC2362">
        <v>0</v>
      </c>
      <c r="BD2362">
        <v>0</v>
      </c>
      <c r="BE2362">
        <v>0</v>
      </c>
      <c r="BF2362">
        <v>0</v>
      </c>
      <c r="BG2362">
        <v>0</v>
      </c>
      <c r="BH2362">
        <v>1</v>
      </c>
      <c r="BI2362">
        <v>1</v>
      </c>
      <c r="BJ2362">
        <v>0.2</v>
      </c>
      <c r="BK2362">
        <v>1</v>
      </c>
      <c r="BL2362">
        <v>71.69</v>
      </c>
      <c r="BM2362">
        <v>10.75</v>
      </c>
      <c r="BN2362">
        <v>82.44</v>
      </c>
      <c r="BO2362">
        <v>82.44</v>
      </c>
      <c r="BQ2362" t="s">
        <v>169</v>
      </c>
      <c r="BR2362" t="s">
        <v>84</v>
      </c>
      <c r="BS2362" s="3">
        <v>45887</v>
      </c>
      <c r="BT2362" s="4">
        <v>0.43194444444444446</v>
      </c>
      <c r="BU2362" t="s">
        <v>679</v>
      </c>
      <c r="BV2362" t="s">
        <v>86</v>
      </c>
      <c r="BY2362">
        <v>1200</v>
      </c>
      <c r="CA2362" t="s">
        <v>171</v>
      </c>
      <c r="CC2362" t="s">
        <v>124</v>
      </c>
      <c r="CD2362">
        <v>7535</v>
      </c>
      <c r="CE2362" t="s">
        <v>109</v>
      </c>
      <c r="CI2362">
        <v>1</v>
      </c>
      <c r="CJ2362">
        <v>1</v>
      </c>
      <c r="CK2362">
        <v>21</v>
      </c>
      <c r="CL2362" t="s">
        <v>90</v>
      </c>
    </row>
    <row r="2363" spans="1:90" x14ac:dyDescent="0.3">
      <c r="A2363" t="s">
        <v>72</v>
      </c>
      <c r="B2363" t="s">
        <v>73</v>
      </c>
      <c r="C2363" t="s">
        <v>74</v>
      </c>
      <c r="E2363" t="str">
        <f>"080067266035"</f>
        <v>080067266035</v>
      </c>
      <c r="F2363" s="3">
        <v>45884</v>
      </c>
      <c r="G2363">
        <v>202605</v>
      </c>
      <c r="H2363" t="s">
        <v>75</v>
      </c>
      <c r="I2363" t="s">
        <v>76</v>
      </c>
      <c r="J2363" t="s">
        <v>77</v>
      </c>
      <c r="K2363" t="s">
        <v>78</v>
      </c>
      <c r="L2363" t="s">
        <v>118</v>
      </c>
      <c r="M2363" t="s">
        <v>118</v>
      </c>
      <c r="N2363" t="s">
        <v>1277</v>
      </c>
      <c r="O2363" t="s">
        <v>82</v>
      </c>
      <c r="P2363" t="str">
        <f>"4170055182                    "</f>
        <v xml:space="preserve">4170055182                    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0</v>
      </c>
      <c r="AL2363">
        <v>0</v>
      </c>
      <c r="AM2363">
        <v>0</v>
      </c>
      <c r="AN2363">
        <v>0</v>
      </c>
      <c r="AO2363">
        <v>0</v>
      </c>
      <c r="AP2363">
        <v>0</v>
      </c>
      <c r="AQ2363">
        <v>44.73</v>
      </c>
      <c r="AR2363">
        <v>0</v>
      </c>
      <c r="AS2363">
        <v>0</v>
      </c>
      <c r="AT2363">
        <v>0</v>
      </c>
      <c r="AU2363">
        <v>0</v>
      </c>
      <c r="AV2363">
        <v>0</v>
      </c>
      <c r="AW2363">
        <v>0</v>
      </c>
      <c r="AX2363">
        <v>0</v>
      </c>
      <c r="AY2363">
        <v>0</v>
      </c>
      <c r="AZ2363">
        <v>0</v>
      </c>
      <c r="BA2363">
        <v>0</v>
      </c>
      <c r="BB2363">
        <v>0</v>
      </c>
      <c r="BC2363">
        <v>0</v>
      </c>
      <c r="BD2363">
        <v>0</v>
      </c>
      <c r="BE2363">
        <v>0</v>
      </c>
      <c r="BF2363">
        <v>0</v>
      </c>
      <c r="BG2363">
        <v>0</v>
      </c>
      <c r="BH2363">
        <v>1</v>
      </c>
      <c r="BI2363">
        <v>1</v>
      </c>
      <c r="BJ2363">
        <v>0.2</v>
      </c>
      <c r="BK2363">
        <v>1</v>
      </c>
      <c r="BL2363">
        <v>138.88999999999999</v>
      </c>
      <c r="BM2363">
        <v>20.83</v>
      </c>
      <c r="BN2363">
        <v>159.72</v>
      </c>
      <c r="BO2363">
        <v>159.72</v>
      </c>
      <c r="BQ2363" t="s">
        <v>1278</v>
      </c>
      <c r="BR2363" t="s">
        <v>84</v>
      </c>
      <c r="BS2363" s="3">
        <v>45887</v>
      </c>
      <c r="BT2363" s="4">
        <v>0.53819444444444442</v>
      </c>
      <c r="BU2363" t="s">
        <v>2841</v>
      </c>
      <c r="BV2363" t="s">
        <v>86</v>
      </c>
      <c r="BY2363">
        <v>1200</v>
      </c>
      <c r="CC2363" t="s">
        <v>118</v>
      </c>
      <c r="CD2363">
        <v>7646</v>
      </c>
      <c r="CE2363" t="s">
        <v>109</v>
      </c>
      <c r="CI2363">
        <v>1</v>
      </c>
      <c r="CJ2363">
        <v>1</v>
      </c>
      <c r="CK2363">
        <v>23</v>
      </c>
      <c r="CL2363" t="s">
        <v>90</v>
      </c>
    </row>
    <row r="2364" spans="1:90" x14ac:dyDescent="0.3">
      <c r="A2364" t="s">
        <v>72</v>
      </c>
      <c r="B2364" t="s">
        <v>73</v>
      </c>
      <c r="C2364" t="s">
        <v>74</v>
      </c>
      <c r="E2364" t="str">
        <f>"080067266037"</f>
        <v>080067266037</v>
      </c>
      <c r="F2364" s="3">
        <v>45884</v>
      </c>
      <c r="G2364">
        <v>202605</v>
      </c>
      <c r="H2364" t="s">
        <v>75</v>
      </c>
      <c r="I2364" t="s">
        <v>76</v>
      </c>
      <c r="J2364" t="s">
        <v>77</v>
      </c>
      <c r="K2364" t="s">
        <v>78</v>
      </c>
      <c r="L2364" t="s">
        <v>198</v>
      </c>
      <c r="M2364" t="s">
        <v>199</v>
      </c>
      <c r="N2364" t="s">
        <v>430</v>
      </c>
      <c r="O2364" t="s">
        <v>82</v>
      </c>
      <c r="P2364" t="str">
        <f>"4170055163                    "</f>
        <v xml:space="preserve">4170055163                    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  <c r="AN2364">
        <v>0</v>
      </c>
      <c r="AO2364">
        <v>0</v>
      </c>
      <c r="AP2364">
        <v>0</v>
      </c>
      <c r="AQ2364">
        <v>23.09</v>
      </c>
      <c r="AR2364">
        <v>0</v>
      </c>
      <c r="AS2364">
        <v>0</v>
      </c>
      <c r="AT2364">
        <v>0</v>
      </c>
      <c r="AU2364">
        <v>0</v>
      </c>
      <c r="AV2364">
        <v>0</v>
      </c>
      <c r="AW2364">
        <v>0</v>
      </c>
      <c r="AX2364">
        <v>0</v>
      </c>
      <c r="AY2364">
        <v>0</v>
      </c>
      <c r="AZ2364">
        <v>0</v>
      </c>
      <c r="BA2364">
        <v>0</v>
      </c>
      <c r="BB2364">
        <v>0</v>
      </c>
      <c r="BC2364">
        <v>0</v>
      </c>
      <c r="BD2364">
        <v>0</v>
      </c>
      <c r="BE2364">
        <v>0</v>
      </c>
      <c r="BF2364">
        <v>0</v>
      </c>
      <c r="BG2364">
        <v>0</v>
      </c>
      <c r="BH2364">
        <v>1</v>
      </c>
      <c r="BI2364">
        <v>2</v>
      </c>
      <c r="BJ2364">
        <v>1.1000000000000001</v>
      </c>
      <c r="BK2364">
        <v>2</v>
      </c>
      <c r="BL2364">
        <v>71.69</v>
      </c>
      <c r="BM2364">
        <v>10.75</v>
      </c>
      <c r="BN2364">
        <v>82.44</v>
      </c>
      <c r="BO2364">
        <v>82.44</v>
      </c>
      <c r="BQ2364" t="s">
        <v>431</v>
      </c>
      <c r="BR2364" t="s">
        <v>84</v>
      </c>
      <c r="BS2364" s="3">
        <v>45887</v>
      </c>
      <c r="BT2364" s="4">
        <v>0.37569444444444444</v>
      </c>
      <c r="BU2364" t="s">
        <v>2772</v>
      </c>
      <c r="BV2364" t="s">
        <v>86</v>
      </c>
      <c r="BY2364">
        <v>5320</v>
      </c>
      <c r="CA2364" t="s">
        <v>2773</v>
      </c>
      <c r="CC2364" t="s">
        <v>199</v>
      </c>
      <c r="CD2364">
        <v>6001</v>
      </c>
      <c r="CE2364" t="s">
        <v>147</v>
      </c>
      <c r="CF2364" s="3">
        <v>45887</v>
      </c>
      <c r="CI2364">
        <v>1</v>
      </c>
      <c r="CJ2364">
        <v>1</v>
      </c>
      <c r="CK2364">
        <v>21</v>
      </c>
      <c r="CL2364" t="s">
        <v>90</v>
      </c>
    </row>
    <row r="2365" spans="1:90" x14ac:dyDescent="0.3">
      <c r="A2365" t="s">
        <v>72</v>
      </c>
      <c r="B2365" t="s">
        <v>73</v>
      </c>
      <c r="C2365" t="s">
        <v>74</v>
      </c>
      <c r="E2365" t="str">
        <f>"080067266042"</f>
        <v>080067266042</v>
      </c>
      <c r="F2365" s="3">
        <v>45884</v>
      </c>
      <c r="G2365">
        <v>202605</v>
      </c>
      <c r="H2365" t="s">
        <v>75</v>
      </c>
      <c r="I2365" t="s">
        <v>76</v>
      </c>
      <c r="J2365" t="s">
        <v>77</v>
      </c>
      <c r="K2365" t="s">
        <v>78</v>
      </c>
      <c r="L2365" t="s">
        <v>123</v>
      </c>
      <c r="M2365" t="s">
        <v>124</v>
      </c>
      <c r="N2365" t="s">
        <v>406</v>
      </c>
      <c r="O2365" t="s">
        <v>82</v>
      </c>
      <c r="P2365" t="str">
        <f>"4170055185                    "</f>
        <v xml:space="preserve">4170055185                    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>
        <v>0</v>
      </c>
      <c r="AQ2365">
        <v>23.09</v>
      </c>
      <c r="AR2365">
        <v>0</v>
      </c>
      <c r="AS2365">
        <v>0</v>
      </c>
      <c r="AT2365">
        <v>0</v>
      </c>
      <c r="AU2365">
        <v>0</v>
      </c>
      <c r="AV2365">
        <v>0</v>
      </c>
      <c r="AW2365">
        <v>0</v>
      </c>
      <c r="AX2365">
        <v>0</v>
      </c>
      <c r="AY2365">
        <v>0</v>
      </c>
      <c r="AZ2365">
        <v>0</v>
      </c>
      <c r="BA2365">
        <v>0</v>
      </c>
      <c r="BB2365">
        <v>0</v>
      </c>
      <c r="BC2365">
        <v>0</v>
      </c>
      <c r="BD2365">
        <v>0</v>
      </c>
      <c r="BE2365">
        <v>0</v>
      </c>
      <c r="BF2365">
        <v>0</v>
      </c>
      <c r="BG2365">
        <v>0</v>
      </c>
      <c r="BH2365">
        <v>1</v>
      </c>
      <c r="BI2365">
        <v>1</v>
      </c>
      <c r="BJ2365">
        <v>0.2</v>
      </c>
      <c r="BK2365">
        <v>1</v>
      </c>
      <c r="BL2365">
        <v>71.69</v>
      </c>
      <c r="BM2365">
        <v>10.75</v>
      </c>
      <c r="BN2365">
        <v>82.44</v>
      </c>
      <c r="BO2365">
        <v>82.44</v>
      </c>
      <c r="BQ2365" t="s">
        <v>407</v>
      </c>
      <c r="BR2365" t="s">
        <v>84</v>
      </c>
      <c r="BS2365" s="3">
        <v>45887</v>
      </c>
      <c r="BT2365" s="4">
        <v>0.42499999999999999</v>
      </c>
      <c r="BU2365" t="s">
        <v>2753</v>
      </c>
      <c r="BV2365" t="s">
        <v>86</v>
      </c>
      <c r="BY2365">
        <v>1200</v>
      </c>
      <c r="CA2365" t="s">
        <v>2361</v>
      </c>
      <c r="CC2365" t="s">
        <v>124</v>
      </c>
      <c r="CD2365">
        <v>7441</v>
      </c>
      <c r="CE2365" t="s">
        <v>109</v>
      </c>
      <c r="CI2365">
        <v>1</v>
      </c>
      <c r="CJ2365">
        <v>1</v>
      </c>
      <c r="CK2365">
        <v>21</v>
      </c>
      <c r="CL2365" t="s">
        <v>90</v>
      </c>
    </row>
    <row r="2366" spans="1:90" x14ac:dyDescent="0.3">
      <c r="A2366" t="s">
        <v>72</v>
      </c>
      <c r="B2366" t="s">
        <v>73</v>
      </c>
      <c r="C2366" t="s">
        <v>74</v>
      </c>
      <c r="E2366" t="str">
        <f>"080067266048"</f>
        <v>080067266048</v>
      </c>
      <c r="F2366" s="3">
        <v>45884</v>
      </c>
      <c r="G2366">
        <v>202605</v>
      </c>
      <c r="H2366" t="s">
        <v>75</v>
      </c>
      <c r="I2366" t="s">
        <v>76</v>
      </c>
      <c r="J2366" t="s">
        <v>77</v>
      </c>
      <c r="K2366" t="s">
        <v>78</v>
      </c>
      <c r="L2366" t="s">
        <v>278</v>
      </c>
      <c r="M2366" t="s">
        <v>279</v>
      </c>
      <c r="N2366" t="s">
        <v>749</v>
      </c>
      <c r="O2366" t="s">
        <v>82</v>
      </c>
      <c r="P2366" t="str">
        <f>"4170055019                    "</f>
        <v xml:space="preserve">4170055019                    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0</v>
      </c>
      <c r="AL2366">
        <v>0</v>
      </c>
      <c r="AM2366">
        <v>0</v>
      </c>
      <c r="AN2366">
        <v>0</v>
      </c>
      <c r="AO2366">
        <v>0</v>
      </c>
      <c r="AP2366">
        <v>0</v>
      </c>
      <c r="AQ2366">
        <v>23.09</v>
      </c>
      <c r="AR2366">
        <v>0</v>
      </c>
      <c r="AS2366">
        <v>0</v>
      </c>
      <c r="AT2366">
        <v>0</v>
      </c>
      <c r="AU2366">
        <v>0</v>
      </c>
      <c r="AV2366">
        <v>0</v>
      </c>
      <c r="AW2366">
        <v>0</v>
      </c>
      <c r="AX2366">
        <v>0</v>
      </c>
      <c r="AY2366">
        <v>0</v>
      </c>
      <c r="AZ2366">
        <v>0</v>
      </c>
      <c r="BA2366">
        <v>0</v>
      </c>
      <c r="BB2366">
        <v>0</v>
      </c>
      <c r="BC2366">
        <v>0</v>
      </c>
      <c r="BD2366">
        <v>0</v>
      </c>
      <c r="BE2366">
        <v>0</v>
      </c>
      <c r="BF2366">
        <v>0</v>
      </c>
      <c r="BG2366">
        <v>0</v>
      </c>
      <c r="BH2366">
        <v>1</v>
      </c>
      <c r="BI2366">
        <v>1</v>
      </c>
      <c r="BJ2366">
        <v>1.1000000000000001</v>
      </c>
      <c r="BK2366">
        <v>1.5</v>
      </c>
      <c r="BL2366">
        <v>71.69</v>
      </c>
      <c r="BM2366">
        <v>10.75</v>
      </c>
      <c r="BN2366">
        <v>82.44</v>
      </c>
      <c r="BO2366">
        <v>82.44</v>
      </c>
      <c r="BQ2366" t="s">
        <v>750</v>
      </c>
      <c r="BR2366" t="s">
        <v>84</v>
      </c>
      <c r="BS2366" s="3">
        <v>45887</v>
      </c>
      <c r="BT2366" s="4">
        <v>0.37430555555555556</v>
      </c>
      <c r="BU2366" t="s">
        <v>2842</v>
      </c>
      <c r="BV2366" t="s">
        <v>86</v>
      </c>
      <c r="BY2366">
        <v>5320</v>
      </c>
      <c r="CA2366" t="s">
        <v>283</v>
      </c>
      <c r="CC2366" t="s">
        <v>279</v>
      </c>
      <c r="CD2366" s="5" t="s">
        <v>753</v>
      </c>
      <c r="CE2366" t="s">
        <v>147</v>
      </c>
      <c r="CF2366" s="3">
        <v>45887</v>
      </c>
      <c r="CI2366">
        <v>1</v>
      </c>
      <c r="CJ2366">
        <v>1</v>
      </c>
      <c r="CK2366">
        <v>21</v>
      </c>
      <c r="CL2366" t="s">
        <v>90</v>
      </c>
    </row>
    <row r="2367" spans="1:90" x14ac:dyDescent="0.3">
      <c r="A2367" t="s">
        <v>72</v>
      </c>
      <c r="B2367" t="s">
        <v>73</v>
      </c>
      <c r="C2367" t="s">
        <v>74</v>
      </c>
      <c r="E2367" t="str">
        <f>"080067266056"</f>
        <v>080067266056</v>
      </c>
      <c r="F2367" s="3">
        <v>45884</v>
      </c>
      <c r="G2367">
        <v>202605</v>
      </c>
      <c r="H2367" t="s">
        <v>75</v>
      </c>
      <c r="I2367" t="s">
        <v>76</v>
      </c>
      <c r="J2367" t="s">
        <v>77</v>
      </c>
      <c r="K2367" t="s">
        <v>78</v>
      </c>
      <c r="L2367" t="s">
        <v>297</v>
      </c>
      <c r="M2367" t="s">
        <v>298</v>
      </c>
      <c r="N2367" t="s">
        <v>299</v>
      </c>
      <c r="O2367" t="s">
        <v>82</v>
      </c>
      <c r="P2367" t="str">
        <f>"4170055175                    "</f>
        <v xml:space="preserve">4170055175                    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0</v>
      </c>
      <c r="AL2367">
        <v>0</v>
      </c>
      <c r="AM2367">
        <v>0</v>
      </c>
      <c r="AN2367">
        <v>0</v>
      </c>
      <c r="AO2367">
        <v>0</v>
      </c>
      <c r="AP2367">
        <v>0</v>
      </c>
      <c r="AQ2367">
        <v>23.09</v>
      </c>
      <c r="AR2367">
        <v>0</v>
      </c>
      <c r="AS2367">
        <v>0</v>
      </c>
      <c r="AT2367">
        <v>0</v>
      </c>
      <c r="AU2367">
        <v>0</v>
      </c>
      <c r="AV2367">
        <v>0</v>
      </c>
      <c r="AW2367">
        <v>0</v>
      </c>
      <c r="AX2367">
        <v>0</v>
      </c>
      <c r="AY2367">
        <v>0</v>
      </c>
      <c r="AZ2367">
        <v>0</v>
      </c>
      <c r="BA2367">
        <v>0</v>
      </c>
      <c r="BB2367">
        <v>0</v>
      </c>
      <c r="BC2367">
        <v>0</v>
      </c>
      <c r="BD2367">
        <v>0</v>
      </c>
      <c r="BE2367">
        <v>0</v>
      </c>
      <c r="BF2367">
        <v>0</v>
      </c>
      <c r="BG2367">
        <v>0</v>
      </c>
      <c r="BH2367">
        <v>1</v>
      </c>
      <c r="BI2367">
        <v>1</v>
      </c>
      <c r="BJ2367">
        <v>0.2</v>
      </c>
      <c r="BK2367">
        <v>1</v>
      </c>
      <c r="BL2367">
        <v>71.69</v>
      </c>
      <c r="BM2367">
        <v>10.75</v>
      </c>
      <c r="BN2367">
        <v>82.44</v>
      </c>
      <c r="BO2367">
        <v>82.44</v>
      </c>
      <c r="BQ2367" t="s">
        <v>300</v>
      </c>
      <c r="BR2367" t="s">
        <v>84</v>
      </c>
      <c r="BS2367" s="3">
        <v>45887</v>
      </c>
      <c r="BT2367" s="4">
        <v>0.4375</v>
      </c>
      <c r="BU2367" t="s">
        <v>2843</v>
      </c>
      <c r="BV2367" t="s">
        <v>86</v>
      </c>
      <c r="BY2367">
        <v>1200</v>
      </c>
      <c r="CA2367" t="s">
        <v>2844</v>
      </c>
      <c r="CC2367" t="s">
        <v>298</v>
      </c>
      <c r="CD2367">
        <v>4302</v>
      </c>
      <c r="CE2367" t="s">
        <v>109</v>
      </c>
      <c r="CF2367" s="3">
        <v>45887</v>
      </c>
      <c r="CI2367">
        <v>1</v>
      </c>
      <c r="CJ2367">
        <v>1</v>
      </c>
      <c r="CK2367">
        <v>21</v>
      </c>
      <c r="CL2367" t="s">
        <v>90</v>
      </c>
    </row>
    <row r="2368" spans="1:90" x14ac:dyDescent="0.3">
      <c r="A2368" t="s">
        <v>72</v>
      </c>
      <c r="B2368" t="s">
        <v>73</v>
      </c>
      <c r="C2368" t="s">
        <v>74</v>
      </c>
      <c r="E2368" t="str">
        <f>"080067266096"</f>
        <v>080067266096</v>
      </c>
      <c r="F2368" s="3">
        <v>45884</v>
      </c>
      <c r="G2368">
        <v>202605</v>
      </c>
      <c r="H2368" t="s">
        <v>75</v>
      </c>
      <c r="I2368" t="s">
        <v>76</v>
      </c>
      <c r="J2368" t="s">
        <v>77</v>
      </c>
      <c r="K2368" t="s">
        <v>78</v>
      </c>
      <c r="L2368" t="s">
        <v>234</v>
      </c>
      <c r="M2368" t="s">
        <v>235</v>
      </c>
      <c r="N2368" t="s">
        <v>236</v>
      </c>
      <c r="O2368" t="s">
        <v>95</v>
      </c>
      <c r="P2368" t="str">
        <f>"4170055190                    "</f>
        <v xml:space="preserve">4170055190                    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0</v>
      </c>
      <c r="AL2368">
        <v>0</v>
      </c>
      <c r="AM2368">
        <v>0</v>
      </c>
      <c r="AN2368">
        <v>0</v>
      </c>
      <c r="AO2368">
        <v>0</v>
      </c>
      <c r="AP2368">
        <v>0</v>
      </c>
      <c r="AQ2368">
        <v>44.64</v>
      </c>
      <c r="AR2368">
        <v>0</v>
      </c>
      <c r="AS2368">
        <v>0</v>
      </c>
      <c r="AT2368">
        <v>0</v>
      </c>
      <c r="AU2368">
        <v>0</v>
      </c>
      <c r="AV2368">
        <v>0</v>
      </c>
      <c r="AW2368">
        <v>0</v>
      </c>
      <c r="AX2368">
        <v>0</v>
      </c>
      <c r="AY2368">
        <v>0</v>
      </c>
      <c r="AZ2368">
        <v>0</v>
      </c>
      <c r="BA2368">
        <v>0</v>
      </c>
      <c r="BB2368">
        <v>0</v>
      </c>
      <c r="BC2368">
        <v>0</v>
      </c>
      <c r="BD2368">
        <v>0</v>
      </c>
      <c r="BE2368">
        <v>0</v>
      </c>
      <c r="BF2368">
        <v>0</v>
      </c>
      <c r="BG2368">
        <v>0</v>
      </c>
      <c r="BH2368">
        <v>1</v>
      </c>
      <c r="BI2368">
        <v>8</v>
      </c>
      <c r="BJ2368">
        <v>11.6</v>
      </c>
      <c r="BK2368">
        <v>12</v>
      </c>
      <c r="BL2368">
        <v>144.49</v>
      </c>
      <c r="BM2368">
        <v>21.67</v>
      </c>
      <c r="BN2368">
        <v>166.16</v>
      </c>
      <c r="BO2368">
        <v>166.16</v>
      </c>
      <c r="BQ2368" t="s">
        <v>237</v>
      </c>
      <c r="BR2368" t="s">
        <v>84</v>
      </c>
      <c r="BS2368" s="3">
        <v>45887</v>
      </c>
      <c r="BT2368" s="4">
        <v>0.38541666666666669</v>
      </c>
      <c r="BU2368" t="s">
        <v>650</v>
      </c>
      <c r="BV2368" t="s">
        <v>86</v>
      </c>
      <c r="BY2368">
        <v>57760</v>
      </c>
      <c r="CA2368" t="s">
        <v>239</v>
      </c>
      <c r="CC2368" t="s">
        <v>235</v>
      </c>
      <c r="CD2368" s="5" t="s">
        <v>240</v>
      </c>
      <c r="CE2368" t="s">
        <v>1304</v>
      </c>
      <c r="CF2368" s="3">
        <v>45887</v>
      </c>
      <c r="CI2368">
        <v>1</v>
      </c>
      <c r="CJ2368">
        <v>1</v>
      </c>
      <c r="CK2368">
        <v>41</v>
      </c>
      <c r="CL2368" t="s">
        <v>90</v>
      </c>
    </row>
    <row r="2369" spans="1:90" x14ac:dyDescent="0.3">
      <c r="A2369" t="s">
        <v>72</v>
      </c>
      <c r="B2369" t="s">
        <v>73</v>
      </c>
      <c r="C2369" t="s">
        <v>74</v>
      </c>
      <c r="E2369" t="str">
        <f>"080067266114"</f>
        <v>080067266114</v>
      </c>
      <c r="F2369" s="3">
        <v>45884</v>
      </c>
      <c r="G2369">
        <v>202605</v>
      </c>
      <c r="H2369" t="s">
        <v>75</v>
      </c>
      <c r="I2369" t="s">
        <v>76</v>
      </c>
      <c r="J2369" t="s">
        <v>77</v>
      </c>
      <c r="K2369" t="s">
        <v>78</v>
      </c>
      <c r="L2369" t="s">
        <v>123</v>
      </c>
      <c r="M2369" t="s">
        <v>124</v>
      </c>
      <c r="N2369" t="s">
        <v>534</v>
      </c>
      <c r="O2369" t="s">
        <v>82</v>
      </c>
      <c r="P2369" t="str">
        <f>"4170055177                    "</f>
        <v xml:space="preserve">4170055177                    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0</v>
      </c>
      <c r="AL2369">
        <v>0</v>
      </c>
      <c r="AM2369">
        <v>0</v>
      </c>
      <c r="AN2369">
        <v>0</v>
      </c>
      <c r="AO2369">
        <v>0</v>
      </c>
      <c r="AP2369">
        <v>0</v>
      </c>
      <c r="AQ2369">
        <v>23.09</v>
      </c>
      <c r="AR2369">
        <v>0</v>
      </c>
      <c r="AS2369">
        <v>0</v>
      </c>
      <c r="AT2369">
        <v>0</v>
      </c>
      <c r="AU2369">
        <v>0</v>
      </c>
      <c r="AV2369">
        <v>0</v>
      </c>
      <c r="AW2369">
        <v>0</v>
      </c>
      <c r="AX2369">
        <v>0</v>
      </c>
      <c r="AY2369">
        <v>0</v>
      </c>
      <c r="AZ2369">
        <v>0</v>
      </c>
      <c r="BA2369">
        <v>0</v>
      </c>
      <c r="BB2369">
        <v>0</v>
      </c>
      <c r="BC2369">
        <v>0</v>
      </c>
      <c r="BD2369">
        <v>0</v>
      </c>
      <c r="BE2369">
        <v>0</v>
      </c>
      <c r="BF2369">
        <v>0</v>
      </c>
      <c r="BG2369">
        <v>0</v>
      </c>
      <c r="BH2369">
        <v>1</v>
      </c>
      <c r="BI2369">
        <v>1</v>
      </c>
      <c r="BJ2369">
        <v>0.2</v>
      </c>
      <c r="BK2369">
        <v>1</v>
      </c>
      <c r="BL2369">
        <v>71.69</v>
      </c>
      <c r="BM2369">
        <v>10.75</v>
      </c>
      <c r="BN2369">
        <v>82.44</v>
      </c>
      <c r="BO2369">
        <v>82.44</v>
      </c>
      <c r="BQ2369" t="s">
        <v>535</v>
      </c>
      <c r="BR2369" t="s">
        <v>84</v>
      </c>
      <c r="BS2369" s="3">
        <v>45887</v>
      </c>
      <c r="BT2369" s="4">
        <v>0.3840277777777778</v>
      </c>
      <c r="BU2369" t="s">
        <v>2683</v>
      </c>
      <c r="BV2369" t="s">
        <v>86</v>
      </c>
      <c r="BY2369">
        <v>1200</v>
      </c>
      <c r="CA2369" t="s">
        <v>1238</v>
      </c>
      <c r="CC2369" t="s">
        <v>124</v>
      </c>
      <c r="CD2369">
        <v>7480</v>
      </c>
      <c r="CE2369" t="s">
        <v>109</v>
      </c>
      <c r="CF2369" s="3">
        <v>45888</v>
      </c>
      <c r="CI2369">
        <v>1</v>
      </c>
      <c r="CJ2369">
        <v>1</v>
      </c>
      <c r="CK2369">
        <v>21</v>
      </c>
      <c r="CL2369" t="s">
        <v>90</v>
      </c>
    </row>
    <row r="2370" spans="1:90" x14ac:dyDescent="0.3">
      <c r="A2370" t="s">
        <v>72</v>
      </c>
      <c r="B2370" t="s">
        <v>73</v>
      </c>
      <c r="C2370" t="s">
        <v>74</v>
      </c>
      <c r="E2370" t="str">
        <f>"080067266142"</f>
        <v>080067266142</v>
      </c>
      <c r="F2370" s="3">
        <v>45884</v>
      </c>
      <c r="G2370">
        <v>202605</v>
      </c>
      <c r="H2370" t="s">
        <v>75</v>
      </c>
      <c r="I2370" t="s">
        <v>76</v>
      </c>
      <c r="J2370" t="s">
        <v>77</v>
      </c>
      <c r="K2370" t="s">
        <v>78</v>
      </c>
      <c r="L2370" t="s">
        <v>123</v>
      </c>
      <c r="M2370" t="s">
        <v>124</v>
      </c>
      <c r="N2370" t="s">
        <v>534</v>
      </c>
      <c r="O2370" t="s">
        <v>82</v>
      </c>
      <c r="P2370" t="str">
        <f>"4170055180                    "</f>
        <v xml:space="preserve">4170055180                    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0</v>
      </c>
      <c r="AI2370">
        <v>0</v>
      </c>
      <c r="AJ2370">
        <v>0</v>
      </c>
      <c r="AK2370">
        <v>0</v>
      </c>
      <c r="AL2370">
        <v>0</v>
      </c>
      <c r="AM2370">
        <v>0</v>
      </c>
      <c r="AN2370">
        <v>0</v>
      </c>
      <c r="AO2370">
        <v>0</v>
      </c>
      <c r="AP2370">
        <v>0</v>
      </c>
      <c r="AQ2370">
        <v>23.09</v>
      </c>
      <c r="AR2370">
        <v>0</v>
      </c>
      <c r="AS2370">
        <v>0</v>
      </c>
      <c r="AT2370">
        <v>0</v>
      </c>
      <c r="AU2370">
        <v>0</v>
      </c>
      <c r="AV2370">
        <v>0</v>
      </c>
      <c r="AW2370">
        <v>0</v>
      </c>
      <c r="AX2370">
        <v>0</v>
      </c>
      <c r="AY2370">
        <v>0</v>
      </c>
      <c r="AZ2370">
        <v>0</v>
      </c>
      <c r="BA2370">
        <v>0</v>
      </c>
      <c r="BB2370">
        <v>0</v>
      </c>
      <c r="BC2370">
        <v>0</v>
      </c>
      <c r="BD2370">
        <v>0</v>
      </c>
      <c r="BE2370">
        <v>0</v>
      </c>
      <c r="BF2370">
        <v>0</v>
      </c>
      <c r="BG2370">
        <v>0</v>
      </c>
      <c r="BH2370">
        <v>1</v>
      </c>
      <c r="BI2370">
        <v>1</v>
      </c>
      <c r="BJ2370">
        <v>0.2</v>
      </c>
      <c r="BK2370">
        <v>1</v>
      </c>
      <c r="BL2370">
        <v>71.69</v>
      </c>
      <c r="BM2370">
        <v>10.75</v>
      </c>
      <c r="BN2370">
        <v>82.44</v>
      </c>
      <c r="BO2370">
        <v>82.44</v>
      </c>
      <c r="BQ2370" t="s">
        <v>535</v>
      </c>
      <c r="BR2370" t="s">
        <v>84</v>
      </c>
      <c r="BS2370" s="3">
        <v>45887</v>
      </c>
      <c r="BT2370" s="4">
        <v>0.3840277777777778</v>
      </c>
      <c r="BU2370" t="s">
        <v>2683</v>
      </c>
      <c r="BV2370" t="s">
        <v>86</v>
      </c>
      <c r="BY2370">
        <v>1200</v>
      </c>
      <c r="CA2370" t="s">
        <v>1238</v>
      </c>
      <c r="CC2370" t="s">
        <v>124</v>
      </c>
      <c r="CD2370">
        <v>7480</v>
      </c>
      <c r="CE2370" t="s">
        <v>109</v>
      </c>
      <c r="CF2370" s="3">
        <v>45888</v>
      </c>
      <c r="CI2370">
        <v>1</v>
      </c>
      <c r="CJ2370">
        <v>1</v>
      </c>
      <c r="CK2370">
        <v>21</v>
      </c>
      <c r="CL2370" t="s">
        <v>90</v>
      </c>
    </row>
    <row r="2371" spans="1:90" x14ac:dyDescent="0.3">
      <c r="A2371" t="s">
        <v>72</v>
      </c>
      <c r="B2371" t="s">
        <v>73</v>
      </c>
      <c r="C2371" t="s">
        <v>74</v>
      </c>
      <c r="E2371" t="str">
        <f>"080067266156"</f>
        <v>080067266156</v>
      </c>
      <c r="F2371" s="3">
        <v>45884</v>
      </c>
      <c r="G2371">
        <v>202605</v>
      </c>
      <c r="H2371" t="s">
        <v>75</v>
      </c>
      <c r="I2371" t="s">
        <v>76</v>
      </c>
      <c r="J2371" t="s">
        <v>77</v>
      </c>
      <c r="K2371" t="s">
        <v>78</v>
      </c>
      <c r="L2371" t="s">
        <v>123</v>
      </c>
      <c r="M2371" t="s">
        <v>124</v>
      </c>
      <c r="N2371" t="s">
        <v>534</v>
      </c>
      <c r="O2371" t="s">
        <v>82</v>
      </c>
      <c r="P2371" t="str">
        <f>"4170055178                    "</f>
        <v xml:space="preserve">4170055178                    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0</v>
      </c>
      <c r="AI2371">
        <v>0</v>
      </c>
      <c r="AJ2371">
        <v>0</v>
      </c>
      <c r="AK2371">
        <v>0</v>
      </c>
      <c r="AL2371">
        <v>0</v>
      </c>
      <c r="AM2371">
        <v>0</v>
      </c>
      <c r="AN2371">
        <v>0</v>
      </c>
      <c r="AO2371">
        <v>0</v>
      </c>
      <c r="AP2371">
        <v>0</v>
      </c>
      <c r="AQ2371">
        <v>23.09</v>
      </c>
      <c r="AR2371">
        <v>0</v>
      </c>
      <c r="AS2371">
        <v>0</v>
      </c>
      <c r="AT2371">
        <v>0</v>
      </c>
      <c r="AU2371">
        <v>0</v>
      </c>
      <c r="AV2371">
        <v>0</v>
      </c>
      <c r="AW2371">
        <v>0</v>
      </c>
      <c r="AX2371">
        <v>0</v>
      </c>
      <c r="AY2371">
        <v>0</v>
      </c>
      <c r="AZ2371">
        <v>0</v>
      </c>
      <c r="BA2371">
        <v>0</v>
      </c>
      <c r="BB2371">
        <v>0</v>
      </c>
      <c r="BC2371">
        <v>0</v>
      </c>
      <c r="BD2371">
        <v>0</v>
      </c>
      <c r="BE2371">
        <v>0</v>
      </c>
      <c r="BF2371">
        <v>0</v>
      </c>
      <c r="BG2371">
        <v>0</v>
      </c>
      <c r="BH2371">
        <v>1</v>
      </c>
      <c r="BI2371">
        <v>1</v>
      </c>
      <c r="BJ2371">
        <v>0.2</v>
      </c>
      <c r="BK2371">
        <v>1</v>
      </c>
      <c r="BL2371">
        <v>71.69</v>
      </c>
      <c r="BM2371">
        <v>10.75</v>
      </c>
      <c r="BN2371">
        <v>82.44</v>
      </c>
      <c r="BO2371">
        <v>82.44</v>
      </c>
      <c r="BQ2371" t="s">
        <v>535</v>
      </c>
      <c r="BR2371" t="s">
        <v>84</v>
      </c>
      <c r="BS2371" s="3">
        <v>45887</v>
      </c>
      <c r="BT2371" s="4">
        <v>0.3840277777777778</v>
      </c>
      <c r="BU2371" t="s">
        <v>2683</v>
      </c>
      <c r="BV2371" t="s">
        <v>86</v>
      </c>
      <c r="BY2371">
        <v>1200</v>
      </c>
      <c r="CA2371" t="s">
        <v>1238</v>
      </c>
      <c r="CC2371" t="s">
        <v>124</v>
      </c>
      <c r="CD2371">
        <v>7480</v>
      </c>
      <c r="CE2371" t="s">
        <v>109</v>
      </c>
      <c r="CF2371" s="3">
        <v>45888</v>
      </c>
      <c r="CI2371">
        <v>1</v>
      </c>
      <c r="CJ2371">
        <v>1</v>
      </c>
      <c r="CK2371">
        <v>21</v>
      </c>
      <c r="CL2371" t="s">
        <v>90</v>
      </c>
    </row>
    <row r="2372" spans="1:90" x14ac:dyDescent="0.3">
      <c r="A2372" t="s">
        <v>72</v>
      </c>
      <c r="B2372" t="s">
        <v>73</v>
      </c>
      <c r="C2372" t="s">
        <v>74</v>
      </c>
      <c r="E2372" t="str">
        <f>"080067266169"</f>
        <v>080067266169</v>
      </c>
      <c r="F2372" s="3">
        <v>45884</v>
      </c>
      <c r="G2372">
        <v>202605</v>
      </c>
      <c r="H2372" t="s">
        <v>75</v>
      </c>
      <c r="I2372" t="s">
        <v>76</v>
      </c>
      <c r="J2372" t="s">
        <v>77</v>
      </c>
      <c r="K2372" t="s">
        <v>78</v>
      </c>
      <c r="L2372" t="s">
        <v>198</v>
      </c>
      <c r="M2372" t="s">
        <v>199</v>
      </c>
      <c r="N2372" t="s">
        <v>955</v>
      </c>
      <c r="O2372" t="s">
        <v>82</v>
      </c>
      <c r="P2372" t="str">
        <f>"4170055151                    "</f>
        <v xml:space="preserve">4170055151                    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  <c r="AN2372">
        <v>0</v>
      </c>
      <c r="AO2372">
        <v>0</v>
      </c>
      <c r="AP2372">
        <v>0</v>
      </c>
      <c r="AQ2372">
        <v>23.09</v>
      </c>
      <c r="AR2372">
        <v>0</v>
      </c>
      <c r="AS2372">
        <v>0</v>
      </c>
      <c r="AT2372">
        <v>0</v>
      </c>
      <c r="AU2372">
        <v>0</v>
      </c>
      <c r="AV2372">
        <v>0</v>
      </c>
      <c r="AW2372">
        <v>0</v>
      </c>
      <c r="AX2372">
        <v>0</v>
      </c>
      <c r="AY2372">
        <v>0</v>
      </c>
      <c r="AZ2372">
        <v>0</v>
      </c>
      <c r="BA2372">
        <v>0</v>
      </c>
      <c r="BB2372">
        <v>0</v>
      </c>
      <c r="BC2372">
        <v>0</v>
      </c>
      <c r="BD2372">
        <v>0</v>
      </c>
      <c r="BE2372">
        <v>0</v>
      </c>
      <c r="BF2372">
        <v>0</v>
      </c>
      <c r="BG2372">
        <v>0</v>
      </c>
      <c r="BH2372">
        <v>1</v>
      </c>
      <c r="BI2372">
        <v>1</v>
      </c>
      <c r="BJ2372">
        <v>0.2</v>
      </c>
      <c r="BK2372">
        <v>1</v>
      </c>
      <c r="BL2372">
        <v>71.69</v>
      </c>
      <c r="BM2372">
        <v>10.75</v>
      </c>
      <c r="BN2372">
        <v>82.44</v>
      </c>
      <c r="BO2372">
        <v>82.44</v>
      </c>
      <c r="BQ2372" t="s">
        <v>956</v>
      </c>
      <c r="BR2372" t="s">
        <v>84</v>
      </c>
      <c r="BS2372" s="3">
        <v>45887</v>
      </c>
      <c r="BT2372" s="4">
        <v>0.40902777777777777</v>
      </c>
      <c r="BU2372" t="s">
        <v>2809</v>
      </c>
      <c r="BV2372" t="s">
        <v>86</v>
      </c>
      <c r="BY2372">
        <v>1200</v>
      </c>
      <c r="CA2372" t="s">
        <v>2773</v>
      </c>
      <c r="CC2372" t="s">
        <v>199</v>
      </c>
      <c r="CD2372">
        <v>6012</v>
      </c>
      <c r="CE2372" t="s">
        <v>109</v>
      </c>
      <c r="CF2372" s="3">
        <v>45887</v>
      </c>
      <c r="CI2372">
        <v>1</v>
      </c>
      <c r="CJ2372">
        <v>1</v>
      </c>
      <c r="CK2372">
        <v>21</v>
      </c>
      <c r="CL2372" t="s">
        <v>90</v>
      </c>
    </row>
    <row r="2373" spans="1:90" x14ac:dyDescent="0.3">
      <c r="A2373" t="s">
        <v>72</v>
      </c>
      <c r="B2373" t="s">
        <v>73</v>
      </c>
      <c r="C2373" t="s">
        <v>74</v>
      </c>
      <c r="E2373" t="str">
        <f>"080067266189"</f>
        <v>080067266189</v>
      </c>
      <c r="F2373" s="3">
        <v>45884</v>
      </c>
      <c r="G2373">
        <v>202605</v>
      </c>
      <c r="H2373" t="s">
        <v>75</v>
      </c>
      <c r="I2373" t="s">
        <v>76</v>
      </c>
      <c r="J2373" t="s">
        <v>77</v>
      </c>
      <c r="K2373" t="s">
        <v>78</v>
      </c>
      <c r="L2373" t="s">
        <v>123</v>
      </c>
      <c r="M2373" t="s">
        <v>124</v>
      </c>
      <c r="N2373" t="s">
        <v>406</v>
      </c>
      <c r="O2373" t="s">
        <v>82</v>
      </c>
      <c r="P2373" t="str">
        <f>"4170055147                    "</f>
        <v xml:space="preserve">4170055147                    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0</v>
      </c>
      <c r="AL2373">
        <v>0</v>
      </c>
      <c r="AM2373">
        <v>0</v>
      </c>
      <c r="AN2373">
        <v>0</v>
      </c>
      <c r="AO2373">
        <v>0</v>
      </c>
      <c r="AP2373">
        <v>0</v>
      </c>
      <c r="AQ2373">
        <v>23.09</v>
      </c>
      <c r="AR2373">
        <v>0</v>
      </c>
      <c r="AS2373">
        <v>0</v>
      </c>
      <c r="AT2373">
        <v>0</v>
      </c>
      <c r="AU2373">
        <v>0</v>
      </c>
      <c r="AV2373">
        <v>0</v>
      </c>
      <c r="AW2373">
        <v>0</v>
      </c>
      <c r="AX2373">
        <v>0</v>
      </c>
      <c r="AY2373">
        <v>0</v>
      </c>
      <c r="AZ2373">
        <v>0</v>
      </c>
      <c r="BA2373">
        <v>0</v>
      </c>
      <c r="BB2373">
        <v>0</v>
      </c>
      <c r="BC2373">
        <v>0</v>
      </c>
      <c r="BD2373">
        <v>0</v>
      </c>
      <c r="BE2373">
        <v>0</v>
      </c>
      <c r="BF2373">
        <v>0</v>
      </c>
      <c r="BG2373">
        <v>0</v>
      </c>
      <c r="BH2373">
        <v>1</v>
      </c>
      <c r="BI2373">
        <v>1</v>
      </c>
      <c r="BJ2373">
        <v>0.2</v>
      </c>
      <c r="BK2373">
        <v>1</v>
      </c>
      <c r="BL2373">
        <v>71.69</v>
      </c>
      <c r="BM2373">
        <v>10.75</v>
      </c>
      <c r="BN2373">
        <v>82.44</v>
      </c>
      <c r="BO2373">
        <v>82.44</v>
      </c>
      <c r="BQ2373" t="s">
        <v>407</v>
      </c>
      <c r="BR2373" t="s">
        <v>84</v>
      </c>
      <c r="BS2373" s="3">
        <v>45887</v>
      </c>
      <c r="BT2373" s="4">
        <v>0.42499999999999999</v>
      </c>
      <c r="BU2373" t="s">
        <v>2753</v>
      </c>
      <c r="BV2373" t="s">
        <v>86</v>
      </c>
      <c r="BY2373">
        <v>1200</v>
      </c>
      <c r="CA2373" t="s">
        <v>2361</v>
      </c>
      <c r="CC2373" t="s">
        <v>124</v>
      </c>
      <c r="CD2373">
        <v>7441</v>
      </c>
      <c r="CE2373" t="s">
        <v>109</v>
      </c>
      <c r="CI2373">
        <v>1</v>
      </c>
      <c r="CJ2373">
        <v>1</v>
      </c>
      <c r="CK2373">
        <v>21</v>
      </c>
      <c r="CL2373" t="s">
        <v>90</v>
      </c>
    </row>
    <row r="2374" spans="1:90" x14ac:dyDescent="0.3">
      <c r="A2374" t="s">
        <v>72</v>
      </c>
      <c r="B2374" t="s">
        <v>73</v>
      </c>
      <c r="C2374" t="s">
        <v>74</v>
      </c>
      <c r="E2374" t="str">
        <f>"080067266222"</f>
        <v>080067266222</v>
      </c>
      <c r="F2374" s="3">
        <v>45884</v>
      </c>
      <c r="G2374">
        <v>202605</v>
      </c>
      <c r="H2374" t="s">
        <v>75</v>
      </c>
      <c r="I2374" t="s">
        <v>76</v>
      </c>
      <c r="J2374" t="s">
        <v>77</v>
      </c>
      <c r="K2374" t="s">
        <v>78</v>
      </c>
      <c r="L2374" t="s">
        <v>2422</v>
      </c>
      <c r="M2374" t="s">
        <v>2423</v>
      </c>
      <c r="N2374" t="s">
        <v>2845</v>
      </c>
      <c r="O2374" t="s">
        <v>82</v>
      </c>
      <c r="P2374" t="str">
        <f>"4170055143                    "</f>
        <v xml:space="preserve">4170055143                    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0</v>
      </c>
      <c r="AI2374">
        <v>0</v>
      </c>
      <c r="AJ2374">
        <v>0</v>
      </c>
      <c r="AK2374">
        <v>0</v>
      </c>
      <c r="AL2374">
        <v>0</v>
      </c>
      <c r="AM2374">
        <v>0</v>
      </c>
      <c r="AN2374">
        <v>0</v>
      </c>
      <c r="AO2374">
        <v>0</v>
      </c>
      <c r="AP2374">
        <v>0</v>
      </c>
      <c r="AQ2374">
        <v>44.73</v>
      </c>
      <c r="AR2374">
        <v>0</v>
      </c>
      <c r="AS2374">
        <v>0</v>
      </c>
      <c r="AT2374">
        <v>0</v>
      </c>
      <c r="AU2374">
        <v>0</v>
      </c>
      <c r="AV2374">
        <v>0</v>
      </c>
      <c r="AW2374">
        <v>0</v>
      </c>
      <c r="AX2374">
        <v>0</v>
      </c>
      <c r="AY2374">
        <v>0</v>
      </c>
      <c r="AZ2374">
        <v>0</v>
      </c>
      <c r="BA2374">
        <v>0</v>
      </c>
      <c r="BB2374">
        <v>0</v>
      </c>
      <c r="BC2374">
        <v>0</v>
      </c>
      <c r="BD2374">
        <v>0</v>
      </c>
      <c r="BE2374">
        <v>0</v>
      </c>
      <c r="BF2374">
        <v>0</v>
      </c>
      <c r="BG2374">
        <v>0</v>
      </c>
      <c r="BH2374">
        <v>1</v>
      </c>
      <c r="BI2374">
        <v>1</v>
      </c>
      <c r="BJ2374">
        <v>0.2</v>
      </c>
      <c r="BK2374">
        <v>1</v>
      </c>
      <c r="BL2374">
        <v>138.88999999999999</v>
      </c>
      <c r="BM2374">
        <v>20.83</v>
      </c>
      <c r="BN2374">
        <v>159.72</v>
      </c>
      <c r="BO2374">
        <v>159.72</v>
      </c>
      <c r="BQ2374" t="s">
        <v>2846</v>
      </c>
      <c r="BR2374" t="s">
        <v>84</v>
      </c>
      <c r="BS2374" s="3">
        <v>45887</v>
      </c>
      <c r="BT2374" s="4">
        <v>0.52152777777777781</v>
      </c>
      <c r="BU2374" t="s">
        <v>2847</v>
      </c>
      <c r="BV2374" t="s">
        <v>86</v>
      </c>
      <c r="BY2374">
        <v>1200</v>
      </c>
      <c r="CA2374" t="s">
        <v>441</v>
      </c>
      <c r="CC2374" t="s">
        <v>2423</v>
      </c>
      <c r="CD2374">
        <v>4430</v>
      </c>
      <c r="CE2374" t="s">
        <v>109</v>
      </c>
      <c r="CI2374">
        <v>1</v>
      </c>
      <c r="CJ2374">
        <v>1</v>
      </c>
      <c r="CK2374">
        <v>23</v>
      </c>
      <c r="CL2374" t="s">
        <v>90</v>
      </c>
    </row>
    <row r="2375" spans="1:90" x14ac:dyDescent="0.3">
      <c r="A2375" t="s">
        <v>72</v>
      </c>
      <c r="B2375" t="s">
        <v>73</v>
      </c>
      <c r="C2375" t="s">
        <v>74</v>
      </c>
      <c r="E2375" t="str">
        <f>"080067266250"</f>
        <v>080067266250</v>
      </c>
      <c r="F2375" s="3">
        <v>45884</v>
      </c>
      <c r="G2375">
        <v>202605</v>
      </c>
      <c r="H2375" t="s">
        <v>75</v>
      </c>
      <c r="I2375" t="s">
        <v>76</v>
      </c>
      <c r="J2375" t="s">
        <v>77</v>
      </c>
      <c r="K2375" t="s">
        <v>78</v>
      </c>
      <c r="L2375" t="s">
        <v>137</v>
      </c>
      <c r="M2375" t="s">
        <v>138</v>
      </c>
      <c r="N2375" t="s">
        <v>1760</v>
      </c>
      <c r="O2375" t="s">
        <v>82</v>
      </c>
      <c r="P2375" t="str">
        <f>"4170055181                    "</f>
        <v xml:space="preserve">4170055181                    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0</v>
      </c>
      <c r="AI2375">
        <v>0</v>
      </c>
      <c r="AJ2375">
        <v>0</v>
      </c>
      <c r="AK2375">
        <v>0</v>
      </c>
      <c r="AL2375">
        <v>0</v>
      </c>
      <c r="AM2375">
        <v>0</v>
      </c>
      <c r="AN2375">
        <v>0</v>
      </c>
      <c r="AO2375">
        <v>0</v>
      </c>
      <c r="AP2375">
        <v>0</v>
      </c>
      <c r="AQ2375">
        <v>23.09</v>
      </c>
      <c r="AR2375">
        <v>0</v>
      </c>
      <c r="AS2375">
        <v>0</v>
      </c>
      <c r="AT2375">
        <v>0</v>
      </c>
      <c r="AU2375">
        <v>0</v>
      </c>
      <c r="AV2375">
        <v>0</v>
      </c>
      <c r="AW2375">
        <v>0</v>
      </c>
      <c r="AX2375">
        <v>0</v>
      </c>
      <c r="AY2375">
        <v>0</v>
      </c>
      <c r="AZ2375">
        <v>0</v>
      </c>
      <c r="BA2375">
        <v>0</v>
      </c>
      <c r="BB2375">
        <v>0</v>
      </c>
      <c r="BC2375">
        <v>0</v>
      </c>
      <c r="BD2375">
        <v>0</v>
      </c>
      <c r="BE2375">
        <v>0</v>
      </c>
      <c r="BF2375">
        <v>0</v>
      </c>
      <c r="BG2375">
        <v>0</v>
      </c>
      <c r="BH2375">
        <v>1</v>
      </c>
      <c r="BI2375">
        <v>1</v>
      </c>
      <c r="BJ2375">
        <v>0.2</v>
      </c>
      <c r="BK2375">
        <v>1</v>
      </c>
      <c r="BL2375">
        <v>71.69</v>
      </c>
      <c r="BM2375">
        <v>10.75</v>
      </c>
      <c r="BN2375">
        <v>82.44</v>
      </c>
      <c r="BO2375">
        <v>82.44</v>
      </c>
      <c r="BQ2375" t="s">
        <v>1761</v>
      </c>
      <c r="BR2375" t="s">
        <v>84</v>
      </c>
      <c r="BS2375" s="3">
        <v>45887</v>
      </c>
      <c r="BT2375" s="4">
        <v>0.45416666666666666</v>
      </c>
      <c r="BU2375" t="s">
        <v>1901</v>
      </c>
      <c r="BV2375" t="s">
        <v>86</v>
      </c>
      <c r="BY2375">
        <v>1200</v>
      </c>
      <c r="CC2375" t="s">
        <v>138</v>
      </c>
      <c r="CD2375">
        <v>3610</v>
      </c>
      <c r="CE2375" t="s">
        <v>109</v>
      </c>
      <c r="CF2375" s="3">
        <v>45888</v>
      </c>
      <c r="CI2375">
        <v>1</v>
      </c>
      <c r="CJ2375">
        <v>1</v>
      </c>
      <c r="CK2375">
        <v>21</v>
      </c>
      <c r="CL2375" t="s">
        <v>90</v>
      </c>
    </row>
    <row r="2376" spans="1:90" x14ac:dyDescent="0.3">
      <c r="A2376" t="s">
        <v>72</v>
      </c>
      <c r="B2376" t="s">
        <v>73</v>
      </c>
      <c r="C2376" t="s">
        <v>74</v>
      </c>
      <c r="E2376" t="str">
        <f>"080067266269"</f>
        <v>080067266269</v>
      </c>
      <c r="F2376" s="3">
        <v>45884</v>
      </c>
      <c r="G2376">
        <v>202605</v>
      </c>
      <c r="H2376" t="s">
        <v>75</v>
      </c>
      <c r="I2376" t="s">
        <v>76</v>
      </c>
      <c r="J2376" t="s">
        <v>77</v>
      </c>
      <c r="K2376" t="s">
        <v>78</v>
      </c>
      <c r="L2376" t="s">
        <v>75</v>
      </c>
      <c r="M2376" t="s">
        <v>76</v>
      </c>
      <c r="N2376" t="s">
        <v>1637</v>
      </c>
      <c r="O2376" t="s">
        <v>82</v>
      </c>
      <c r="P2376" t="str">
        <f>"4170055160                    "</f>
        <v xml:space="preserve">4170055160                    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0</v>
      </c>
      <c r="AI2376">
        <v>0</v>
      </c>
      <c r="AJ2376">
        <v>0</v>
      </c>
      <c r="AK2376">
        <v>0</v>
      </c>
      <c r="AL2376">
        <v>0</v>
      </c>
      <c r="AM2376">
        <v>0</v>
      </c>
      <c r="AN2376">
        <v>0</v>
      </c>
      <c r="AO2376">
        <v>0</v>
      </c>
      <c r="AP2376">
        <v>0</v>
      </c>
      <c r="AQ2376">
        <v>18.03</v>
      </c>
      <c r="AR2376">
        <v>0</v>
      </c>
      <c r="AS2376">
        <v>0</v>
      </c>
      <c r="AT2376">
        <v>0</v>
      </c>
      <c r="AU2376">
        <v>0</v>
      </c>
      <c r="AV2376">
        <v>0</v>
      </c>
      <c r="AW2376">
        <v>0</v>
      </c>
      <c r="AX2376">
        <v>0</v>
      </c>
      <c r="AY2376">
        <v>0</v>
      </c>
      <c r="AZ2376">
        <v>0</v>
      </c>
      <c r="BA2376">
        <v>0</v>
      </c>
      <c r="BB2376">
        <v>0</v>
      </c>
      <c r="BC2376">
        <v>0</v>
      </c>
      <c r="BD2376">
        <v>0</v>
      </c>
      <c r="BE2376">
        <v>0</v>
      </c>
      <c r="BF2376">
        <v>0</v>
      </c>
      <c r="BG2376">
        <v>0</v>
      </c>
      <c r="BH2376">
        <v>1</v>
      </c>
      <c r="BI2376">
        <v>1</v>
      </c>
      <c r="BJ2376">
        <v>0.2</v>
      </c>
      <c r="BK2376">
        <v>1</v>
      </c>
      <c r="BL2376">
        <v>55.99</v>
      </c>
      <c r="BM2376">
        <v>8.4</v>
      </c>
      <c r="BN2376">
        <v>64.39</v>
      </c>
      <c r="BO2376">
        <v>64.39</v>
      </c>
      <c r="BQ2376" t="s">
        <v>1638</v>
      </c>
      <c r="BR2376" t="s">
        <v>84</v>
      </c>
      <c r="BS2376" s="3">
        <v>45887</v>
      </c>
      <c r="BT2376" s="4">
        <v>0.41319444444444442</v>
      </c>
      <c r="BU2376" t="s">
        <v>1639</v>
      </c>
      <c r="BV2376" t="s">
        <v>86</v>
      </c>
      <c r="BY2376">
        <v>1200</v>
      </c>
      <c r="CA2376" t="s">
        <v>1026</v>
      </c>
      <c r="CC2376" t="s">
        <v>76</v>
      </c>
      <c r="CD2376">
        <v>1614</v>
      </c>
      <c r="CE2376" t="s">
        <v>109</v>
      </c>
      <c r="CF2376" s="3">
        <v>45887</v>
      </c>
      <c r="CI2376">
        <v>1</v>
      </c>
      <c r="CJ2376">
        <v>1</v>
      </c>
      <c r="CK2376">
        <v>22</v>
      </c>
      <c r="CL2376" t="s">
        <v>90</v>
      </c>
    </row>
    <row r="2377" spans="1:90" x14ac:dyDescent="0.3">
      <c r="A2377" t="s">
        <v>72</v>
      </c>
      <c r="B2377" t="s">
        <v>73</v>
      </c>
      <c r="C2377" t="s">
        <v>74</v>
      </c>
      <c r="E2377" t="str">
        <f>"080067266326"</f>
        <v>080067266326</v>
      </c>
      <c r="F2377" s="3">
        <v>45884</v>
      </c>
      <c r="G2377">
        <v>202605</v>
      </c>
      <c r="H2377" t="s">
        <v>75</v>
      </c>
      <c r="I2377" t="s">
        <v>76</v>
      </c>
      <c r="J2377" t="s">
        <v>77</v>
      </c>
      <c r="K2377" t="s">
        <v>78</v>
      </c>
      <c r="L2377" t="s">
        <v>241</v>
      </c>
      <c r="M2377" t="s">
        <v>242</v>
      </c>
      <c r="N2377" t="s">
        <v>978</v>
      </c>
      <c r="O2377" t="s">
        <v>82</v>
      </c>
      <c r="P2377" t="str">
        <f>"4170055109                    "</f>
        <v xml:space="preserve">4170055109                    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0</v>
      </c>
      <c r="AI2377">
        <v>0</v>
      </c>
      <c r="AJ2377"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>
        <v>0</v>
      </c>
      <c r="AQ2377">
        <v>18.03</v>
      </c>
      <c r="AR2377">
        <v>0</v>
      </c>
      <c r="AS2377">
        <v>0</v>
      </c>
      <c r="AT2377">
        <v>0</v>
      </c>
      <c r="AU2377">
        <v>0</v>
      </c>
      <c r="AV2377">
        <v>0</v>
      </c>
      <c r="AW2377">
        <v>0</v>
      </c>
      <c r="AX2377">
        <v>0</v>
      </c>
      <c r="AY2377">
        <v>0</v>
      </c>
      <c r="AZ2377">
        <v>0</v>
      </c>
      <c r="BA2377">
        <v>0</v>
      </c>
      <c r="BB2377">
        <v>0</v>
      </c>
      <c r="BC2377">
        <v>0</v>
      </c>
      <c r="BD2377">
        <v>0</v>
      </c>
      <c r="BE2377">
        <v>0</v>
      </c>
      <c r="BF2377">
        <v>0</v>
      </c>
      <c r="BG2377">
        <v>0</v>
      </c>
      <c r="BH2377">
        <v>1</v>
      </c>
      <c r="BI2377">
        <v>1</v>
      </c>
      <c r="BJ2377">
        <v>0.2</v>
      </c>
      <c r="BK2377">
        <v>1</v>
      </c>
      <c r="BL2377">
        <v>55.99</v>
      </c>
      <c r="BM2377">
        <v>8.4</v>
      </c>
      <c r="BN2377">
        <v>64.39</v>
      </c>
      <c r="BO2377">
        <v>64.39</v>
      </c>
      <c r="BQ2377" t="s">
        <v>1774</v>
      </c>
      <c r="BR2377" t="s">
        <v>84</v>
      </c>
      <c r="BS2377" s="3">
        <v>45887</v>
      </c>
      <c r="BT2377" s="4">
        <v>0.36041666666666666</v>
      </c>
      <c r="BU2377" t="s">
        <v>2756</v>
      </c>
      <c r="BV2377" t="s">
        <v>86</v>
      </c>
      <c r="BY2377">
        <v>1200</v>
      </c>
      <c r="CA2377" t="s">
        <v>720</v>
      </c>
      <c r="CC2377" t="s">
        <v>242</v>
      </c>
      <c r="CD2377">
        <v>1459</v>
      </c>
      <c r="CE2377" t="s">
        <v>109</v>
      </c>
      <c r="CF2377" s="3">
        <v>45888</v>
      </c>
      <c r="CI2377">
        <v>1</v>
      </c>
      <c r="CJ2377">
        <v>1</v>
      </c>
      <c r="CK2377">
        <v>22</v>
      </c>
      <c r="CL2377" t="s">
        <v>90</v>
      </c>
    </row>
    <row r="2378" spans="1:90" x14ac:dyDescent="0.3">
      <c r="A2378" t="s">
        <v>72</v>
      </c>
      <c r="B2378" t="s">
        <v>73</v>
      </c>
      <c r="C2378" t="s">
        <v>74</v>
      </c>
      <c r="E2378" t="str">
        <f>"080067266325"</f>
        <v>080067266325</v>
      </c>
      <c r="F2378" s="3">
        <v>45884</v>
      </c>
      <c r="G2378">
        <v>202605</v>
      </c>
      <c r="H2378" t="s">
        <v>75</v>
      </c>
      <c r="I2378" t="s">
        <v>76</v>
      </c>
      <c r="J2378" t="s">
        <v>77</v>
      </c>
      <c r="K2378" t="s">
        <v>78</v>
      </c>
      <c r="L2378" t="s">
        <v>137</v>
      </c>
      <c r="M2378" t="s">
        <v>138</v>
      </c>
      <c r="N2378" t="s">
        <v>261</v>
      </c>
      <c r="O2378" t="s">
        <v>82</v>
      </c>
      <c r="P2378" t="str">
        <f>"4170055146                    "</f>
        <v xml:space="preserve">4170055146                    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N2378">
        <v>0</v>
      </c>
      <c r="AO2378">
        <v>0</v>
      </c>
      <c r="AP2378">
        <v>0</v>
      </c>
      <c r="AQ2378">
        <v>173.01</v>
      </c>
      <c r="AR2378">
        <v>0</v>
      </c>
      <c r="AS2378">
        <v>0</v>
      </c>
      <c r="AT2378">
        <v>0</v>
      </c>
      <c r="AU2378">
        <v>0</v>
      </c>
      <c r="AV2378">
        <v>0</v>
      </c>
      <c r="AW2378">
        <v>0</v>
      </c>
      <c r="AX2378">
        <v>0</v>
      </c>
      <c r="AY2378">
        <v>0</v>
      </c>
      <c r="AZ2378">
        <v>0</v>
      </c>
      <c r="BA2378">
        <v>0</v>
      </c>
      <c r="BB2378">
        <v>0</v>
      </c>
      <c r="BC2378">
        <v>0</v>
      </c>
      <c r="BD2378">
        <v>0</v>
      </c>
      <c r="BE2378">
        <v>0</v>
      </c>
      <c r="BF2378">
        <v>0</v>
      </c>
      <c r="BG2378">
        <v>0</v>
      </c>
      <c r="BH2378">
        <v>2</v>
      </c>
      <c r="BI2378">
        <v>15</v>
      </c>
      <c r="BJ2378">
        <v>5.0999999999999996</v>
      </c>
      <c r="BK2378">
        <v>15</v>
      </c>
      <c r="BL2378">
        <v>537.25</v>
      </c>
      <c r="BM2378">
        <v>80.59</v>
      </c>
      <c r="BN2378">
        <v>617.84</v>
      </c>
      <c r="BO2378">
        <v>617.84</v>
      </c>
      <c r="BQ2378" t="s">
        <v>262</v>
      </c>
      <c r="BR2378" t="s">
        <v>84</v>
      </c>
      <c r="BS2378" s="3">
        <v>45887</v>
      </c>
      <c r="BT2378" s="4">
        <v>0.40972222222222221</v>
      </c>
      <c r="BU2378" t="s">
        <v>263</v>
      </c>
      <c r="BV2378" t="s">
        <v>86</v>
      </c>
      <c r="BY2378">
        <v>25477</v>
      </c>
      <c r="CA2378" t="s">
        <v>264</v>
      </c>
      <c r="CC2378" t="s">
        <v>138</v>
      </c>
      <c r="CD2378">
        <v>3608</v>
      </c>
      <c r="CE2378" t="s">
        <v>147</v>
      </c>
      <c r="CF2378" s="3">
        <v>45887</v>
      </c>
      <c r="CI2378">
        <v>1</v>
      </c>
      <c r="CJ2378">
        <v>1</v>
      </c>
      <c r="CK2378">
        <v>21</v>
      </c>
      <c r="CL2378" t="s">
        <v>90</v>
      </c>
    </row>
    <row r="2379" spans="1:90" x14ac:dyDescent="0.3">
      <c r="A2379" t="s">
        <v>72</v>
      </c>
      <c r="B2379" t="s">
        <v>73</v>
      </c>
      <c r="C2379" t="s">
        <v>74</v>
      </c>
      <c r="E2379" t="str">
        <f>"080067266347"</f>
        <v>080067266347</v>
      </c>
      <c r="F2379" s="3">
        <v>45884</v>
      </c>
      <c r="G2379">
        <v>202605</v>
      </c>
      <c r="H2379" t="s">
        <v>75</v>
      </c>
      <c r="I2379" t="s">
        <v>76</v>
      </c>
      <c r="J2379" t="s">
        <v>77</v>
      </c>
      <c r="K2379" t="s">
        <v>78</v>
      </c>
      <c r="L2379" t="s">
        <v>123</v>
      </c>
      <c r="M2379" t="s">
        <v>124</v>
      </c>
      <c r="N2379" t="s">
        <v>406</v>
      </c>
      <c r="O2379" t="s">
        <v>82</v>
      </c>
      <c r="P2379" t="str">
        <f>"4170055171                    "</f>
        <v xml:space="preserve">4170055171                    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0</v>
      </c>
      <c r="AJ2379">
        <v>0</v>
      </c>
      <c r="AK2379">
        <v>0</v>
      </c>
      <c r="AL2379">
        <v>0</v>
      </c>
      <c r="AM2379">
        <v>0</v>
      </c>
      <c r="AN2379">
        <v>0</v>
      </c>
      <c r="AO2379">
        <v>0</v>
      </c>
      <c r="AP2379">
        <v>0</v>
      </c>
      <c r="AQ2379">
        <v>23.09</v>
      </c>
      <c r="AR2379">
        <v>0</v>
      </c>
      <c r="AS2379">
        <v>0</v>
      </c>
      <c r="AT2379">
        <v>0</v>
      </c>
      <c r="AU2379">
        <v>0</v>
      </c>
      <c r="AV2379">
        <v>0</v>
      </c>
      <c r="AW2379">
        <v>0</v>
      </c>
      <c r="AX2379">
        <v>0</v>
      </c>
      <c r="AY2379">
        <v>0</v>
      </c>
      <c r="AZ2379">
        <v>0</v>
      </c>
      <c r="BA2379">
        <v>0</v>
      </c>
      <c r="BB2379">
        <v>0</v>
      </c>
      <c r="BC2379">
        <v>0</v>
      </c>
      <c r="BD2379">
        <v>0</v>
      </c>
      <c r="BE2379">
        <v>0</v>
      </c>
      <c r="BF2379">
        <v>0</v>
      </c>
      <c r="BG2379">
        <v>0</v>
      </c>
      <c r="BH2379">
        <v>1</v>
      </c>
      <c r="BI2379">
        <v>1</v>
      </c>
      <c r="BJ2379">
        <v>0.2</v>
      </c>
      <c r="BK2379">
        <v>1</v>
      </c>
      <c r="BL2379">
        <v>71.69</v>
      </c>
      <c r="BM2379">
        <v>10.75</v>
      </c>
      <c r="BN2379">
        <v>82.44</v>
      </c>
      <c r="BO2379">
        <v>82.44</v>
      </c>
      <c r="BQ2379" t="s">
        <v>407</v>
      </c>
      <c r="BR2379" t="s">
        <v>84</v>
      </c>
      <c r="BS2379" s="3">
        <v>45887</v>
      </c>
      <c r="BT2379" s="4">
        <v>0.42499999999999999</v>
      </c>
      <c r="BU2379" t="s">
        <v>2848</v>
      </c>
      <c r="BV2379" t="s">
        <v>86</v>
      </c>
      <c r="BY2379">
        <v>1200</v>
      </c>
      <c r="CA2379" t="s">
        <v>457</v>
      </c>
      <c r="CC2379" t="s">
        <v>124</v>
      </c>
      <c r="CD2379">
        <v>7441</v>
      </c>
      <c r="CE2379" t="s">
        <v>109</v>
      </c>
      <c r="CI2379">
        <v>1</v>
      </c>
      <c r="CJ2379">
        <v>1</v>
      </c>
      <c r="CK2379">
        <v>21</v>
      </c>
      <c r="CL2379" t="s">
        <v>90</v>
      </c>
    </row>
    <row r="2380" spans="1:90" x14ac:dyDescent="0.3">
      <c r="A2380" t="s">
        <v>72</v>
      </c>
      <c r="B2380" t="s">
        <v>73</v>
      </c>
      <c r="C2380" t="s">
        <v>74</v>
      </c>
      <c r="E2380" t="str">
        <f>"080067266364"</f>
        <v>080067266364</v>
      </c>
      <c r="F2380" s="3">
        <v>45884</v>
      </c>
      <c r="G2380">
        <v>202605</v>
      </c>
      <c r="H2380" t="s">
        <v>75</v>
      </c>
      <c r="I2380" t="s">
        <v>76</v>
      </c>
      <c r="J2380" t="s">
        <v>77</v>
      </c>
      <c r="K2380" t="s">
        <v>78</v>
      </c>
      <c r="L2380" t="s">
        <v>198</v>
      </c>
      <c r="M2380" t="s">
        <v>199</v>
      </c>
      <c r="N2380" t="s">
        <v>598</v>
      </c>
      <c r="O2380" t="s">
        <v>82</v>
      </c>
      <c r="P2380" t="str">
        <f>"4170055126                    "</f>
        <v xml:space="preserve">4170055126                    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0</v>
      </c>
      <c r="AI2380">
        <v>0</v>
      </c>
      <c r="AJ2380">
        <v>0</v>
      </c>
      <c r="AK2380">
        <v>0</v>
      </c>
      <c r="AL2380">
        <v>0</v>
      </c>
      <c r="AM2380">
        <v>0</v>
      </c>
      <c r="AN2380">
        <v>0</v>
      </c>
      <c r="AO2380">
        <v>0</v>
      </c>
      <c r="AP2380">
        <v>0</v>
      </c>
      <c r="AQ2380">
        <v>173.01</v>
      </c>
      <c r="AR2380">
        <v>0</v>
      </c>
      <c r="AS2380">
        <v>0</v>
      </c>
      <c r="AT2380">
        <v>0</v>
      </c>
      <c r="AU2380">
        <v>0</v>
      </c>
      <c r="AV2380">
        <v>0</v>
      </c>
      <c r="AW2380">
        <v>0</v>
      </c>
      <c r="AX2380">
        <v>0</v>
      </c>
      <c r="AY2380">
        <v>0</v>
      </c>
      <c r="AZ2380">
        <v>0</v>
      </c>
      <c r="BA2380">
        <v>0</v>
      </c>
      <c r="BB2380">
        <v>0</v>
      </c>
      <c r="BC2380">
        <v>0</v>
      </c>
      <c r="BD2380">
        <v>0</v>
      </c>
      <c r="BE2380">
        <v>0</v>
      </c>
      <c r="BF2380">
        <v>0</v>
      </c>
      <c r="BG2380">
        <v>0</v>
      </c>
      <c r="BH2380">
        <v>1</v>
      </c>
      <c r="BI2380">
        <v>15</v>
      </c>
      <c r="BJ2380">
        <v>8.9</v>
      </c>
      <c r="BK2380">
        <v>15</v>
      </c>
      <c r="BL2380">
        <v>537.25</v>
      </c>
      <c r="BM2380">
        <v>80.59</v>
      </c>
      <c r="BN2380">
        <v>617.84</v>
      </c>
      <c r="BO2380">
        <v>617.84</v>
      </c>
      <c r="BQ2380" t="s">
        <v>599</v>
      </c>
      <c r="BR2380" t="s">
        <v>84</v>
      </c>
      <c r="BS2380" s="3">
        <v>45887</v>
      </c>
      <c r="BT2380" s="4">
        <v>0.39513888888888887</v>
      </c>
      <c r="BU2380" t="s">
        <v>1539</v>
      </c>
      <c r="BV2380" t="s">
        <v>86</v>
      </c>
      <c r="BY2380">
        <v>44640</v>
      </c>
      <c r="CA2380" t="s">
        <v>601</v>
      </c>
      <c r="CC2380" t="s">
        <v>199</v>
      </c>
      <c r="CD2380">
        <v>6001</v>
      </c>
      <c r="CE2380" t="s">
        <v>147</v>
      </c>
      <c r="CF2380" s="3">
        <v>45887</v>
      </c>
      <c r="CI2380">
        <v>1</v>
      </c>
      <c r="CJ2380">
        <v>1</v>
      </c>
      <c r="CK2380">
        <v>21</v>
      </c>
      <c r="CL2380" t="s">
        <v>90</v>
      </c>
    </row>
    <row r="2381" spans="1:90" x14ac:dyDescent="0.3">
      <c r="A2381" t="s">
        <v>72</v>
      </c>
      <c r="B2381" t="s">
        <v>73</v>
      </c>
      <c r="C2381" t="s">
        <v>74</v>
      </c>
      <c r="E2381" t="str">
        <f>"080067266373"</f>
        <v>080067266373</v>
      </c>
      <c r="F2381" s="3">
        <v>45884</v>
      </c>
      <c r="G2381">
        <v>202605</v>
      </c>
      <c r="H2381" t="s">
        <v>75</v>
      </c>
      <c r="I2381" t="s">
        <v>76</v>
      </c>
      <c r="J2381" t="s">
        <v>77</v>
      </c>
      <c r="K2381" t="s">
        <v>78</v>
      </c>
      <c r="L2381" t="s">
        <v>75</v>
      </c>
      <c r="M2381" t="s">
        <v>76</v>
      </c>
      <c r="N2381" t="s">
        <v>761</v>
      </c>
      <c r="O2381" t="s">
        <v>82</v>
      </c>
      <c r="P2381" t="str">
        <f>"4170055059                    "</f>
        <v xml:space="preserve">4170055059                    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0</v>
      </c>
      <c r="AI2381">
        <v>0</v>
      </c>
      <c r="AJ2381">
        <v>0</v>
      </c>
      <c r="AK2381">
        <v>0</v>
      </c>
      <c r="AL2381">
        <v>0</v>
      </c>
      <c r="AM2381">
        <v>0</v>
      </c>
      <c r="AN2381">
        <v>0</v>
      </c>
      <c r="AO2381">
        <v>0</v>
      </c>
      <c r="AP2381">
        <v>0</v>
      </c>
      <c r="AQ2381">
        <v>18.03</v>
      </c>
      <c r="AR2381">
        <v>0</v>
      </c>
      <c r="AS2381">
        <v>0</v>
      </c>
      <c r="AT2381">
        <v>0</v>
      </c>
      <c r="AU2381">
        <v>0</v>
      </c>
      <c r="AV2381">
        <v>0</v>
      </c>
      <c r="AW2381">
        <v>0</v>
      </c>
      <c r="AX2381">
        <v>0</v>
      </c>
      <c r="AY2381">
        <v>0</v>
      </c>
      <c r="AZ2381">
        <v>0</v>
      </c>
      <c r="BA2381">
        <v>0</v>
      </c>
      <c r="BB2381">
        <v>0</v>
      </c>
      <c r="BC2381">
        <v>0</v>
      </c>
      <c r="BD2381">
        <v>0</v>
      </c>
      <c r="BE2381">
        <v>0</v>
      </c>
      <c r="BF2381">
        <v>0</v>
      </c>
      <c r="BG2381">
        <v>0</v>
      </c>
      <c r="BH2381">
        <v>1</v>
      </c>
      <c r="BI2381">
        <v>1</v>
      </c>
      <c r="BJ2381">
        <v>0.2</v>
      </c>
      <c r="BK2381">
        <v>1</v>
      </c>
      <c r="BL2381">
        <v>55.99</v>
      </c>
      <c r="BM2381">
        <v>8.4</v>
      </c>
      <c r="BN2381">
        <v>64.39</v>
      </c>
      <c r="BO2381">
        <v>64.39</v>
      </c>
      <c r="BQ2381" t="s">
        <v>762</v>
      </c>
      <c r="BR2381" t="s">
        <v>84</v>
      </c>
      <c r="BS2381" s="3">
        <v>45887</v>
      </c>
      <c r="BT2381" s="4">
        <v>0.43402777777777779</v>
      </c>
      <c r="BU2381" t="s">
        <v>2849</v>
      </c>
      <c r="BV2381" t="s">
        <v>86</v>
      </c>
      <c r="BY2381">
        <v>1200</v>
      </c>
      <c r="CA2381" t="s">
        <v>155</v>
      </c>
      <c r="CC2381" t="s">
        <v>76</v>
      </c>
      <c r="CD2381">
        <v>1618</v>
      </c>
      <c r="CE2381" t="s">
        <v>109</v>
      </c>
      <c r="CF2381" s="3">
        <v>45887</v>
      </c>
      <c r="CI2381">
        <v>1</v>
      </c>
      <c r="CJ2381">
        <v>1</v>
      </c>
      <c r="CK2381">
        <v>22</v>
      </c>
      <c r="CL2381" t="s">
        <v>90</v>
      </c>
    </row>
    <row r="2382" spans="1:90" x14ac:dyDescent="0.3">
      <c r="A2382" t="s">
        <v>72</v>
      </c>
      <c r="B2382" t="s">
        <v>73</v>
      </c>
      <c r="C2382" t="s">
        <v>74</v>
      </c>
      <c r="E2382" t="str">
        <f>"080067266386"</f>
        <v>080067266386</v>
      </c>
      <c r="F2382" s="3">
        <v>45884</v>
      </c>
      <c r="G2382">
        <v>202605</v>
      </c>
      <c r="H2382" t="s">
        <v>75</v>
      </c>
      <c r="I2382" t="s">
        <v>76</v>
      </c>
      <c r="J2382" t="s">
        <v>77</v>
      </c>
      <c r="K2382" t="s">
        <v>78</v>
      </c>
      <c r="L2382" t="s">
        <v>349</v>
      </c>
      <c r="M2382" t="s">
        <v>350</v>
      </c>
      <c r="N2382" t="s">
        <v>1008</v>
      </c>
      <c r="O2382" t="s">
        <v>113</v>
      </c>
      <c r="P2382" t="str">
        <f>"4170055191                    "</f>
        <v xml:space="preserve">4170055191                    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0</v>
      </c>
      <c r="AI2382">
        <v>0</v>
      </c>
      <c r="AJ2382">
        <v>0</v>
      </c>
      <c r="AK2382">
        <v>0</v>
      </c>
      <c r="AL2382">
        <v>0</v>
      </c>
      <c r="AM2382">
        <v>0</v>
      </c>
      <c r="AN2382">
        <v>0</v>
      </c>
      <c r="AO2382">
        <v>0</v>
      </c>
      <c r="AP2382">
        <v>0</v>
      </c>
      <c r="AQ2382">
        <v>68.17</v>
      </c>
      <c r="AR2382">
        <v>0</v>
      </c>
      <c r="AS2382">
        <v>0</v>
      </c>
      <c r="AT2382">
        <v>0</v>
      </c>
      <c r="AU2382">
        <v>0</v>
      </c>
      <c r="AV2382">
        <v>0</v>
      </c>
      <c r="AW2382">
        <v>16.739999999999998</v>
      </c>
      <c r="AX2382">
        <v>0</v>
      </c>
      <c r="AY2382">
        <v>0</v>
      </c>
      <c r="AZ2382">
        <v>0</v>
      </c>
      <c r="BA2382">
        <v>0</v>
      </c>
      <c r="BB2382">
        <v>0</v>
      </c>
      <c r="BC2382">
        <v>0</v>
      </c>
      <c r="BD2382">
        <v>0</v>
      </c>
      <c r="BE2382">
        <v>0</v>
      </c>
      <c r="BF2382">
        <v>0</v>
      </c>
      <c r="BG2382">
        <v>0</v>
      </c>
      <c r="BH2382">
        <v>1</v>
      </c>
      <c r="BI2382">
        <v>3</v>
      </c>
      <c r="BJ2382">
        <v>1.7</v>
      </c>
      <c r="BK2382">
        <v>3</v>
      </c>
      <c r="BL2382">
        <v>228.43</v>
      </c>
      <c r="BM2382">
        <v>34.26</v>
      </c>
      <c r="BN2382">
        <v>262.69</v>
      </c>
      <c r="BO2382">
        <v>262.69</v>
      </c>
      <c r="BQ2382" t="s">
        <v>1009</v>
      </c>
      <c r="BR2382" t="s">
        <v>84</v>
      </c>
      <c r="BS2382" s="3">
        <v>45887</v>
      </c>
      <c r="BT2382" s="4">
        <v>0.68819444444444444</v>
      </c>
      <c r="BU2382" t="s">
        <v>1010</v>
      </c>
      <c r="BV2382" t="s">
        <v>86</v>
      </c>
      <c r="BY2382">
        <v>8512</v>
      </c>
      <c r="BZ2382" t="s">
        <v>30</v>
      </c>
      <c r="CA2382" t="s">
        <v>651</v>
      </c>
      <c r="CC2382" t="s">
        <v>350</v>
      </c>
      <c r="CD2382" s="5" t="s">
        <v>1011</v>
      </c>
      <c r="CE2382" t="s">
        <v>147</v>
      </c>
      <c r="CF2382" s="3">
        <v>45887</v>
      </c>
      <c r="CI2382">
        <v>1</v>
      </c>
      <c r="CJ2382">
        <v>1</v>
      </c>
      <c r="CK2382">
        <v>33</v>
      </c>
      <c r="CL2382" t="s">
        <v>90</v>
      </c>
    </row>
    <row r="2383" spans="1:90" x14ac:dyDescent="0.3">
      <c r="A2383" t="s">
        <v>72</v>
      </c>
      <c r="B2383" t="s">
        <v>73</v>
      </c>
      <c r="C2383" t="s">
        <v>74</v>
      </c>
      <c r="E2383" t="str">
        <f>"080067266387"</f>
        <v>080067266387</v>
      </c>
      <c r="F2383" s="3">
        <v>45884</v>
      </c>
      <c r="G2383">
        <v>202605</v>
      </c>
      <c r="H2383" t="s">
        <v>75</v>
      </c>
      <c r="I2383" t="s">
        <v>76</v>
      </c>
      <c r="J2383" t="s">
        <v>77</v>
      </c>
      <c r="K2383" t="s">
        <v>78</v>
      </c>
      <c r="L2383" t="s">
        <v>123</v>
      </c>
      <c r="M2383" t="s">
        <v>124</v>
      </c>
      <c r="N2383" t="s">
        <v>406</v>
      </c>
      <c r="O2383" t="s">
        <v>82</v>
      </c>
      <c r="P2383" t="str">
        <f>"4170055156                    "</f>
        <v xml:space="preserve">4170055156                    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  <c r="AN2383">
        <v>0</v>
      </c>
      <c r="AO2383">
        <v>0</v>
      </c>
      <c r="AP2383">
        <v>0</v>
      </c>
      <c r="AQ2383">
        <v>23.09</v>
      </c>
      <c r="AR2383">
        <v>0</v>
      </c>
      <c r="AS2383">
        <v>0</v>
      </c>
      <c r="AT2383">
        <v>0</v>
      </c>
      <c r="AU2383">
        <v>0</v>
      </c>
      <c r="AV2383">
        <v>0</v>
      </c>
      <c r="AW2383">
        <v>0</v>
      </c>
      <c r="AX2383">
        <v>0</v>
      </c>
      <c r="AY2383">
        <v>0</v>
      </c>
      <c r="AZ2383">
        <v>0</v>
      </c>
      <c r="BA2383">
        <v>0</v>
      </c>
      <c r="BB2383">
        <v>0</v>
      </c>
      <c r="BC2383">
        <v>0</v>
      </c>
      <c r="BD2383">
        <v>0</v>
      </c>
      <c r="BE2383">
        <v>0</v>
      </c>
      <c r="BF2383">
        <v>0</v>
      </c>
      <c r="BG2383">
        <v>0</v>
      </c>
      <c r="BH2383">
        <v>1</v>
      </c>
      <c r="BI2383">
        <v>1</v>
      </c>
      <c r="BJ2383">
        <v>0.2</v>
      </c>
      <c r="BK2383">
        <v>1</v>
      </c>
      <c r="BL2383">
        <v>71.69</v>
      </c>
      <c r="BM2383">
        <v>10.75</v>
      </c>
      <c r="BN2383">
        <v>82.44</v>
      </c>
      <c r="BO2383">
        <v>82.44</v>
      </c>
      <c r="BQ2383" t="s">
        <v>407</v>
      </c>
      <c r="BR2383" t="s">
        <v>84</v>
      </c>
      <c r="BS2383" s="3">
        <v>45887</v>
      </c>
      <c r="BT2383" s="4">
        <v>0.42499999999999999</v>
      </c>
      <c r="BU2383" t="s">
        <v>2753</v>
      </c>
      <c r="BV2383" t="s">
        <v>86</v>
      </c>
      <c r="BY2383">
        <v>1200</v>
      </c>
      <c r="CA2383" t="s">
        <v>2361</v>
      </c>
      <c r="CC2383" t="s">
        <v>124</v>
      </c>
      <c r="CD2383">
        <v>7441</v>
      </c>
      <c r="CE2383" t="s">
        <v>109</v>
      </c>
      <c r="CI2383">
        <v>1</v>
      </c>
      <c r="CJ2383">
        <v>1</v>
      </c>
      <c r="CK2383">
        <v>21</v>
      </c>
      <c r="CL2383" t="s">
        <v>90</v>
      </c>
    </row>
    <row r="2384" spans="1:90" x14ac:dyDescent="0.3">
      <c r="A2384" t="s">
        <v>72</v>
      </c>
      <c r="B2384" t="s">
        <v>73</v>
      </c>
      <c r="C2384" t="s">
        <v>74</v>
      </c>
      <c r="E2384" t="str">
        <f>"080067266399"</f>
        <v>080067266399</v>
      </c>
      <c r="F2384" s="3">
        <v>45884</v>
      </c>
      <c r="G2384">
        <v>202605</v>
      </c>
      <c r="H2384" t="s">
        <v>75</v>
      </c>
      <c r="I2384" t="s">
        <v>76</v>
      </c>
      <c r="J2384" t="s">
        <v>77</v>
      </c>
      <c r="K2384" t="s">
        <v>78</v>
      </c>
      <c r="L2384" t="s">
        <v>241</v>
      </c>
      <c r="M2384" t="s">
        <v>242</v>
      </c>
      <c r="N2384" t="s">
        <v>1251</v>
      </c>
      <c r="O2384" t="s">
        <v>82</v>
      </c>
      <c r="P2384" t="str">
        <f>"4170055187                    "</f>
        <v xml:space="preserve">4170055187                    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0</v>
      </c>
      <c r="AI2384">
        <v>0</v>
      </c>
      <c r="AJ2384">
        <v>0</v>
      </c>
      <c r="AK2384">
        <v>0</v>
      </c>
      <c r="AL2384">
        <v>0</v>
      </c>
      <c r="AM2384">
        <v>0</v>
      </c>
      <c r="AN2384">
        <v>0</v>
      </c>
      <c r="AO2384">
        <v>0</v>
      </c>
      <c r="AP2384">
        <v>0</v>
      </c>
      <c r="AQ2384">
        <v>18.03</v>
      </c>
      <c r="AR2384">
        <v>0</v>
      </c>
      <c r="AS2384">
        <v>0</v>
      </c>
      <c r="AT2384">
        <v>0</v>
      </c>
      <c r="AU2384">
        <v>0</v>
      </c>
      <c r="AV2384">
        <v>0</v>
      </c>
      <c r="AW2384">
        <v>0</v>
      </c>
      <c r="AX2384">
        <v>0</v>
      </c>
      <c r="AY2384">
        <v>0</v>
      </c>
      <c r="AZ2384">
        <v>0</v>
      </c>
      <c r="BA2384">
        <v>0</v>
      </c>
      <c r="BB2384">
        <v>0</v>
      </c>
      <c r="BC2384">
        <v>0</v>
      </c>
      <c r="BD2384">
        <v>0</v>
      </c>
      <c r="BE2384">
        <v>0</v>
      </c>
      <c r="BF2384">
        <v>0</v>
      </c>
      <c r="BG2384">
        <v>0</v>
      </c>
      <c r="BH2384">
        <v>1</v>
      </c>
      <c r="BI2384">
        <v>1</v>
      </c>
      <c r="BJ2384">
        <v>1.1000000000000001</v>
      </c>
      <c r="BK2384">
        <v>2</v>
      </c>
      <c r="BL2384">
        <v>55.99</v>
      </c>
      <c r="BM2384">
        <v>8.4</v>
      </c>
      <c r="BN2384">
        <v>64.39</v>
      </c>
      <c r="BO2384">
        <v>64.39</v>
      </c>
      <c r="BQ2384" t="s">
        <v>1252</v>
      </c>
      <c r="BR2384" t="s">
        <v>84</v>
      </c>
      <c r="BS2384" s="3">
        <v>45887</v>
      </c>
      <c r="BT2384" s="4">
        <v>0.32847222222222222</v>
      </c>
      <c r="BU2384" t="s">
        <v>1253</v>
      </c>
      <c r="BV2384" t="s">
        <v>86</v>
      </c>
      <c r="BY2384">
        <v>5320</v>
      </c>
      <c r="CA2384" t="s">
        <v>720</v>
      </c>
      <c r="CC2384" t="s">
        <v>242</v>
      </c>
      <c r="CD2384">
        <v>1459</v>
      </c>
      <c r="CE2384" t="s">
        <v>147</v>
      </c>
      <c r="CF2384" s="3">
        <v>45888</v>
      </c>
      <c r="CI2384">
        <v>1</v>
      </c>
      <c r="CJ2384">
        <v>1</v>
      </c>
      <c r="CK2384">
        <v>22</v>
      </c>
      <c r="CL2384" t="s">
        <v>90</v>
      </c>
    </row>
    <row r="2385" spans="1:90" x14ac:dyDescent="0.3">
      <c r="A2385" t="s">
        <v>72</v>
      </c>
      <c r="B2385" t="s">
        <v>73</v>
      </c>
      <c r="C2385" t="s">
        <v>74</v>
      </c>
      <c r="E2385" t="str">
        <f>"080067266419"</f>
        <v>080067266419</v>
      </c>
      <c r="F2385" s="3">
        <v>45884</v>
      </c>
      <c r="G2385">
        <v>202605</v>
      </c>
      <c r="H2385" t="s">
        <v>75</v>
      </c>
      <c r="I2385" t="s">
        <v>76</v>
      </c>
      <c r="J2385" t="s">
        <v>77</v>
      </c>
      <c r="K2385" t="s">
        <v>78</v>
      </c>
      <c r="L2385" t="s">
        <v>198</v>
      </c>
      <c r="M2385" t="s">
        <v>199</v>
      </c>
      <c r="N2385" t="s">
        <v>426</v>
      </c>
      <c r="O2385" t="s">
        <v>82</v>
      </c>
      <c r="P2385" t="str">
        <f>"4170055196                    "</f>
        <v xml:space="preserve">4170055196                    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0</v>
      </c>
      <c r="AI2385">
        <v>0</v>
      </c>
      <c r="AJ2385">
        <v>0</v>
      </c>
      <c r="AK2385">
        <v>0</v>
      </c>
      <c r="AL2385">
        <v>0</v>
      </c>
      <c r="AM2385">
        <v>0</v>
      </c>
      <c r="AN2385">
        <v>0</v>
      </c>
      <c r="AO2385">
        <v>0</v>
      </c>
      <c r="AP2385">
        <v>0</v>
      </c>
      <c r="AQ2385">
        <v>34.619999999999997</v>
      </c>
      <c r="AR2385">
        <v>0</v>
      </c>
      <c r="AS2385">
        <v>0</v>
      </c>
      <c r="AT2385">
        <v>0</v>
      </c>
      <c r="AU2385">
        <v>0</v>
      </c>
      <c r="AV2385">
        <v>0</v>
      </c>
      <c r="AW2385">
        <v>0</v>
      </c>
      <c r="AX2385">
        <v>0</v>
      </c>
      <c r="AY2385">
        <v>0</v>
      </c>
      <c r="AZ2385">
        <v>0</v>
      </c>
      <c r="BA2385">
        <v>0</v>
      </c>
      <c r="BB2385">
        <v>0</v>
      </c>
      <c r="BC2385">
        <v>0</v>
      </c>
      <c r="BD2385">
        <v>0</v>
      </c>
      <c r="BE2385">
        <v>0</v>
      </c>
      <c r="BF2385">
        <v>0</v>
      </c>
      <c r="BG2385">
        <v>0</v>
      </c>
      <c r="BH2385">
        <v>1</v>
      </c>
      <c r="BI2385">
        <v>3</v>
      </c>
      <c r="BJ2385">
        <v>1.7</v>
      </c>
      <c r="BK2385">
        <v>3</v>
      </c>
      <c r="BL2385">
        <v>107.5</v>
      </c>
      <c r="BM2385">
        <v>16.13</v>
      </c>
      <c r="BN2385">
        <v>123.63</v>
      </c>
      <c r="BO2385">
        <v>123.63</v>
      </c>
      <c r="BQ2385" t="s">
        <v>427</v>
      </c>
      <c r="BR2385" t="s">
        <v>84</v>
      </c>
      <c r="BS2385" s="3">
        <v>45887</v>
      </c>
      <c r="BT2385" s="4">
        <v>0.35555555555555557</v>
      </c>
      <c r="BU2385" t="s">
        <v>2812</v>
      </c>
      <c r="BV2385" t="s">
        <v>86</v>
      </c>
      <c r="BY2385">
        <v>8512</v>
      </c>
      <c r="CA2385" t="s">
        <v>2251</v>
      </c>
      <c r="CC2385" t="s">
        <v>199</v>
      </c>
      <c r="CD2385">
        <v>6045</v>
      </c>
      <c r="CE2385" t="s">
        <v>147</v>
      </c>
      <c r="CF2385" s="3">
        <v>45887</v>
      </c>
      <c r="CI2385">
        <v>1</v>
      </c>
      <c r="CJ2385">
        <v>1</v>
      </c>
      <c r="CK2385">
        <v>21</v>
      </c>
      <c r="CL2385" t="s">
        <v>90</v>
      </c>
    </row>
    <row r="2386" spans="1:90" x14ac:dyDescent="0.3">
      <c r="A2386" t="s">
        <v>72</v>
      </c>
      <c r="B2386" t="s">
        <v>73</v>
      </c>
      <c r="C2386" t="s">
        <v>74</v>
      </c>
      <c r="E2386" t="str">
        <f>"080067266453"</f>
        <v>080067266453</v>
      </c>
      <c r="F2386" s="3">
        <v>45884</v>
      </c>
      <c r="G2386">
        <v>202605</v>
      </c>
      <c r="H2386" t="s">
        <v>75</v>
      </c>
      <c r="I2386" t="s">
        <v>76</v>
      </c>
      <c r="J2386" t="s">
        <v>77</v>
      </c>
      <c r="K2386" t="s">
        <v>78</v>
      </c>
      <c r="L2386" t="s">
        <v>123</v>
      </c>
      <c r="M2386" t="s">
        <v>124</v>
      </c>
      <c r="N2386" t="s">
        <v>406</v>
      </c>
      <c r="O2386" t="s">
        <v>82</v>
      </c>
      <c r="P2386" t="str">
        <f>"4170055155                    "</f>
        <v xml:space="preserve">4170055155                    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Q2386">
        <v>80.75</v>
      </c>
      <c r="AR2386">
        <v>0</v>
      </c>
      <c r="AS2386">
        <v>0</v>
      </c>
      <c r="AT2386">
        <v>0</v>
      </c>
      <c r="AU2386">
        <v>0</v>
      </c>
      <c r="AV2386">
        <v>0</v>
      </c>
      <c r="AW2386">
        <v>0</v>
      </c>
      <c r="AX2386">
        <v>0</v>
      </c>
      <c r="AY2386">
        <v>0</v>
      </c>
      <c r="AZ2386">
        <v>0</v>
      </c>
      <c r="BA2386">
        <v>0</v>
      </c>
      <c r="BB2386">
        <v>0</v>
      </c>
      <c r="BC2386">
        <v>0</v>
      </c>
      <c r="BD2386">
        <v>0</v>
      </c>
      <c r="BE2386">
        <v>0</v>
      </c>
      <c r="BF2386">
        <v>0</v>
      </c>
      <c r="BG2386">
        <v>0</v>
      </c>
      <c r="BH2386">
        <v>1</v>
      </c>
      <c r="BI2386">
        <v>7</v>
      </c>
      <c r="BJ2386">
        <v>1.7</v>
      </c>
      <c r="BK2386">
        <v>7</v>
      </c>
      <c r="BL2386">
        <v>250.75</v>
      </c>
      <c r="BM2386">
        <v>37.61</v>
      </c>
      <c r="BN2386">
        <v>288.36</v>
      </c>
      <c r="BO2386">
        <v>288.36</v>
      </c>
      <c r="BQ2386" t="s">
        <v>407</v>
      </c>
      <c r="BR2386" t="s">
        <v>84</v>
      </c>
      <c r="BS2386" s="3">
        <v>45887</v>
      </c>
      <c r="BT2386" s="4">
        <v>0.42499999999999999</v>
      </c>
      <c r="BU2386" t="s">
        <v>2753</v>
      </c>
      <c r="BV2386" t="s">
        <v>86</v>
      </c>
      <c r="BY2386">
        <v>8512</v>
      </c>
      <c r="CA2386" t="s">
        <v>2361</v>
      </c>
      <c r="CC2386" t="s">
        <v>124</v>
      </c>
      <c r="CD2386">
        <v>7441</v>
      </c>
      <c r="CE2386" t="s">
        <v>147</v>
      </c>
      <c r="CI2386">
        <v>1</v>
      </c>
      <c r="CJ2386">
        <v>1</v>
      </c>
      <c r="CK2386">
        <v>21</v>
      </c>
      <c r="CL2386" t="s">
        <v>90</v>
      </c>
    </row>
    <row r="2387" spans="1:90" x14ac:dyDescent="0.3">
      <c r="A2387" t="s">
        <v>72</v>
      </c>
      <c r="B2387" t="s">
        <v>73</v>
      </c>
      <c r="C2387" t="s">
        <v>74</v>
      </c>
      <c r="E2387" t="str">
        <f>"080067266509"</f>
        <v>080067266509</v>
      </c>
      <c r="F2387" s="3">
        <v>45884</v>
      </c>
      <c r="G2387">
        <v>202605</v>
      </c>
      <c r="H2387" t="s">
        <v>75</v>
      </c>
      <c r="I2387" t="s">
        <v>76</v>
      </c>
      <c r="J2387" t="s">
        <v>77</v>
      </c>
      <c r="K2387" t="s">
        <v>78</v>
      </c>
      <c r="L2387" t="s">
        <v>79</v>
      </c>
      <c r="M2387" t="s">
        <v>80</v>
      </c>
      <c r="N2387" t="s">
        <v>2278</v>
      </c>
      <c r="O2387" t="s">
        <v>95</v>
      </c>
      <c r="P2387" t="str">
        <f>"4170055129                    "</f>
        <v xml:space="preserve">4170055129                    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0</v>
      </c>
      <c r="AL2387">
        <v>0</v>
      </c>
      <c r="AM2387">
        <v>0</v>
      </c>
      <c r="AN2387">
        <v>0</v>
      </c>
      <c r="AO2387">
        <v>0</v>
      </c>
      <c r="AP2387">
        <v>0</v>
      </c>
      <c r="AQ2387">
        <v>37.47</v>
      </c>
      <c r="AR2387">
        <v>0</v>
      </c>
      <c r="AS2387">
        <v>0</v>
      </c>
      <c r="AT2387">
        <v>0</v>
      </c>
      <c r="AU2387">
        <v>0</v>
      </c>
      <c r="AV2387">
        <v>0</v>
      </c>
      <c r="AW2387">
        <v>0</v>
      </c>
      <c r="AX2387">
        <v>0</v>
      </c>
      <c r="AY2387">
        <v>0</v>
      </c>
      <c r="AZ2387">
        <v>0</v>
      </c>
      <c r="BA2387">
        <v>0</v>
      </c>
      <c r="BB2387">
        <v>0</v>
      </c>
      <c r="BC2387">
        <v>0</v>
      </c>
      <c r="BD2387">
        <v>0</v>
      </c>
      <c r="BE2387">
        <v>0</v>
      </c>
      <c r="BF2387">
        <v>0</v>
      </c>
      <c r="BG2387">
        <v>0</v>
      </c>
      <c r="BH2387">
        <v>1</v>
      </c>
      <c r="BI2387">
        <v>7</v>
      </c>
      <c r="BJ2387">
        <v>17.7</v>
      </c>
      <c r="BK2387">
        <v>18</v>
      </c>
      <c r="BL2387">
        <v>122.22</v>
      </c>
      <c r="BM2387">
        <v>18.329999999999998</v>
      </c>
      <c r="BN2387">
        <v>140.55000000000001</v>
      </c>
      <c r="BO2387">
        <v>140.55000000000001</v>
      </c>
      <c r="BQ2387" t="s">
        <v>2279</v>
      </c>
      <c r="BR2387" t="s">
        <v>84</v>
      </c>
      <c r="BS2387" s="3">
        <v>45888</v>
      </c>
      <c r="BT2387" s="4">
        <v>0.34861111111111109</v>
      </c>
      <c r="BU2387" t="s">
        <v>2280</v>
      </c>
      <c r="BV2387" t="s">
        <v>90</v>
      </c>
      <c r="BY2387">
        <v>88320</v>
      </c>
      <c r="CA2387" t="s">
        <v>1069</v>
      </c>
      <c r="CC2387" t="s">
        <v>80</v>
      </c>
      <c r="CD2387">
        <v>1422</v>
      </c>
      <c r="CE2387" t="s">
        <v>147</v>
      </c>
      <c r="CI2387">
        <v>1</v>
      </c>
      <c r="CJ2387">
        <v>2</v>
      </c>
      <c r="CK2387">
        <v>42</v>
      </c>
      <c r="CL2387" t="s">
        <v>90</v>
      </c>
    </row>
    <row r="2388" spans="1:90" x14ac:dyDescent="0.3">
      <c r="A2388" t="s">
        <v>72</v>
      </c>
      <c r="B2388" t="s">
        <v>73</v>
      </c>
      <c r="C2388" t="s">
        <v>74</v>
      </c>
      <c r="E2388" t="str">
        <f>"080067266537"</f>
        <v>080067266537</v>
      </c>
      <c r="F2388" s="3">
        <v>45884</v>
      </c>
      <c r="G2388">
        <v>202605</v>
      </c>
      <c r="H2388" t="s">
        <v>75</v>
      </c>
      <c r="I2388" t="s">
        <v>76</v>
      </c>
      <c r="J2388" t="s">
        <v>77</v>
      </c>
      <c r="K2388" t="s">
        <v>78</v>
      </c>
      <c r="L2388" t="s">
        <v>123</v>
      </c>
      <c r="M2388" t="s">
        <v>124</v>
      </c>
      <c r="N2388" t="s">
        <v>406</v>
      </c>
      <c r="O2388" t="s">
        <v>82</v>
      </c>
      <c r="P2388" t="str">
        <f>"4170054865                    "</f>
        <v xml:space="preserve">4170054865                    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0</v>
      </c>
      <c r="AI2388">
        <v>0</v>
      </c>
      <c r="AJ2388">
        <v>0</v>
      </c>
      <c r="AK2388">
        <v>0</v>
      </c>
      <c r="AL2388">
        <v>0</v>
      </c>
      <c r="AM2388">
        <v>0</v>
      </c>
      <c r="AN2388">
        <v>0</v>
      </c>
      <c r="AO2388">
        <v>0</v>
      </c>
      <c r="AP2388">
        <v>0</v>
      </c>
      <c r="AQ2388">
        <v>34.619999999999997</v>
      </c>
      <c r="AR2388">
        <v>0</v>
      </c>
      <c r="AS2388">
        <v>0</v>
      </c>
      <c r="AT2388">
        <v>0</v>
      </c>
      <c r="AU2388">
        <v>0</v>
      </c>
      <c r="AV2388">
        <v>0</v>
      </c>
      <c r="AW2388">
        <v>0</v>
      </c>
      <c r="AX2388">
        <v>0</v>
      </c>
      <c r="AY2388">
        <v>0</v>
      </c>
      <c r="AZ2388">
        <v>0</v>
      </c>
      <c r="BA2388">
        <v>0</v>
      </c>
      <c r="BB2388">
        <v>0</v>
      </c>
      <c r="BC2388">
        <v>0</v>
      </c>
      <c r="BD2388">
        <v>0</v>
      </c>
      <c r="BE2388">
        <v>0</v>
      </c>
      <c r="BF2388">
        <v>0</v>
      </c>
      <c r="BG2388">
        <v>0</v>
      </c>
      <c r="BH2388">
        <v>1</v>
      </c>
      <c r="BI2388">
        <v>3</v>
      </c>
      <c r="BJ2388">
        <v>1.7</v>
      </c>
      <c r="BK2388">
        <v>3</v>
      </c>
      <c r="BL2388">
        <v>107.5</v>
      </c>
      <c r="BM2388">
        <v>16.13</v>
      </c>
      <c r="BN2388">
        <v>123.63</v>
      </c>
      <c r="BO2388">
        <v>123.63</v>
      </c>
      <c r="BQ2388" t="s">
        <v>407</v>
      </c>
      <c r="BR2388" t="s">
        <v>84</v>
      </c>
      <c r="BS2388" s="3">
        <v>45887</v>
      </c>
      <c r="BT2388" s="4">
        <v>0.42499999999999999</v>
      </c>
      <c r="BU2388" t="s">
        <v>2753</v>
      </c>
      <c r="BV2388" t="s">
        <v>86</v>
      </c>
      <c r="BY2388">
        <v>8512</v>
      </c>
      <c r="CA2388" t="s">
        <v>2361</v>
      </c>
      <c r="CC2388" t="s">
        <v>124</v>
      </c>
      <c r="CD2388">
        <v>7441</v>
      </c>
      <c r="CE2388" t="s">
        <v>147</v>
      </c>
      <c r="CI2388">
        <v>1</v>
      </c>
      <c r="CJ2388">
        <v>1</v>
      </c>
      <c r="CK2388">
        <v>21</v>
      </c>
      <c r="CL2388" t="s">
        <v>90</v>
      </c>
    </row>
    <row r="2389" spans="1:90" x14ac:dyDescent="0.3">
      <c r="A2389" t="s">
        <v>72</v>
      </c>
      <c r="B2389" t="s">
        <v>73</v>
      </c>
      <c r="C2389" t="s">
        <v>74</v>
      </c>
      <c r="E2389" t="str">
        <f>"080067266611"</f>
        <v>080067266611</v>
      </c>
      <c r="F2389" s="3">
        <v>45884</v>
      </c>
      <c r="G2389">
        <v>202605</v>
      </c>
      <c r="H2389" t="s">
        <v>75</v>
      </c>
      <c r="I2389" t="s">
        <v>76</v>
      </c>
      <c r="J2389" t="s">
        <v>77</v>
      </c>
      <c r="K2389" t="s">
        <v>78</v>
      </c>
      <c r="L2389" t="s">
        <v>123</v>
      </c>
      <c r="M2389" t="s">
        <v>124</v>
      </c>
      <c r="N2389" t="s">
        <v>2850</v>
      </c>
      <c r="O2389" t="s">
        <v>82</v>
      </c>
      <c r="P2389" t="str">
        <f>"4170055192                    "</f>
        <v xml:space="preserve">4170055192                    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0</v>
      </c>
      <c r="AI2389">
        <v>0</v>
      </c>
      <c r="AJ2389">
        <v>0</v>
      </c>
      <c r="AK2389">
        <v>0</v>
      </c>
      <c r="AL2389">
        <v>0</v>
      </c>
      <c r="AM2389">
        <v>0</v>
      </c>
      <c r="AN2389">
        <v>0</v>
      </c>
      <c r="AO2389">
        <v>0</v>
      </c>
      <c r="AP2389">
        <v>0</v>
      </c>
      <c r="AQ2389">
        <v>23.09</v>
      </c>
      <c r="AR2389">
        <v>0</v>
      </c>
      <c r="AS2389">
        <v>0</v>
      </c>
      <c r="AT2389">
        <v>0</v>
      </c>
      <c r="AU2389">
        <v>0</v>
      </c>
      <c r="AV2389">
        <v>0</v>
      </c>
      <c r="AW2389">
        <v>0</v>
      </c>
      <c r="AX2389">
        <v>0</v>
      </c>
      <c r="AY2389">
        <v>0</v>
      </c>
      <c r="AZ2389">
        <v>0</v>
      </c>
      <c r="BA2389">
        <v>0</v>
      </c>
      <c r="BB2389">
        <v>0</v>
      </c>
      <c r="BC2389">
        <v>0</v>
      </c>
      <c r="BD2389">
        <v>0</v>
      </c>
      <c r="BE2389">
        <v>0</v>
      </c>
      <c r="BF2389">
        <v>0</v>
      </c>
      <c r="BG2389">
        <v>0</v>
      </c>
      <c r="BH2389">
        <v>1</v>
      </c>
      <c r="BI2389">
        <v>1</v>
      </c>
      <c r="BJ2389">
        <v>0.2</v>
      </c>
      <c r="BK2389">
        <v>1</v>
      </c>
      <c r="BL2389">
        <v>71.69</v>
      </c>
      <c r="BM2389">
        <v>10.75</v>
      </c>
      <c r="BN2389">
        <v>82.44</v>
      </c>
      <c r="BO2389">
        <v>82.44</v>
      </c>
      <c r="BQ2389" t="s">
        <v>2851</v>
      </c>
      <c r="BR2389" t="s">
        <v>84</v>
      </c>
      <c r="BS2389" s="3">
        <v>45887</v>
      </c>
      <c r="BT2389" s="4">
        <v>0.3840277777777778</v>
      </c>
      <c r="BU2389" t="s">
        <v>2683</v>
      </c>
      <c r="BV2389" t="s">
        <v>86</v>
      </c>
      <c r="BY2389">
        <v>1200</v>
      </c>
      <c r="CA2389" t="s">
        <v>1238</v>
      </c>
      <c r="CC2389" t="s">
        <v>124</v>
      </c>
      <c r="CD2389">
        <v>7480</v>
      </c>
      <c r="CE2389" t="s">
        <v>109</v>
      </c>
      <c r="CF2389" s="3">
        <v>45888</v>
      </c>
      <c r="CI2389">
        <v>1</v>
      </c>
      <c r="CJ2389">
        <v>1</v>
      </c>
      <c r="CK2389">
        <v>21</v>
      </c>
      <c r="CL2389" t="s">
        <v>90</v>
      </c>
    </row>
    <row r="2390" spans="1:90" x14ac:dyDescent="0.3">
      <c r="A2390" t="s">
        <v>72</v>
      </c>
      <c r="B2390" t="s">
        <v>73</v>
      </c>
      <c r="C2390" t="s">
        <v>74</v>
      </c>
      <c r="E2390" t="str">
        <f>"080067266644"</f>
        <v>080067266644</v>
      </c>
      <c r="F2390" s="3">
        <v>45884</v>
      </c>
      <c r="G2390">
        <v>202605</v>
      </c>
      <c r="H2390" t="s">
        <v>75</v>
      </c>
      <c r="I2390" t="s">
        <v>76</v>
      </c>
      <c r="J2390" t="s">
        <v>77</v>
      </c>
      <c r="K2390" t="s">
        <v>78</v>
      </c>
      <c r="L2390" t="s">
        <v>217</v>
      </c>
      <c r="M2390" t="s">
        <v>218</v>
      </c>
      <c r="N2390" t="s">
        <v>422</v>
      </c>
      <c r="O2390" t="s">
        <v>82</v>
      </c>
      <c r="P2390" t="str">
        <f>"4170055194                    "</f>
        <v xml:space="preserve">4170055194                    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0</v>
      </c>
      <c r="AI2390">
        <v>0</v>
      </c>
      <c r="AJ2390">
        <v>0</v>
      </c>
      <c r="AK2390">
        <v>0</v>
      </c>
      <c r="AL2390">
        <v>0</v>
      </c>
      <c r="AM2390">
        <v>0</v>
      </c>
      <c r="AN2390">
        <v>0</v>
      </c>
      <c r="AO2390">
        <v>0</v>
      </c>
      <c r="AP2390">
        <v>0</v>
      </c>
      <c r="AQ2390">
        <v>34.619999999999997</v>
      </c>
      <c r="AR2390">
        <v>0</v>
      </c>
      <c r="AS2390">
        <v>0</v>
      </c>
      <c r="AT2390">
        <v>0</v>
      </c>
      <c r="AU2390">
        <v>0</v>
      </c>
      <c r="AV2390">
        <v>0</v>
      </c>
      <c r="AW2390">
        <v>0</v>
      </c>
      <c r="AX2390">
        <v>0</v>
      </c>
      <c r="AY2390">
        <v>0</v>
      </c>
      <c r="AZ2390">
        <v>0</v>
      </c>
      <c r="BA2390">
        <v>0</v>
      </c>
      <c r="BB2390">
        <v>0</v>
      </c>
      <c r="BC2390">
        <v>0</v>
      </c>
      <c r="BD2390">
        <v>0</v>
      </c>
      <c r="BE2390">
        <v>0</v>
      </c>
      <c r="BF2390">
        <v>0</v>
      </c>
      <c r="BG2390">
        <v>0</v>
      </c>
      <c r="BH2390">
        <v>1</v>
      </c>
      <c r="BI2390">
        <v>3</v>
      </c>
      <c r="BJ2390">
        <v>1.7</v>
      </c>
      <c r="BK2390">
        <v>3</v>
      </c>
      <c r="BL2390">
        <v>107.5</v>
      </c>
      <c r="BM2390">
        <v>16.13</v>
      </c>
      <c r="BN2390">
        <v>123.63</v>
      </c>
      <c r="BO2390">
        <v>123.63</v>
      </c>
      <c r="BQ2390" t="s">
        <v>423</v>
      </c>
      <c r="BR2390" t="s">
        <v>84</v>
      </c>
      <c r="BS2390" s="3">
        <v>45887</v>
      </c>
      <c r="BT2390" s="4">
        <v>0.39374999999999999</v>
      </c>
      <c r="BU2390" t="s">
        <v>2231</v>
      </c>
      <c r="BV2390" t="s">
        <v>86</v>
      </c>
      <c r="BY2390">
        <v>8512</v>
      </c>
      <c r="CA2390" t="s">
        <v>425</v>
      </c>
      <c r="CC2390" t="s">
        <v>218</v>
      </c>
      <c r="CD2390">
        <v>4001</v>
      </c>
      <c r="CE2390" t="s">
        <v>147</v>
      </c>
      <c r="CF2390" s="3">
        <v>45887</v>
      </c>
      <c r="CI2390">
        <v>1</v>
      </c>
      <c r="CJ2390">
        <v>1</v>
      </c>
      <c r="CK2390">
        <v>21</v>
      </c>
      <c r="CL2390" t="s">
        <v>90</v>
      </c>
    </row>
    <row r="2391" spans="1:90" x14ac:dyDescent="0.3">
      <c r="A2391" t="s">
        <v>72</v>
      </c>
      <c r="B2391" t="s">
        <v>73</v>
      </c>
      <c r="C2391" t="s">
        <v>74</v>
      </c>
      <c r="E2391" t="str">
        <f>"080067266665"</f>
        <v>080067266665</v>
      </c>
      <c r="F2391" s="3">
        <v>45884</v>
      </c>
      <c r="G2391">
        <v>202605</v>
      </c>
      <c r="H2391" t="s">
        <v>75</v>
      </c>
      <c r="I2391" t="s">
        <v>76</v>
      </c>
      <c r="J2391" t="s">
        <v>77</v>
      </c>
      <c r="K2391" t="s">
        <v>78</v>
      </c>
      <c r="L2391" t="s">
        <v>123</v>
      </c>
      <c r="M2391" t="s">
        <v>124</v>
      </c>
      <c r="N2391" t="s">
        <v>377</v>
      </c>
      <c r="O2391" t="s">
        <v>82</v>
      </c>
      <c r="P2391" t="str">
        <f>"4170055195                    "</f>
        <v xml:space="preserve">4170055195                    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0</v>
      </c>
      <c r="AI2391">
        <v>0</v>
      </c>
      <c r="AJ2391">
        <v>0</v>
      </c>
      <c r="AK2391">
        <v>0</v>
      </c>
      <c r="AL2391">
        <v>0</v>
      </c>
      <c r="AM2391">
        <v>0</v>
      </c>
      <c r="AN2391">
        <v>0</v>
      </c>
      <c r="AO2391">
        <v>0</v>
      </c>
      <c r="AP2391">
        <v>0</v>
      </c>
      <c r="AQ2391">
        <v>34.619999999999997</v>
      </c>
      <c r="AR2391">
        <v>0</v>
      </c>
      <c r="AS2391">
        <v>0</v>
      </c>
      <c r="AT2391">
        <v>0</v>
      </c>
      <c r="AU2391">
        <v>0</v>
      </c>
      <c r="AV2391">
        <v>0</v>
      </c>
      <c r="AW2391">
        <v>0</v>
      </c>
      <c r="AX2391">
        <v>0</v>
      </c>
      <c r="AY2391">
        <v>0</v>
      </c>
      <c r="AZ2391">
        <v>0</v>
      </c>
      <c r="BA2391">
        <v>0</v>
      </c>
      <c r="BB2391">
        <v>0</v>
      </c>
      <c r="BC2391">
        <v>0</v>
      </c>
      <c r="BD2391">
        <v>0</v>
      </c>
      <c r="BE2391">
        <v>0</v>
      </c>
      <c r="BF2391">
        <v>0</v>
      </c>
      <c r="BG2391">
        <v>0</v>
      </c>
      <c r="BH2391">
        <v>1</v>
      </c>
      <c r="BI2391">
        <v>3</v>
      </c>
      <c r="BJ2391">
        <v>1.7</v>
      </c>
      <c r="BK2391">
        <v>3</v>
      </c>
      <c r="BL2391">
        <v>107.5</v>
      </c>
      <c r="BM2391">
        <v>16.13</v>
      </c>
      <c r="BN2391">
        <v>123.63</v>
      </c>
      <c r="BO2391">
        <v>123.63</v>
      </c>
      <c r="BQ2391" t="s">
        <v>378</v>
      </c>
      <c r="BR2391" t="s">
        <v>84</v>
      </c>
      <c r="BS2391" s="3">
        <v>45887</v>
      </c>
      <c r="BT2391" s="4">
        <v>0.43125000000000002</v>
      </c>
      <c r="BU2391" t="s">
        <v>2852</v>
      </c>
      <c r="BV2391" t="s">
        <v>86</v>
      </c>
      <c r="BY2391">
        <v>8512</v>
      </c>
      <c r="CA2391" t="s">
        <v>2853</v>
      </c>
      <c r="CC2391" t="s">
        <v>124</v>
      </c>
      <c r="CD2391">
        <v>7535</v>
      </c>
      <c r="CE2391" t="s">
        <v>147</v>
      </c>
      <c r="CF2391" s="3">
        <v>45888</v>
      </c>
      <c r="CI2391">
        <v>1</v>
      </c>
      <c r="CJ2391">
        <v>1</v>
      </c>
      <c r="CK2391">
        <v>21</v>
      </c>
      <c r="CL2391" t="s">
        <v>90</v>
      </c>
    </row>
    <row r="2392" spans="1:90" x14ac:dyDescent="0.3">
      <c r="A2392" t="s">
        <v>72</v>
      </c>
      <c r="B2392" t="s">
        <v>73</v>
      </c>
      <c r="C2392" t="s">
        <v>74</v>
      </c>
      <c r="E2392" t="str">
        <f>"080067266724"</f>
        <v>080067266724</v>
      </c>
      <c r="F2392" s="3">
        <v>45884</v>
      </c>
      <c r="G2392">
        <v>202605</v>
      </c>
      <c r="H2392" t="s">
        <v>75</v>
      </c>
      <c r="I2392" t="s">
        <v>76</v>
      </c>
      <c r="J2392" t="s">
        <v>77</v>
      </c>
      <c r="K2392" t="s">
        <v>78</v>
      </c>
      <c r="L2392" t="s">
        <v>198</v>
      </c>
      <c r="M2392" t="s">
        <v>199</v>
      </c>
      <c r="N2392" t="s">
        <v>598</v>
      </c>
      <c r="O2392" t="s">
        <v>82</v>
      </c>
      <c r="P2392" t="str">
        <f>"4170055131                    "</f>
        <v xml:space="preserve">4170055131                    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0</v>
      </c>
      <c r="AI2392">
        <v>0</v>
      </c>
      <c r="AJ2392">
        <v>0</v>
      </c>
      <c r="AK2392">
        <v>0</v>
      </c>
      <c r="AL2392">
        <v>0</v>
      </c>
      <c r="AM2392">
        <v>0</v>
      </c>
      <c r="AN2392">
        <v>0</v>
      </c>
      <c r="AO2392">
        <v>0</v>
      </c>
      <c r="AP2392">
        <v>0</v>
      </c>
      <c r="AQ2392">
        <v>23.09</v>
      </c>
      <c r="AR2392">
        <v>0</v>
      </c>
      <c r="AS2392">
        <v>0</v>
      </c>
      <c r="AT2392">
        <v>0</v>
      </c>
      <c r="AU2392">
        <v>0</v>
      </c>
      <c r="AV2392">
        <v>0</v>
      </c>
      <c r="AW2392">
        <v>0</v>
      </c>
      <c r="AX2392">
        <v>0</v>
      </c>
      <c r="AY2392">
        <v>0</v>
      </c>
      <c r="AZ2392">
        <v>0</v>
      </c>
      <c r="BA2392">
        <v>0</v>
      </c>
      <c r="BB2392">
        <v>0</v>
      </c>
      <c r="BC2392">
        <v>0</v>
      </c>
      <c r="BD2392">
        <v>0</v>
      </c>
      <c r="BE2392">
        <v>0</v>
      </c>
      <c r="BF2392">
        <v>0</v>
      </c>
      <c r="BG2392">
        <v>0</v>
      </c>
      <c r="BH2392">
        <v>1</v>
      </c>
      <c r="BI2392">
        <v>1</v>
      </c>
      <c r="BJ2392">
        <v>1.9</v>
      </c>
      <c r="BK2392">
        <v>2</v>
      </c>
      <c r="BL2392">
        <v>71.69</v>
      </c>
      <c r="BM2392">
        <v>10.75</v>
      </c>
      <c r="BN2392">
        <v>82.44</v>
      </c>
      <c r="BO2392">
        <v>82.44</v>
      </c>
      <c r="BQ2392" t="s">
        <v>599</v>
      </c>
      <c r="BR2392" t="s">
        <v>84</v>
      </c>
      <c r="BS2392" s="3">
        <v>45887</v>
      </c>
      <c r="BT2392" s="4">
        <v>0.39513888888888887</v>
      </c>
      <c r="BU2392" t="s">
        <v>1331</v>
      </c>
      <c r="BV2392" t="s">
        <v>86</v>
      </c>
      <c r="BY2392">
        <v>9600</v>
      </c>
      <c r="CA2392" t="s">
        <v>601</v>
      </c>
      <c r="CC2392" t="s">
        <v>199</v>
      </c>
      <c r="CD2392">
        <v>6001</v>
      </c>
      <c r="CE2392" t="s">
        <v>147</v>
      </c>
      <c r="CF2392" s="3">
        <v>45887</v>
      </c>
      <c r="CI2392">
        <v>1</v>
      </c>
      <c r="CJ2392">
        <v>1</v>
      </c>
      <c r="CK2392">
        <v>21</v>
      </c>
      <c r="CL2392" t="s">
        <v>90</v>
      </c>
    </row>
    <row r="2393" spans="1:90" x14ac:dyDescent="0.3">
      <c r="A2393" t="s">
        <v>72</v>
      </c>
      <c r="B2393" t="s">
        <v>73</v>
      </c>
      <c r="C2393" t="s">
        <v>74</v>
      </c>
      <c r="E2393" t="str">
        <f>"080067266985"</f>
        <v>080067266985</v>
      </c>
      <c r="F2393" s="3">
        <v>45884</v>
      </c>
      <c r="G2393">
        <v>202605</v>
      </c>
      <c r="H2393" t="s">
        <v>75</v>
      </c>
      <c r="I2393" t="s">
        <v>76</v>
      </c>
      <c r="J2393" t="s">
        <v>77</v>
      </c>
      <c r="K2393" t="s">
        <v>78</v>
      </c>
      <c r="L2393" t="s">
        <v>198</v>
      </c>
      <c r="M2393" t="s">
        <v>199</v>
      </c>
      <c r="N2393" t="s">
        <v>955</v>
      </c>
      <c r="O2393" t="s">
        <v>82</v>
      </c>
      <c r="P2393" t="str">
        <f>"4170055150                    "</f>
        <v xml:space="preserve">4170055150                    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0</v>
      </c>
      <c r="AI2393">
        <v>0</v>
      </c>
      <c r="AJ2393">
        <v>0</v>
      </c>
      <c r="AK2393">
        <v>0</v>
      </c>
      <c r="AL2393">
        <v>0</v>
      </c>
      <c r="AM2393">
        <v>0</v>
      </c>
      <c r="AN2393">
        <v>0</v>
      </c>
      <c r="AO2393">
        <v>0</v>
      </c>
      <c r="AP2393">
        <v>0</v>
      </c>
      <c r="AQ2393">
        <v>23.09</v>
      </c>
      <c r="AR2393">
        <v>0</v>
      </c>
      <c r="AS2393">
        <v>0</v>
      </c>
      <c r="AT2393">
        <v>0</v>
      </c>
      <c r="AU2393">
        <v>0</v>
      </c>
      <c r="AV2393">
        <v>0</v>
      </c>
      <c r="AW2393">
        <v>0</v>
      </c>
      <c r="AX2393">
        <v>0</v>
      </c>
      <c r="AY2393">
        <v>0</v>
      </c>
      <c r="AZ2393">
        <v>0</v>
      </c>
      <c r="BA2393">
        <v>0</v>
      </c>
      <c r="BB2393">
        <v>0</v>
      </c>
      <c r="BC2393">
        <v>0</v>
      </c>
      <c r="BD2393">
        <v>0</v>
      </c>
      <c r="BE2393">
        <v>0</v>
      </c>
      <c r="BF2393">
        <v>0</v>
      </c>
      <c r="BG2393">
        <v>0</v>
      </c>
      <c r="BH2393">
        <v>1</v>
      </c>
      <c r="BI2393">
        <v>1</v>
      </c>
      <c r="BJ2393">
        <v>0.2</v>
      </c>
      <c r="BK2393">
        <v>1</v>
      </c>
      <c r="BL2393">
        <v>71.69</v>
      </c>
      <c r="BM2393">
        <v>10.75</v>
      </c>
      <c r="BN2393">
        <v>82.44</v>
      </c>
      <c r="BO2393">
        <v>82.44</v>
      </c>
      <c r="BQ2393" t="s">
        <v>956</v>
      </c>
      <c r="BR2393" t="s">
        <v>84</v>
      </c>
      <c r="BS2393" s="3">
        <v>45887</v>
      </c>
      <c r="BT2393" s="4">
        <v>0.41041666666666665</v>
      </c>
      <c r="BU2393" t="s">
        <v>2809</v>
      </c>
      <c r="BV2393" t="s">
        <v>86</v>
      </c>
      <c r="BY2393">
        <v>1200</v>
      </c>
      <c r="CA2393" t="s">
        <v>2773</v>
      </c>
      <c r="CC2393" t="s">
        <v>199</v>
      </c>
      <c r="CD2393">
        <v>6012</v>
      </c>
      <c r="CE2393" t="s">
        <v>109</v>
      </c>
      <c r="CF2393" s="3">
        <v>45887</v>
      </c>
      <c r="CI2393">
        <v>1</v>
      </c>
      <c r="CJ2393">
        <v>1</v>
      </c>
      <c r="CK2393">
        <v>21</v>
      </c>
      <c r="CL2393" t="s">
        <v>90</v>
      </c>
    </row>
    <row r="2394" spans="1:90" x14ac:dyDescent="0.3">
      <c r="A2394" t="s">
        <v>72</v>
      </c>
      <c r="B2394" t="s">
        <v>73</v>
      </c>
      <c r="C2394" t="s">
        <v>74</v>
      </c>
      <c r="E2394" t="str">
        <f>"080067266987"</f>
        <v>080067266987</v>
      </c>
      <c r="F2394" s="3">
        <v>45884</v>
      </c>
      <c r="G2394">
        <v>202605</v>
      </c>
      <c r="H2394" t="s">
        <v>75</v>
      </c>
      <c r="I2394" t="s">
        <v>76</v>
      </c>
      <c r="J2394" t="s">
        <v>77</v>
      </c>
      <c r="K2394" t="s">
        <v>78</v>
      </c>
      <c r="L2394" t="s">
        <v>241</v>
      </c>
      <c r="M2394" t="s">
        <v>242</v>
      </c>
      <c r="N2394" t="s">
        <v>1251</v>
      </c>
      <c r="O2394" t="s">
        <v>95</v>
      </c>
      <c r="P2394" t="str">
        <f>"4170055115                    "</f>
        <v xml:space="preserve">4170055115                    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0</v>
      </c>
      <c r="AI2394">
        <v>0</v>
      </c>
      <c r="AJ2394">
        <v>0</v>
      </c>
      <c r="AK2394">
        <v>0</v>
      </c>
      <c r="AL2394">
        <v>0</v>
      </c>
      <c r="AM2394">
        <v>0</v>
      </c>
      <c r="AN2394">
        <v>0</v>
      </c>
      <c r="AO2394">
        <v>0</v>
      </c>
      <c r="AP2394">
        <v>0</v>
      </c>
      <c r="AQ2394">
        <v>34.450000000000003</v>
      </c>
      <c r="AR2394">
        <v>0</v>
      </c>
      <c r="AS2394">
        <v>0</v>
      </c>
      <c r="AT2394">
        <v>0</v>
      </c>
      <c r="AU2394">
        <v>0</v>
      </c>
      <c r="AV2394">
        <v>0</v>
      </c>
      <c r="AW2394">
        <v>0</v>
      </c>
      <c r="AX2394">
        <v>0</v>
      </c>
      <c r="AY2394">
        <v>0</v>
      </c>
      <c r="AZ2394">
        <v>0</v>
      </c>
      <c r="BA2394">
        <v>0</v>
      </c>
      <c r="BB2394">
        <v>0</v>
      </c>
      <c r="BC2394">
        <v>0</v>
      </c>
      <c r="BD2394">
        <v>0</v>
      </c>
      <c r="BE2394">
        <v>0</v>
      </c>
      <c r="BF2394">
        <v>0</v>
      </c>
      <c r="BG2394">
        <v>0</v>
      </c>
      <c r="BH2394">
        <v>1</v>
      </c>
      <c r="BI2394">
        <v>6</v>
      </c>
      <c r="BJ2394">
        <v>0.6</v>
      </c>
      <c r="BK2394">
        <v>6</v>
      </c>
      <c r="BL2394">
        <v>112.84</v>
      </c>
      <c r="BM2394">
        <v>16.93</v>
      </c>
      <c r="BN2394">
        <v>129.77000000000001</v>
      </c>
      <c r="BO2394">
        <v>129.77000000000001</v>
      </c>
      <c r="BQ2394" t="s">
        <v>1252</v>
      </c>
      <c r="BR2394" t="s">
        <v>84</v>
      </c>
      <c r="BS2394" s="3">
        <v>45887</v>
      </c>
      <c r="BT2394" s="4">
        <v>0.33194444444444443</v>
      </c>
      <c r="BU2394" t="s">
        <v>1253</v>
      </c>
      <c r="BV2394" t="s">
        <v>86</v>
      </c>
      <c r="BY2394">
        <v>2944</v>
      </c>
      <c r="CA2394" t="s">
        <v>720</v>
      </c>
      <c r="CC2394" t="s">
        <v>242</v>
      </c>
      <c r="CD2394">
        <v>1460</v>
      </c>
      <c r="CE2394" t="s">
        <v>147</v>
      </c>
      <c r="CF2394" s="3">
        <v>45888</v>
      </c>
      <c r="CI2394">
        <v>1</v>
      </c>
      <c r="CJ2394">
        <v>1</v>
      </c>
      <c r="CK2394">
        <v>42</v>
      </c>
      <c r="CL2394" t="s">
        <v>90</v>
      </c>
    </row>
    <row r="2395" spans="1:90" x14ac:dyDescent="0.3">
      <c r="A2395" t="s">
        <v>72</v>
      </c>
      <c r="B2395" t="s">
        <v>73</v>
      </c>
      <c r="C2395" t="s">
        <v>74</v>
      </c>
      <c r="E2395" t="str">
        <f>"080067267007"</f>
        <v>080067267007</v>
      </c>
      <c r="F2395" s="3">
        <v>45884</v>
      </c>
      <c r="G2395">
        <v>202605</v>
      </c>
      <c r="H2395" t="s">
        <v>75</v>
      </c>
      <c r="I2395" t="s">
        <v>76</v>
      </c>
      <c r="J2395" t="s">
        <v>77</v>
      </c>
      <c r="K2395" t="s">
        <v>78</v>
      </c>
      <c r="L2395" t="s">
        <v>2135</v>
      </c>
      <c r="M2395" t="s">
        <v>2136</v>
      </c>
      <c r="N2395" t="s">
        <v>2383</v>
      </c>
      <c r="O2395" t="s">
        <v>82</v>
      </c>
      <c r="P2395" t="str">
        <f>"4170055193                    "</f>
        <v xml:space="preserve">4170055193                    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0</v>
      </c>
      <c r="AI2395">
        <v>0</v>
      </c>
      <c r="AJ2395">
        <v>0</v>
      </c>
      <c r="AK2395">
        <v>0</v>
      </c>
      <c r="AL2395">
        <v>0</v>
      </c>
      <c r="AM2395">
        <v>0</v>
      </c>
      <c r="AN2395">
        <v>0</v>
      </c>
      <c r="AO2395">
        <v>0</v>
      </c>
      <c r="AP2395">
        <v>0</v>
      </c>
      <c r="AQ2395">
        <v>44.73</v>
      </c>
      <c r="AR2395">
        <v>0</v>
      </c>
      <c r="AS2395">
        <v>0</v>
      </c>
      <c r="AT2395">
        <v>0</v>
      </c>
      <c r="AU2395">
        <v>0</v>
      </c>
      <c r="AV2395">
        <v>0</v>
      </c>
      <c r="AW2395">
        <v>0</v>
      </c>
      <c r="AX2395">
        <v>0</v>
      </c>
      <c r="AY2395">
        <v>0</v>
      </c>
      <c r="AZ2395">
        <v>0</v>
      </c>
      <c r="BA2395">
        <v>0</v>
      </c>
      <c r="BB2395">
        <v>0</v>
      </c>
      <c r="BC2395">
        <v>0</v>
      </c>
      <c r="BD2395">
        <v>0</v>
      </c>
      <c r="BE2395">
        <v>0</v>
      </c>
      <c r="BF2395">
        <v>0</v>
      </c>
      <c r="BG2395">
        <v>0</v>
      </c>
      <c r="BH2395">
        <v>1</v>
      </c>
      <c r="BI2395">
        <v>1</v>
      </c>
      <c r="BJ2395">
        <v>0.2</v>
      </c>
      <c r="BK2395">
        <v>1</v>
      </c>
      <c r="BL2395">
        <v>138.88999999999999</v>
      </c>
      <c r="BM2395">
        <v>20.83</v>
      </c>
      <c r="BN2395">
        <v>159.72</v>
      </c>
      <c r="BO2395">
        <v>159.72</v>
      </c>
      <c r="BQ2395" t="s">
        <v>2384</v>
      </c>
      <c r="BR2395" t="s">
        <v>84</v>
      </c>
      <c r="BS2395" s="3">
        <v>45887</v>
      </c>
      <c r="BT2395" s="4">
        <v>0.41805555555555557</v>
      </c>
      <c r="BU2395" t="s">
        <v>2854</v>
      </c>
      <c r="BV2395" t="s">
        <v>86</v>
      </c>
      <c r="BY2395">
        <v>1200</v>
      </c>
      <c r="CA2395" t="s">
        <v>1456</v>
      </c>
      <c r="CC2395" t="s">
        <v>2136</v>
      </c>
      <c r="CD2395">
        <v>4340</v>
      </c>
      <c r="CE2395" t="s">
        <v>109</v>
      </c>
      <c r="CF2395" s="3">
        <v>45887</v>
      </c>
      <c r="CI2395">
        <v>1</v>
      </c>
      <c r="CJ2395">
        <v>1</v>
      </c>
      <c r="CK2395">
        <v>23</v>
      </c>
      <c r="CL2395" t="s">
        <v>90</v>
      </c>
    </row>
    <row r="2396" spans="1:90" x14ac:dyDescent="0.3">
      <c r="A2396" t="s">
        <v>72</v>
      </c>
      <c r="B2396" t="s">
        <v>73</v>
      </c>
      <c r="C2396" t="s">
        <v>74</v>
      </c>
      <c r="E2396" t="str">
        <f>"080067267022"</f>
        <v>080067267022</v>
      </c>
      <c r="F2396" s="3">
        <v>45884</v>
      </c>
      <c r="G2396">
        <v>202605</v>
      </c>
      <c r="H2396" t="s">
        <v>75</v>
      </c>
      <c r="I2396" t="s">
        <v>76</v>
      </c>
      <c r="J2396" t="s">
        <v>77</v>
      </c>
      <c r="K2396" t="s">
        <v>78</v>
      </c>
      <c r="L2396" t="s">
        <v>217</v>
      </c>
      <c r="M2396" t="s">
        <v>218</v>
      </c>
      <c r="N2396" t="s">
        <v>219</v>
      </c>
      <c r="O2396" t="s">
        <v>82</v>
      </c>
      <c r="P2396" t="str">
        <f>"4170055162                    "</f>
        <v xml:space="preserve">4170055162                    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0</v>
      </c>
      <c r="AI2396">
        <v>0</v>
      </c>
      <c r="AJ2396">
        <v>0</v>
      </c>
      <c r="AK2396">
        <v>0</v>
      </c>
      <c r="AL2396">
        <v>0</v>
      </c>
      <c r="AM2396">
        <v>0</v>
      </c>
      <c r="AN2396">
        <v>0</v>
      </c>
      <c r="AO2396">
        <v>0</v>
      </c>
      <c r="AP2396">
        <v>0</v>
      </c>
      <c r="AQ2396">
        <v>34.619999999999997</v>
      </c>
      <c r="AR2396">
        <v>0</v>
      </c>
      <c r="AS2396">
        <v>0</v>
      </c>
      <c r="AT2396">
        <v>0</v>
      </c>
      <c r="AU2396">
        <v>0</v>
      </c>
      <c r="AV2396">
        <v>0</v>
      </c>
      <c r="AW2396">
        <v>0</v>
      </c>
      <c r="AX2396">
        <v>0</v>
      </c>
      <c r="AY2396">
        <v>0</v>
      </c>
      <c r="AZ2396">
        <v>0</v>
      </c>
      <c r="BA2396">
        <v>0</v>
      </c>
      <c r="BB2396">
        <v>0</v>
      </c>
      <c r="BC2396">
        <v>0</v>
      </c>
      <c r="BD2396">
        <v>0</v>
      </c>
      <c r="BE2396">
        <v>0</v>
      </c>
      <c r="BF2396">
        <v>0</v>
      </c>
      <c r="BG2396">
        <v>0</v>
      </c>
      <c r="BH2396">
        <v>1</v>
      </c>
      <c r="BI2396">
        <v>3</v>
      </c>
      <c r="BJ2396">
        <v>0.9</v>
      </c>
      <c r="BK2396">
        <v>3</v>
      </c>
      <c r="BL2396">
        <v>107.5</v>
      </c>
      <c r="BM2396">
        <v>16.13</v>
      </c>
      <c r="BN2396">
        <v>123.63</v>
      </c>
      <c r="BO2396">
        <v>123.63</v>
      </c>
      <c r="BQ2396" t="s">
        <v>220</v>
      </c>
      <c r="BR2396" t="s">
        <v>84</v>
      </c>
      <c r="BS2396" s="3">
        <v>45887</v>
      </c>
      <c r="BT2396" s="4">
        <v>0.32083333333333336</v>
      </c>
      <c r="BU2396" t="s">
        <v>2366</v>
      </c>
      <c r="BV2396" t="s">
        <v>86</v>
      </c>
      <c r="BY2396">
        <v>4650</v>
      </c>
      <c r="CA2396" t="s">
        <v>566</v>
      </c>
      <c r="CC2396" t="s">
        <v>218</v>
      </c>
      <c r="CD2396">
        <v>4000</v>
      </c>
      <c r="CE2396" t="s">
        <v>117</v>
      </c>
      <c r="CF2396" s="3">
        <v>45887</v>
      </c>
      <c r="CI2396">
        <v>1</v>
      </c>
      <c r="CJ2396">
        <v>1</v>
      </c>
      <c r="CK2396">
        <v>21</v>
      </c>
      <c r="CL2396" t="s">
        <v>90</v>
      </c>
    </row>
    <row r="2397" spans="1:90" x14ac:dyDescent="0.3">
      <c r="A2397" t="s">
        <v>72</v>
      </c>
      <c r="B2397" t="s">
        <v>73</v>
      </c>
      <c r="C2397" t="s">
        <v>74</v>
      </c>
      <c r="E2397" t="str">
        <f>"080067267037"</f>
        <v>080067267037</v>
      </c>
      <c r="F2397" s="3">
        <v>45884</v>
      </c>
      <c r="G2397">
        <v>202605</v>
      </c>
      <c r="H2397" t="s">
        <v>75</v>
      </c>
      <c r="I2397" t="s">
        <v>76</v>
      </c>
      <c r="J2397" t="s">
        <v>77</v>
      </c>
      <c r="K2397" t="s">
        <v>78</v>
      </c>
      <c r="L2397" t="s">
        <v>234</v>
      </c>
      <c r="M2397" t="s">
        <v>235</v>
      </c>
      <c r="N2397" t="s">
        <v>821</v>
      </c>
      <c r="O2397" t="s">
        <v>82</v>
      </c>
      <c r="P2397" t="str">
        <f>"4170055170                    "</f>
        <v xml:space="preserve">4170055170                    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0</v>
      </c>
      <c r="AI2397">
        <v>0</v>
      </c>
      <c r="AJ2397">
        <v>0</v>
      </c>
      <c r="AK2397">
        <v>0</v>
      </c>
      <c r="AL2397">
        <v>0</v>
      </c>
      <c r="AM2397">
        <v>0</v>
      </c>
      <c r="AN2397">
        <v>0</v>
      </c>
      <c r="AO2397">
        <v>0</v>
      </c>
      <c r="AP2397">
        <v>0</v>
      </c>
      <c r="AQ2397">
        <v>23.09</v>
      </c>
      <c r="AR2397">
        <v>0</v>
      </c>
      <c r="AS2397">
        <v>0</v>
      </c>
      <c r="AT2397">
        <v>0</v>
      </c>
      <c r="AU2397">
        <v>0</v>
      </c>
      <c r="AV2397">
        <v>0</v>
      </c>
      <c r="AW2397">
        <v>0</v>
      </c>
      <c r="AX2397">
        <v>0</v>
      </c>
      <c r="AY2397">
        <v>0</v>
      </c>
      <c r="AZ2397">
        <v>0</v>
      </c>
      <c r="BA2397">
        <v>0</v>
      </c>
      <c r="BB2397">
        <v>0</v>
      </c>
      <c r="BC2397">
        <v>0</v>
      </c>
      <c r="BD2397">
        <v>0</v>
      </c>
      <c r="BE2397">
        <v>0</v>
      </c>
      <c r="BF2397">
        <v>0</v>
      </c>
      <c r="BG2397">
        <v>0</v>
      </c>
      <c r="BH2397">
        <v>1</v>
      </c>
      <c r="BI2397">
        <v>1</v>
      </c>
      <c r="BJ2397">
        <v>0.2</v>
      </c>
      <c r="BK2397">
        <v>1</v>
      </c>
      <c r="BL2397">
        <v>71.69</v>
      </c>
      <c r="BM2397">
        <v>10.75</v>
      </c>
      <c r="BN2397">
        <v>82.44</v>
      </c>
      <c r="BO2397">
        <v>82.44</v>
      </c>
      <c r="BQ2397" t="s">
        <v>822</v>
      </c>
      <c r="BR2397" t="s">
        <v>84</v>
      </c>
      <c r="BS2397" s="3">
        <v>45887</v>
      </c>
      <c r="BT2397" s="4">
        <v>0.33750000000000002</v>
      </c>
      <c r="BU2397" t="s">
        <v>1572</v>
      </c>
      <c r="BV2397" t="s">
        <v>86</v>
      </c>
      <c r="BY2397">
        <v>1200</v>
      </c>
      <c r="CA2397" t="s">
        <v>824</v>
      </c>
      <c r="CC2397" t="s">
        <v>235</v>
      </c>
      <c r="CD2397" s="5" t="s">
        <v>240</v>
      </c>
      <c r="CE2397" t="s">
        <v>109</v>
      </c>
      <c r="CF2397" s="3">
        <v>45887</v>
      </c>
      <c r="CI2397">
        <v>1</v>
      </c>
      <c r="CJ2397">
        <v>1</v>
      </c>
      <c r="CK2397">
        <v>21</v>
      </c>
      <c r="CL2397" t="s">
        <v>90</v>
      </c>
    </row>
    <row r="2398" spans="1:90" x14ac:dyDescent="0.3">
      <c r="A2398" t="s">
        <v>72</v>
      </c>
      <c r="B2398" t="s">
        <v>73</v>
      </c>
      <c r="C2398" t="s">
        <v>74</v>
      </c>
      <c r="E2398" t="str">
        <f>"080067267048"</f>
        <v>080067267048</v>
      </c>
      <c r="F2398" s="3">
        <v>45884</v>
      </c>
      <c r="G2398">
        <v>202605</v>
      </c>
      <c r="H2398" t="s">
        <v>75</v>
      </c>
      <c r="I2398" t="s">
        <v>76</v>
      </c>
      <c r="J2398" t="s">
        <v>77</v>
      </c>
      <c r="K2398" t="s">
        <v>78</v>
      </c>
      <c r="L2398" t="s">
        <v>325</v>
      </c>
      <c r="M2398" t="s">
        <v>326</v>
      </c>
      <c r="N2398" t="s">
        <v>1459</v>
      </c>
      <c r="O2398" t="s">
        <v>82</v>
      </c>
      <c r="P2398" t="str">
        <f>"4170055104                    "</f>
        <v xml:space="preserve">4170055104                    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0</v>
      </c>
      <c r="AI2398">
        <v>0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>
        <v>0</v>
      </c>
      <c r="AQ2398">
        <v>18.03</v>
      </c>
      <c r="AR2398">
        <v>0</v>
      </c>
      <c r="AS2398">
        <v>0</v>
      </c>
      <c r="AT2398">
        <v>0</v>
      </c>
      <c r="AU2398">
        <v>0</v>
      </c>
      <c r="AV2398">
        <v>0</v>
      </c>
      <c r="AW2398">
        <v>0</v>
      </c>
      <c r="AX2398">
        <v>0</v>
      </c>
      <c r="AY2398">
        <v>0</v>
      </c>
      <c r="AZ2398">
        <v>0</v>
      </c>
      <c r="BA2398">
        <v>0</v>
      </c>
      <c r="BB2398">
        <v>0</v>
      </c>
      <c r="BC2398">
        <v>0</v>
      </c>
      <c r="BD2398">
        <v>0</v>
      </c>
      <c r="BE2398">
        <v>0</v>
      </c>
      <c r="BF2398">
        <v>0</v>
      </c>
      <c r="BG2398">
        <v>0</v>
      </c>
      <c r="BH2398">
        <v>1</v>
      </c>
      <c r="BI2398">
        <v>1</v>
      </c>
      <c r="BJ2398">
        <v>2</v>
      </c>
      <c r="BK2398">
        <v>2</v>
      </c>
      <c r="BL2398">
        <v>55.99</v>
      </c>
      <c r="BM2398">
        <v>8.4</v>
      </c>
      <c r="BN2398">
        <v>64.39</v>
      </c>
      <c r="BO2398">
        <v>64.39</v>
      </c>
      <c r="BQ2398" t="s">
        <v>1460</v>
      </c>
      <c r="BR2398" t="s">
        <v>84</v>
      </c>
      <c r="BS2398" s="3">
        <v>45887</v>
      </c>
      <c r="BT2398" s="4">
        <v>0.41319444444444442</v>
      </c>
      <c r="BU2398" t="s">
        <v>2000</v>
      </c>
      <c r="BV2398" t="s">
        <v>86</v>
      </c>
      <c r="BY2398">
        <v>9900</v>
      </c>
      <c r="CA2398" t="s">
        <v>331</v>
      </c>
      <c r="CC2398" t="s">
        <v>326</v>
      </c>
      <c r="CD2398">
        <v>2013</v>
      </c>
      <c r="CE2398" t="s">
        <v>147</v>
      </c>
      <c r="CF2398" s="3">
        <v>45887</v>
      </c>
      <c r="CI2398">
        <v>1</v>
      </c>
      <c r="CJ2398">
        <v>1</v>
      </c>
      <c r="CK2398">
        <v>22</v>
      </c>
      <c r="CL2398" t="s">
        <v>90</v>
      </c>
    </row>
    <row r="2399" spans="1:90" x14ac:dyDescent="0.3">
      <c r="A2399" t="s">
        <v>72</v>
      </c>
      <c r="B2399" t="s">
        <v>73</v>
      </c>
      <c r="C2399" t="s">
        <v>74</v>
      </c>
      <c r="E2399" t="str">
        <f>"080067267078"</f>
        <v>080067267078</v>
      </c>
      <c r="F2399" s="3">
        <v>45884</v>
      </c>
      <c r="G2399">
        <v>202605</v>
      </c>
      <c r="H2399" t="s">
        <v>75</v>
      </c>
      <c r="I2399" t="s">
        <v>76</v>
      </c>
      <c r="J2399" t="s">
        <v>77</v>
      </c>
      <c r="K2399" t="s">
        <v>78</v>
      </c>
      <c r="L2399" t="s">
        <v>118</v>
      </c>
      <c r="M2399" t="s">
        <v>118</v>
      </c>
      <c r="N2399" t="s">
        <v>466</v>
      </c>
      <c r="O2399" t="s">
        <v>82</v>
      </c>
      <c r="P2399" t="str">
        <f>"4170055118                    "</f>
        <v xml:space="preserve">4170055118                    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0</v>
      </c>
      <c r="AI2399">
        <v>0</v>
      </c>
      <c r="AJ2399"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>
        <v>0</v>
      </c>
      <c r="AQ2399">
        <v>145.71</v>
      </c>
      <c r="AR2399">
        <v>0</v>
      </c>
      <c r="AS2399">
        <v>0</v>
      </c>
      <c r="AT2399">
        <v>0</v>
      </c>
      <c r="AU2399">
        <v>0</v>
      </c>
      <c r="AV2399">
        <v>0</v>
      </c>
      <c r="AW2399">
        <v>0</v>
      </c>
      <c r="AX2399">
        <v>0</v>
      </c>
      <c r="AY2399">
        <v>0</v>
      </c>
      <c r="AZ2399">
        <v>0</v>
      </c>
      <c r="BA2399">
        <v>0</v>
      </c>
      <c r="BB2399">
        <v>0</v>
      </c>
      <c r="BC2399">
        <v>0</v>
      </c>
      <c r="BD2399">
        <v>0</v>
      </c>
      <c r="BE2399">
        <v>0</v>
      </c>
      <c r="BF2399">
        <v>0</v>
      </c>
      <c r="BG2399">
        <v>0</v>
      </c>
      <c r="BH2399">
        <v>1</v>
      </c>
      <c r="BI2399">
        <v>4</v>
      </c>
      <c r="BJ2399">
        <v>6.7</v>
      </c>
      <c r="BK2399">
        <v>7</v>
      </c>
      <c r="BL2399">
        <v>452.47</v>
      </c>
      <c r="BM2399">
        <v>67.87</v>
      </c>
      <c r="BN2399">
        <v>520.34</v>
      </c>
      <c r="BO2399">
        <v>520.34</v>
      </c>
      <c r="BQ2399" t="s">
        <v>467</v>
      </c>
      <c r="BR2399" t="s">
        <v>84</v>
      </c>
      <c r="BS2399" t="s">
        <v>96</v>
      </c>
      <c r="BY2399">
        <v>33614</v>
      </c>
      <c r="CC2399" t="s">
        <v>118</v>
      </c>
      <c r="CD2399">
        <v>7646</v>
      </c>
      <c r="CE2399" t="s">
        <v>117</v>
      </c>
      <c r="CI2399">
        <v>1</v>
      </c>
      <c r="CJ2399" t="s">
        <v>96</v>
      </c>
      <c r="CK2399">
        <v>23</v>
      </c>
      <c r="CL2399" t="s">
        <v>90</v>
      </c>
    </row>
    <row r="2400" spans="1:90" x14ac:dyDescent="0.3">
      <c r="A2400" t="s">
        <v>72</v>
      </c>
      <c r="B2400" t="s">
        <v>73</v>
      </c>
      <c r="C2400" t="s">
        <v>74</v>
      </c>
      <c r="E2400" t="str">
        <f>"080067267101"</f>
        <v>080067267101</v>
      </c>
      <c r="F2400" s="3">
        <v>45884</v>
      </c>
      <c r="G2400">
        <v>202605</v>
      </c>
      <c r="H2400" t="s">
        <v>75</v>
      </c>
      <c r="I2400" t="s">
        <v>76</v>
      </c>
      <c r="J2400" t="s">
        <v>77</v>
      </c>
      <c r="K2400" t="s">
        <v>78</v>
      </c>
      <c r="L2400" t="s">
        <v>129</v>
      </c>
      <c r="M2400" t="s">
        <v>130</v>
      </c>
      <c r="N2400" t="s">
        <v>131</v>
      </c>
      <c r="O2400" t="s">
        <v>82</v>
      </c>
      <c r="P2400" t="str">
        <f>"4170055183                    "</f>
        <v xml:space="preserve">4170055183                    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0</v>
      </c>
      <c r="AI2400">
        <v>0</v>
      </c>
      <c r="AJ2400">
        <v>0</v>
      </c>
      <c r="AK2400">
        <v>0</v>
      </c>
      <c r="AL2400">
        <v>0</v>
      </c>
      <c r="AM2400">
        <v>0</v>
      </c>
      <c r="AN2400">
        <v>0</v>
      </c>
      <c r="AO2400">
        <v>0</v>
      </c>
      <c r="AP2400">
        <v>0</v>
      </c>
      <c r="AQ2400">
        <v>23.09</v>
      </c>
      <c r="AR2400">
        <v>0</v>
      </c>
      <c r="AS2400">
        <v>0</v>
      </c>
      <c r="AT2400">
        <v>0</v>
      </c>
      <c r="AU2400">
        <v>0</v>
      </c>
      <c r="AV2400">
        <v>0</v>
      </c>
      <c r="AW2400">
        <v>0</v>
      </c>
      <c r="AX2400">
        <v>0</v>
      </c>
      <c r="AY2400">
        <v>0</v>
      </c>
      <c r="AZ2400">
        <v>0</v>
      </c>
      <c r="BA2400">
        <v>0</v>
      </c>
      <c r="BB2400">
        <v>0</v>
      </c>
      <c r="BC2400">
        <v>0</v>
      </c>
      <c r="BD2400">
        <v>0</v>
      </c>
      <c r="BE2400">
        <v>0</v>
      </c>
      <c r="BF2400">
        <v>0</v>
      </c>
      <c r="BG2400">
        <v>0</v>
      </c>
      <c r="BH2400">
        <v>1</v>
      </c>
      <c r="BI2400">
        <v>2</v>
      </c>
      <c r="BJ2400">
        <v>0.7</v>
      </c>
      <c r="BK2400">
        <v>2</v>
      </c>
      <c r="BL2400">
        <v>71.69</v>
      </c>
      <c r="BM2400">
        <v>10.75</v>
      </c>
      <c r="BN2400">
        <v>82.44</v>
      </c>
      <c r="BO2400">
        <v>82.44</v>
      </c>
      <c r="BQ2400" t="s">
        <v>132</v>
      </c>
      <c r="BR2400" t="s">
        <v>84</v>
      </c>
      <c r="BS2400" s="3">
        <v>45887</v>
      </c>
      <c r="BT2400" s="4">
        <v>0.56458333333333333</v>
      </c>
      <c r="BU2400" t="s">
        <v>2855</v>
      </c>
      <c r="BV2400" t="s">
        <v>90</v>
      </c>
      <c r="BW2400" t="s">
        <v>1167</v>
      </c>
      <c r="BX2400" t="s">
        <v>641</v>
      </c>
      <c r="BY2400">
        <v>3630</v>
      </c>
      <c r="CC2400" t="s">
        <v>130</v>
      </c>
      <c r="CD2400">
        <v>4133</v>
      </c>
      <c r="CE2400" t="s">
        <v>117</v>
      </c>
      <c r="CF2400" s="3">
        <v>45888</v>
      </c>
      <c r="CI2400">
        <v>1</v>
      </c>
      <c r="CJ2400">
        <v>1</v>
      </c>
      <c r="CK2400">
        <v>21</v>
      </c>
      <c r="CL2400" t="s">
        <v>90</v>
      </c>
    </row>
    <row r="2401" spans="1:90" x14ac:dyDescent="0.3">
      <c r="A2401" t="s">
        <v>72</v>
      </c>
      <c r="B2401" t="s">
        <v>73</v>
      </c>
      <c r="C2401" t="s">
        <v>74</v>
      </c>
      <c r="E2401" t="str">
        <f>"080067267159"</f>
        <v>080067267159</v>
      </c>
      <c r="F2401" s="3">
        <v>45884</v>
      </c>
      <c r="G2401">
        <v>202605</v>
      </c>
      <c r="H2401" t="s">
        <v>75</v>
      </c>
      <c r="I2401" t="s">
        <v>76</v>
      </c>
      <c r="J2401" t="s">
        <v>77</v>
      </c>
      <c r="K2401" t="s">
        <v>78</v>
      </c>
      <c r="L2401" t="s">
        <v>123</v>
      </c>
      <c r="M2401" t="s">
        <v>124</v>
      </c>
      <c r="N2401" t="s">
        <v>1903</v>
      </c>
      <c r="O2401" t="s">
        <v>82</v>
      </c>
      <c r="P2401" t="str">
        <f>"4170055145                    "</f>
        <v xml:space="preserve">4170055145                    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0</v>
      </c>
      <c r="AI2401">
        <v>0</v>
      </c>
      <c r="AJ2401">
        <v>0</v>
      </c>
      <c r="AK2401">
        <v>0</v>
      </c>
      <c r="AL2401">
        <v>0</v>
      </c>
      <c r="AM2401">
        <v>0</v>
      </c>
      <c r="AN2401">
        <v>0</v>
      </c>
      <c r="AO2401">
        <v>0</v>
      </c>
      <c r="AP2401">
        <v>0</v>
      </c>
      <c r="AQ2401">
        <v>23.09</v>
      </c>
      <c r="AR2401">
        <v>0</v>
      </c>
      <c r="AS2401">
        <v>0</v>
      </c>
      <c r="AT2401">
        <v>0</v>
      </c>
      <c r="AU2401">
        <v>0</v>
      </c>
      <c r="AV2401">
        <v>0</v>
      </c>
      <c r="AW2401">
        <v>0</v>
      </c>
      <c r="AX2401">
        <v>0</v>
      </c>
      <c r="AY2401">
        <v>0</v>
      </c>
      <c r="AZ2401">
        <v>0</v>
      </c>
      <c r="BA2401">
        <v>0</v>
      </c>
      <c r="BB2401">
        <v>0</v>
      </c>
      <c r="BC2401">
        <v>0</v>
      </c>
      <c r="BD2401">
        <v>0</v>
      </c>
      <c r="BE2401">
        <v>0</v>
      </c>
      <c r="BF2401">
        <v>0</v>
      </c>
      <c r="BG2401">
        <v>0</v>
      </c>
      <c r="BH2401">
        <v>1</v>
      </c>
      <c r="BI2401">
        <v>1</v>
      </c>
      <c r="BJ2401">
        <v>0.9</v>
      </c>
      <c r="BK2401">
        <v>1</v>
      </c>
      <c r="BL2401">
        <v>71.69</v>
      </c>
      <c r="BM2401">
        <v>10.75</v>
      </c>
      <c r="BN2401">
        <v>82.44</v>
      </c>
      <c r="BO2401">
        <v>82.44</v>
      </c>
      <c r="BQ2401" t="s">
        <v>1904</v>
      </c>
      <c r="BR2401" t="s">
        <v>84</v>
      </c>
      <c r="BS2401" s="3">
        <v>45887</v>
      </c>
      <c r="BT2401" s="4">
        <v>0.41458333333333336</v>
      </c>
      <c r="BU2401" t="s">
        <v>2856</v>
      </c>
      <c r="BV2401" t="s">
        <v>86</v>
      </c>
      <c r="BY2401">
        <v>4408</v>
      </c>
      <c r="CA2401" t="s">
        <v>2857</v>
      </c>
      <c r="CC2401" t="s">
        <v>124</v>
      </c>
      <c r="CD2401">
        <v>7441</v>
      </c>
      <c r="CE2401" t="s">
        <v>147</v>
      </c>
      <c r="CI2401">
        <v>1</v>
      </c>
      <c r="CJ2401">
        <v>1</v>
      </c>
      <c r="CK2401">
        <v>21</v>
      </c>
      <c r="CL2401" t="s">
        <v>90</v>
      </c>
    </row>
    <row r="2402" spans="1:90" x14ac:dyDescent="0.3">
      <c r="A2402" t="s">
        <v>72</v>
      </c>
      <c r="B2402" t="s">
        <v>73</v>
      </c>
      <c r="C2402" t="s">
        <v>74</v>
      </c>
      <c r="E2402" t="str">
        <f>"080067267216"</f>
        <v>080067267216</v>
      </c>
      <c r="F2402" s="3">
        <v>45884</v>
      </c>
      <c r="G2402">
        <v>202605</v>
      </c>
      <c r="H2402" t="s">
        <v>75</v>
      </c>
      <c r="I2402" t="s">
        <v>76</v>
      </c>
      <c r="J2402" t="s">
        <v>77</v>
      </c>
      <c r="K2402" t="s">
        <v>78</v>
      </c>
      <c r="L2402" t="s">
        <v>123</v>
      </c>
      <c r="M2402" t="s">
        <v>124</v>
      </c>
      <c r="N2402" t="s">
        <v>406</v>
      </c>
      <c r="O2402" t="s">
        <v>82</v>
      </c>
      <c r="P2402" t="str">
        <f>"4170055083                    "</f>
        <v xml:space="preserve">4170055083                    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0</v>
      </c>
      <c r="AI2402">
        <v>0</v>
      </c>
      <c r="AJ2402">
        <v>0</v>
      </c>
      <c r="AK2402">
        <v>0</v>
      </c>
      <c r="AL2402">
        <v>0</v>
      </c>
      <c r="AM2402">
        <v>0</v>
      </c>
      <c r="AN2402">
        <v>0</v>
      </c>
      <c r="AO2402">
        <v>0</v>
      </c>
      <c r="AP2402">
        <v>0</v>
      </c>
      <c r="AQ2402">
        <v>109.58</v>
      </c>
      <c r="AR2402">
        <v>0</v>
      </c>
      <c r="AS2402">
        <v>0</v>
      </c>
      <c r="AT2402">
        <v>0</v>
      </c>
      <c r="AU2402">
        <v>0</v>
      </c>
      <c r="AV2402">
        <v>0</v>
      </c>
      <c r="AW2402">
        <v>0</v>
      </c>
      <c r="AX2402">
        <v>0</v>
      </c>
      <c r="AY2402">
        <v>0</v>
      </c>
      <c r="AZ2402">
        <v>0</v>
      </c>
      <c r="BA2402">
        <v>0</v>
      </c>
      <c r="BB2402">
        <v>0</v>
      </c>
      <c r="BC2402">
        <v>0</v>
      </c>
      <c r="BD2402">
        <v>0</v>
      </c>
      <c r="BE2402">
        <v>0</v>
      </c>
      <c r="BF2402">
        <v>0</v>
      </c>
      <c r="BG2402">
        <v>0</v>
      </c>
      <c r="BH2402">
        <v>1</v>
      </c>
      <c r="BI2402">
        <v>4</v>
      </c>
      <c r="BJ2402">
        <v>9.1</v>
      </c>
      <c r="BK2402">
        <v>9.5</v>
      </c>
      <c r="BL2402">
        <v>340.28</v>
      </c>
      <c r="BM2402">
        <v>51.04</v>
      </c>
      <c r="BN2402">
        <v>391.32</v>
      </c>
      <c r="BO2402">
        <v>391.32</v>
      </c>
      <c r="BQ2402" t="s">
        <v>407</v>
      </c>
      <c r="BR2402" t="s">
        <v>84</v>
      </c>
      <c r="BS2402" s="3">
        <v>45887</v>
      </c>
      <c r="BT2402" s="4">
        <v>0.42499999999999999</v>
      </c>
      <c r="BU2402" t="s">
        <v>2753</v>
      </c>
      <c r="BV2402" t="s">
        <v>86</v>
      </c>
      <c r="BY2402">
        <v>45632</v>
      </c>
      <c r="CA2402" t="s">
        <v>2361</v>
      </c>
      <c r="CC2402" t="s">
        <v>124</v>
      </c>
      <c r="CD2402">
        <v>7441</v>
      </c>
      <c r="CE2402" t="s">
        <v>147</v>
      </c>
      <c r="CI2402">
        <v>1</v>
      </c>
      <c r="CJ2402">
        <v>1</v>
      </c>
      <c r="CK2402">
        <v>21</v>
      </c>
      <c r="CL2402" t="s">
        <v>90</v>
      </c>
    </row>
    <row r="2403" spans="1:90" x14ac:dyDescent="0.3">
      <c r="A2403" t="s">
        <v>72</v>
      </c>
      <c r="B2403" t="s">
        <v>73</v>
      </c>
      <c r="C2403" t="s">
        <v>74</v>
      </c>
      <c r="E2403" t="str">
        <f>"080067267249"</f>
        <v>080067267249</v>
      </c>
      <c r="F2403" s="3">
        <v>45884</v>
      </c>
      <c r="G2403">
        <v>202605</v>
      </c>
      <c r="H2403" t="s">
        <v>75</v>
      </c>
      <c r="I2403" t="s">
        <v>76</v>
      </c>
      <c r="J2403" t="s">
        <v>77</v>
      </c>
      <c r="K2403" t="s">
        <v>78</v>
      </c>
      <c r="L2403" t="s">
        <v>452</v>
      </c>
      <c r="M2403" t="s">
        <v>453</v>
      </c>
      <c r="N2403" t="s">
        <v>454</v>
      </c>
      <c r="O2403" t="s">
        <v>95</v>
      </c>
      <c r="P2403" t="str">
        <f>"4170055124                    "</f>
        <v xml:space="preserve">4170055124                    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0</v>
      </c>
      <c r="AI2403">
        <v>0</v>
      </c>
      <c r="AJ2403">
        <v>0</v>
      </c>
      <c r="AK2403">
        <v>0</v>
      </c>
      <c r="AL2403">
        <v>0</v>
      </c>
      <c r="AM2403">
        <v>0</v>
      </c>
      <c r="AN2403">
        <v>0</v>
      </c>
      <c r="AO2403">
        <v>0</v>
      </c>
      <c r="AP2403">
        <v>0</v>
      </c>
      <c r="AQ2403">
        <v>85.47</v>
      </c>
      <c r="AR2403">
        <v>0</v>
      </c>
      <c r="AS2403">
        <v>0</v>
      </c>
      <c r="AT2403">
        <v>0</v>
      </c>
      <c r="AU2403">
        <v>0</v>
      </c>
      <c r="AV2403">
        <v>0</v>
      </c>
      <c r="AW2403">
        <v>0</v>
      </c>
      <c r="AX2403">
        <v>0</v>
      </c>
      <c r="AY2403">
        <v>0</v>
      </c>
      <c r="AZ2403">
        <v>0</v>
      </c>
      <c r="BA2403">
        <v>0</v>
      </c>
      <c r="BB2403">
        <v>0</v>
      </c>
      <c r="BC2403">
        <v>0</v>
      </c>
      <c r="BD2403">
        <v>0</v>
      </c>
      <c r="BE2403">
        <v>0</v>
      </c>
      <c r="BF2403">
        <v>0</v>
      </c>
      <c r="BG2403">
        <v>0</v>
      </c>
      <c r="BH2403">
        <v>1</v>
      </c>
      <c r="BI2403">
        <v>22</v>
      </c>
      <c r="BJ2403">
        <v>10.199999999999999</v>
      </c>
      <c r="BK2403">
        <v>22</v>
      </c>
      <c r="BL2403">
        <v>271.27999999999997</v>
      </c>
      <c r="BM2403">
        <v>40.69</v>
      </c>
      <c r="BN2403">
        <v>311.97000000000003</v>
      </c>
      <c r="BO2403">
        <v>311.97000000000003</v>
      </c>
      <c r="BQ2403" t="s">
        <v>455</v>
      </c>
      <c r="BR2403" t="s">
        <v>84</v>
      </c>
      <c r="BS2403" s="3">
        <v>45887</v>
      </c>
      <c r="BT2403" s="4">
        <v>0.34027777777777779</v>
      </c>
      <c r="BU2403" t="s">
        <v>2583</v>
      </c>
      <c r="BV2403" t="s">
        <v>86</v>
      </c>
      <c r="BY2403">
        <v>50820</v>
      </c>
      <c r="CC2403" t="s">
        <v>453</v>
      </c>
      <c r="CD2403">
        <v>1947</v>
      </c>
      <c r="CE2403" t="s">
        <v>117</v>
      </c>
      <c r="CF2403" s="3">
        <v>45887</v>
      </c>
      <c r="CI2403">
        <v>1</v>
      </c>
      <c r="CJ2403">
        <v>1</v>
      </c>
      <c r="CK2403">
        <v>43</v>
      </c>
      <c r="CL2403" t="s">
        <v>90</v>
      </c>
    </row>
    <row r="2404" spans="1:90" x14ac:dyDescent="0.3">
      <c r="A2404" t="s">
        <v>72</v>
      </c>
      <c r="B2404" t="s">
        <v>73</v>
      </c>
      <c r="C2404" t="s">
        <v>74</v>
      </c>
      <c r="E2404" t="str">
        <f>"080067267261"</f>
        <v>080067267261</v>
      </c>
      <c r="F2404" s="3">
        <v>45884</v>
      </c>
      <c r="G2404">
        <v>202605</v>
      </c>
      <c r="H2404" t="s">
        <v>75</v>
      </c>
      <c r="I2404" t="s">
        <v>76</v>
      </c>
      <c r="J2404" t="s">
        <v>77</v>
      </c>
      <c r="K2404" t="s">
        <v>78</v>
      </c>
      <c r="L2404" t="s">
        <v>79</v>
      </c>
      <c r="M2404" t="s">
        <v>80</v>
      </c>
      <c r="N2404" t="s">
        <v>2858</v>
      </c>
      <c r="O2404" t="s">
        <v>82</v>
      </c>
      <c r="P2404" t="str">
        <f>"4170055169                    "</f>
        <v xml:space="preserve">4170055169                    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0</v>
      </c>
      <c r="AI2404">
        <v>0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Q2404">
        <v>18.03</v>
      </c>
      <c r="AR2404">
        <v>0</v>
      </c>
      <c r="AS2404">
        <v>0</v>
      </c>
      <c r="AT2404">
        <v>0</v>
      </c>
      <c r="AU2404">
        <v>0</v>
      </c>
      <c r="AV2404">
        <v>0</v>
      </c>
      <c r="AW2404">
        <v>0</v>
      </c>
      <c r="AX2404">
        <v>0</v>
      </c>
      <c r="AY2404">
        <v>0</v>
      </c>
      <c r="AZ2404">
        <v>0</v>
      </c>
      <c r="BA2404">
        <v>0</v>
      </c>
      <c r="BB2404">
        <v>0</v>
      </c>
      <c r="BC2404">
        <v>0</v>
      </c>
      <c r="BD2404">
        <v>0</v>
      </c>
      <c r="BE2404">
        <v>0</v>
      </c>
      <c r="BF2404">
        <v>0</v>
      </c>
      <c r="BG2404">
        <v>0</v>
      </c>
      <c r="BH2404">
        <v>1</v>
      </c>
      <c r="BI2404">
        <v>2</v>
      </c>
      <c r="BJ2404">
        <v>1.2</v>
      </c>
      <c r="BK2404">
        <v>2</v>
      </c>
      <c r="BL2404">
        <v>55.99</v>
      </c>
      <c r="BM2404">
        <v>8.4</v>
      </c>
      <c r="BN2404">
        <v>64.39</v>
      </c>
      <c r="BO2404">
        <v>64.39</v>
      </c>
      <c r="BQ2404" t="s">
        <v>2859</v>
      </c>
      <c r="BR2404" t="s">
        <v>84</v>
      </c>
      <c r="BS2404" s="3">
        <v>45887</v>
      </c>
      <c r="BT2404" s="4">
        <v>0.32777777777777778</v>
      </c>
      <c r="BU2404" t="s">
        <v>2860</v>
      </c>
      <c r="BV2404" t="s">
        <v>86</v>
      </c>
      <c r="BY2404">
        <v>5760</v>
      </c>
      <c r="CA2404" t="s">
        <v>1026</v>
      </c>
      <c r="CC2404" t="s">
        <v>80</v>
      </c>
      <c r="CD2404">
        <v>1406</v>
      </c>
      <c r="CE2404" t="s">
        <v>117</v>
      </c>
      <c r="CF2404" s="3">
        <v>45887</v>
      </c>
      <c r="CI2404">
        <v>1</v>
      </c>
      <c r="CJ2404">
        <v>1</v>
      </c>
      <c r="CK2404">
        <v>22</v>
      </c>
      <c r="CL2404" t="s">
        <v>90</v>
      </c>
    </row>
    <row r="2405" spans="1:90" x14ac:dyDescent="0.3">
      <c r="A2405" t="s">
        <v>72</v>
      </c>
      <c r="B2405" t="s">
        <v>73</v>
      </c>
      <c r="C2405" t="s">
        <v>74</v>
      </c>
      <c r="E2405" t="str">
        <f>"080067267294"</f>
        <v>080067267294</v>
      </c>
      <c r="F2405" s="3">
        <v>45884</v>
      </c>
      <c r="G2405">
        <v>202605</v>
      </c>
      <c r="H2405" t="s">
        <v>75</v>
      </c>
      <c r="I2405" t="s">
        <v>76</v>
      </c>
      <c r="J2405" t="s">
        <v>77</v>
      </c>
      <c r="K2405" t="s">
        <v>78</v>
      </c>
      <c r="L2405" t="s">
        <v>123</v>
      </c>
      <c r="M2405" t="s">
        <v>124</v>
      </c>
      <c r="N2405" t="s">
        <v>1115</v>
      </c>
      <c r="O2405" t="s">
        <v>82</v>
      </c>
      <c r="P2405" t="str">
        <f>"4170055152                    "</f>
        <v xml:space="preserve">4170055152                    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0</v>
      </c>
      <c r="AI2405">
        <v>0</v>
      </c>
      <c r="AJ2405">
        <v>0</v>
      </c>
      <c r="AK2405">
        <v>0</v>
      </c>
      <c r="AL2405">
        <v>0</v>
      </c>
      <c r="AM2405">
        <v>0</v>
      </c>
      <c r="AN2405">
        <v>0</v>
      </c>
      <c r="AO2405">
        <v>0</v>
      </c>
      <c r="AP2405">
        <v>0</v>
      </c>
      <c r="AQ2405">
        <v>92.28</v>
      </c>
      <c r="AR2405">
        <v>0</v>
      </c>
      <c r="AS2405">
        <v>0</v>
      </c>
      <c r="AT2405">
        <v>0</v>
      </c>
      <c r="AU2405">
        <v>0</v>
      </c>
      <c r="AV2405">
        <v>0</v>
      </c>
      <c r="AW2405">
        <v>0</v>
      </c>
      <c r="AX2405">
        <v>0</v>
      </c>
      <c r="AY2405">
        <v>0</v>
      </c>
      <c r="AZ2405">
        <v>0</v>
      </c>
      <c r="BA2405">
        <v>0</v>
      </c>
      <c r="BB2405">
        <v>0</v>
      </c>
      <c r="BC2405">
        <v>0</v>
      </c>
      <c r="BD2405">
        <v>0</v>
      </c>
      <c r="BE2405">
        <v>0</v>
      </c>
      <c r="BF2405">
        <v>0</v>
      </c>
      <c r="BG2405">
        <v>0</v>
      </c>
      <c r="BH2405">
        <v>1</v>
      </c>
      <c r="BI2405">
        <v>7</v>
      </c>
      <c r="BJ2405">
        <v>7.6</v>
      </c>
      <c r="BK2405">
        <v>8</v>
      </c>
      <c r="BL2405">
        <v>286.56</v>
      </c>
      <c r="BM2405">
        <v>42.98</v>
      </c>
      <c r="BN2405">
        <v>329.54</v>
      </c>
      <c r="BO2405">
        <v>329.54</v>
      </c>
      <c r="BQ2405" t="s">
        <v>1116</v>
      </c>
      <c r="BR2405" t="s">
        <v>84</v>
      </c>
      <c r="BS2405" s="3">
        <v>45887</v>
      </c>
      <c r="BT2405" s="4">
        <v>0.40763888888888888</v>
      </c>
      <c r="BU2405" t="s">
        <v>2783</v>
      </c>
      <c r="BV2405" t="s">
        <v>86</v>
      </c>
      <c r="BY2405">
        <v>37856</v>
      </c>
      <c r="CA2405" t="s">
        <v>2361</v>
      </c>
      <c r="CC2405" t="s">
        <v>124</v>
      </c>
      <c r="CD2405">
        <v>7441</v>
      </c>
      <c r="CE2405" t="s">
        <v>970</v>
      </c>
      <c r="CI2405">
        <v>1</v>
      </c>
      <c r="CJ2405">
        <v>1</v>
      </c>
      <c r="CK2405">
        <v>21</v>
      </c>
      <c r="CL2405" t="s">
        <v>90</v>
      </c>
    </row>
    <row r="2406" spans="1:90" x14ac:dyDescent="0.3">
      <c r="A2406" t="s">
        <v>72</v>
      </c>
      <c r="B2406" t="s">
        <v>73</v>
      </c>
      <c r="C2406" t="s">
        <v>74</v>
      </c>
      <c r="E2406" t="str">
        <f>"080067267301"</f>
        <v>080067267301</v>
      </c>
      <c r="F2406" s="3">
        <v>45884</v>
      </c>
      <c r="G2406">
        <v>202605</v>
      </c>
      <c r="H2406" t="s">
        <v>75</v>
      </c>
      <c r="I2406" t="s">
        <v>76</v>
      </c>
      <c r="J2406" t="s">
        <v>77</v>
      </c>
      <c r="K2406" t="s">
        <v>78</v>
      </c>
      <c r="L2406" t="s">
        <v>207</v>
      </c>
      <c r="M2406" t="s">
        <v>208</v>
      </c>
      <c r="N2406" t="s">
        <v>209</v>
      </c>
      <c r="O2406" t="s">
        <v>82</v>
      </c>
      <c r="P2406" t="str">
        <f>"4170055093                    "</f>
        <v xml:space="preserve">4170055093                    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0</v>
      </c>
      <c r="AI2406">
        <v>0</v>
      </c>
      <c r="AJ2406">
        <v>0</v>
      </c>
      <c r="AK2406">
        <v>0</v>
      </c>
      <c r="AL2406">
        <v>0</v>
      </c>
      <c r="AM2406">
        <v>0</v>
      </c>
      <c r="AN2406">
        <v>0</v>
      </c>
      <c r="AO2406">
        <v>0</v>
      </c>
      <c r="AP2406">
        <v>0</v>
      </c>
      <c r="AQ2406">
        <v>115.42</v>
      </c>
      <c r="AR2406">
        <v>0</v>
      </c>
      <c r="AS2406">
        <v>0</v>
      </c>
      <c r="AT2406">
        <v>0</v>
      </c>
      <c r="AU2406">
        <v>0</v>
      </c>
      <c r="AV2406">
        <v>0</v>
      </c>
      <c r="AW2406">
        <v>0</v>
      </c>
      <c r="AX2406">
        <v>0</v>
      </c>
      <c r="AY2406">
        <v>0</v>
      </c>
      <c r="AZ2406">
        <v>0</v>
      </c>
      <c r="BA2406">
        <v>0</v>
      </c>
      <c r="BB2406">
        <v>0</v>
      </c>
      <c r="BC2406">
        <v>0</v>
      </c>
      <c r="BD2406">
        <v>0</v>
      </c>
      <c r="BE2406">
        <v>0</v>
      </c>
      <c r="BF2406">
        <v>0</v>
      </c>
      <c r="BG2406">
        <v>0</v>
      </c>
      <c r="BH2406">
        <v>1</v>
      </c>
      <c r="BI2406">
        <v>3</v>
      </c>
      <c r="BJ2406">
        <v>5.5</v>
      </c>
      <c r="BK2406">
        <v>5.5</v>
      </c>
      <c r="BL2406">
        <v>358.4</v>
      </c>
      <c r="BM2406">
        <v>53.76</v>
      </c>
      <c r="BN2406">
        <v>412.16</v>
      </c>
      <c r="BO2406">
        <v>412.16</v>
      </c>
      <c r="BQ2406" t="s">
        <v>210</v>
      </c>
      <c r="BR2406" t="s">
        <v>84</v>
      </c>
      <c r="BS2406" s="3">
        <v>45887</v>
      </c>
      <c r="BT2406" s="4">
        <v>0.54305555555555551</v>
      </c>
      <c r="BU2406" t="s">
        <v>510</v>
      </c>
      <c r="BV2406" t="s">
        <v>86</v>
      </c>
      <c r="BY2406">
        <v>27360</v>
      </c>
      <c r="CA2406" t="s">
        <v>212</v>
      </c>
      <c r="CC2406" t="s">
        <v>208</v>
      </c>
      <c r="CD2406">
        <v>7300</v>
      </c>
      <c r="CE2406" t="s">
        <v>117</v>
      </c>
      <c r="CI2406">
        <v>1</v>
      </c>
      <c r="CJ2406">
        <v>1</v>
      </c>
      <c r="CK2406">
        <v>23</v>
      </c>
      <c r="CL2406" t="s">
        <v>90</v>
      </c>
    </row>
    <row r="2407" spans="1:90" x14ac:dyDescent="0.3">
      <c r="A2407" t="s">
        <v>72</v>
      </c>
      <c r="B2407" t="s">
        <v>73</v>
      </c>
      <c r="C2407" t="s">
        <v>74</v>
      </c>
      <c r="E2407" t="str">
        <f>"080067267335"</f>
        <v>080067267335</v>
      </c>
      <c r="F2407" s="3">
        <v>45884</v>
      </c>
      <c r="G2407">
        <v>202605</v>
      </c>
      <c r="H2407" t="s">
        <v>75</v>
      </c>
      <c r="I2407" t="s">
        <v>76</v>
      </c>
      <c r="J2407" t="s">
        <v>77</v>
      </c>
      <c r="K2407" t="s">
        <v>78</v>
      </c>
      <c r="L2407" t="s">
        <v>118</v>
      </c>
      <c r="M2407" t="s">
        <v>118</v>
      </c>
      <c r="N2407" t="s">
        <v>833</v>
      </c>
      <c r="O2407" t="s">
        <v>82</v>
      </c>
      <c r="P2407" t="str">
        <f>"4170055173                    "</f>
        <v xml:space="preserve">4170055173                    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0</v>
      </c>
      <c r="AI2407">
        <v>0</v>
      </c>
      <c r="AJ2407">
        <v>0</v>
      </c>
      <c r="AK2407">
        <v>0</v>
      </c>
      <c r="AL2407">
        <v>0</v>
      </c>
      <c r="AM2407">
        <v>0</v>
      </c>
      <c r="AN2407">
        <v>0</v>
      </c>
      <c r="AO2407">
        <v>0</v>
      </c>
      <c r="AP2407">
        <v>0</v>
      </c>
      <c r="AQ2407">
        <v>44.73</v>
      </c>
      <c r="AR2407">
        <v>0</v>
      </c>
      <c r="AS2407">
        <v>0</v>
      </c>
      <c r="AT2407">
        <v>0</v>
      </c>
      <c r="AU2407">
        <v>0</v>
      </c>
      <c r="AV2407">
        <v>0</v>
      </c>
      <c r="AW2407">
        <v>0</v>
      </c>
      <c r="AX2407">
        <v>0</v>
      </c>
      <c r="AY2407">
        <v>0</v>
      </c>
      <c r="AZ2407">
        <v>0</v>
      </c>
      <c r="BA2407">
        <v>0</v>
      </c>
      <c r="BB2407">
        <v>0</v>
      </c>
      <c r="BC2407">
        <v>0</v>
      </c>
      <c r="BD2407">
        <v>0</v>
      </c>
      <c r="BE2407">
        <v>0</v>
      </c>
      <c r="BF2407">
        <v>0</v>
      </c>
      <c r="BG2407">
        <v>0</v>
      </c>
      <c r="BH2407">
        <v>1</v>
      </c>
      <c r="BI2407">
        <v>2</v>
      </c>
      <c r="BJ2407">
        <v>1.1000000000000001</v>
      </c>
      <c r="BK2407">
        <v>2</v>
      </c>
      <c r="BL2407">
        <v>138.88999999999999</v>
      </c>
      <c r="BM2407">
        <v>20.83</v>
      </c>
      <c r="BN2407">
        <v>159.72</v>
      </c>
      <c r="BO2407">
        <v>159.72</v>
      </c>
      <c r="BQ2407" t="s">
        <v>834</v>
      </c>
      <c r="BR2407" t="s">
        <v>84</v>
      </c>
      <c r="BS2407" s="3">
        <v>45887</v>
      </c>
      <c r="BT2407" s="4">
        <v>0.54166666666666663</v>
      </c>
      <c r="BU2407" t="s">
        <v>835</v>
      </c>
      <c r="BV2407" t="s">
        <v>86</v>
      </c>
      <c r="BY2407">
        <v>5320</v>
      </c>
      <c r="CA2407" t="s">
        <v>122</v>
      </c>
      <c r="CC2407" t="s">
        <v>118</v>
      </c>
      <c r="CD2407">
        <v>7646</v>
      </c>
      <c r="CE2407" t="s">
        <v>147</v>
      </c>
      <c r="CI2407">
        <v>1</v>
      </c>
      <c r="CJ2407">
        <v>1</v>
      </c>
      <c r="CK2407">
        <v>23</v>
      </c>
      <c r="CL2407" t="s">
        <v>90</v>
      </c>
    </row>
    <row r="2408" spans="1:90" x14ac:dyDescent="0.3">
      <c r="A2408" t="s">
        <v>72</v>
      </c>
      <c r="B2408" t="s">
        <v>73</v>
      </c>
      <c r="C2408" t="s">
        <v>74</v>
      </c>
      <c r="E2408" t="str">
        <f>"080067267339"</f>
        <v>080067267339</v>
      </c>
      <c r="F2408" s="3">
        <v>45884</v>
      </c>
      <c r="G2408">
        <v>202605</v>
      </c>
      <c r="H2408" t="s">
        <v>75</v>
      </c>
      <c r="I2408" t="s">
        <v>76</v>
      </c>
      <c r="J2408" t="s">
        <v>77</v>
      </c>
      <c r="K2408" t="s">
        <v>78</v>
      </c>
      <c r="L2408" t="s">
        <v>123</v>
      </c>
      <c r="M2408" t="s">
        <v>124</v>
      </c>
      <c r="N2408" t="s">
        <v>406</v>
      </c>
      <c r="O2408" t="s">
        <v>95</v>
      </c>
      <c r="P2408" t="str">
        <f>"4170055164                    "</f>
        <v xml:space="preserve">4170055164                    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0</v>
      </c>
      <c r="AL2408">
        <v>0</v>
      </c>
      <c r="AM2408">
        <v>0</v>
      </c>
      <c r="AN2408">
        <v>0</v>
      </c>
      <c r="AO2408">
        <v>0</v>
      </c>
      <c r="AP2408">
        <v>0</v>
      </c>
      <c r="AQ2408">
        <v>77.81</v>
      </c>
      <c r="AR2408">
        <v>0</v>
      </c>
      <c r="AS2408">
        <v>0</v>
      </c>
      <c r="AT2408">
        <v>0</v>
      </c>
      <c r="AU2408">
        <v>0</v>
      </c>
      <c r="AV2408">
        <v>0</v>
      </c>
      <c r="AW2408">
        <v>0</v>
      </c>
      <c r="AX2408">
        <v>0</v>
      </c>
      <c r="AY2408">
        <v>0</v>
      </c>
      <c r="AZ2408">
        <v>0</v>
      </c>
      <c r="BA2408">
        <v>0</v>
      </c>
      <c r="BB2408">
        <v>0</v>
      </c>
      <c r="BC2408">
        <v>0</v>
      </c>
      <c r="BD2408">
        <v>0</v>
      </c>
      <c r="BE2408">
        <v>0</v>
      </c>
      <c r="BF2408">
        <v>0</v>
      </c>
      <c r="BG2408">
        <v>0</v>
      </c>
      <c r="BH2408">
        <v>2</v>
      </c>
      <c r="BI2408">
        <v>33</v>
      </c>
      <c r="BJ2408">
        <v>14.3</v>
      </c>
      <c r="BK2408">
        <v>33</v>
      </c>
      <c r="BL2408">
        <v>247.5</v>
      </c>
      <c r="BM2408">
        <v>37.130000000000003</v>
      </c>
      <c r="BN2408">
        <v>284.63</v>
      </c>
      <c r="BO2408">
        <v>284.63</v>
      </c>
      <c r="BQ2408" t="s">
        <v>407</v>
      </c>
      <c r="BR2408" t="s">
        <v>84</v>
      </c>
      <c r="BS2408" t="s">
        <v>96</v>
      </c>
      <c r="BY2408">
        <v>71645</v>
      </c>
      <c r="CC2408" t="s">
        <v>124</v>
      </c>
      <c r="CD2408">
        <v>7441</v>
      </c>
      <c r="CE2408" t="s">
        <v>906</v>
      </c>
      <c r="CI2408">
        <v>3</v>
      </c>
      <c r="CJ2408" t="s">
        <v>96</v>
      </c>
      <c r="CK2408">
        <v>41</v>
      </c>
      <c r="CL2408" t="s">
        <v>90</v>
      </c>
    </row>
    <row r="2409" spans="1:90" x14ac:dyDescent="0.3">
      <c r="A2409" t="s">
        <v>72</v>
      </c>
      <c r="B2409" t="s">
        <v>73</v>
      </c>
      <c r="C2409" t="s">
        <v>74</v>
      </c>
      <c r="E2409" t="str">
        <f>"080067267372"</f>
        <v>080067267372</v>
      </c>
      <c r="F2409" s="3">
        <v>45884</v>
      </c>
      <c r="G2409">
        <v>202605</v>
      </c>
      <c r="H2409" t="s">
        <v>75</v>
      </c>
      <c r="I2409" t="s">
        <v>76</v>
      </c>
      <c r="J2409" t="s">
        <v>77</v>
      </c>
      <c r="K2409" t="s">
        <v>78</v>
      </c>
      <c r="L2409" t="s">
        <v>400</v>
      </c>
      <c r="M2409" t="s">
        <v>401</v>
      </c>
      <c r="N2409" t="s">
        <v>1597</v>
      </c>
      <c r="O2409" t="s">
        <v>82</v>
      </c>
      <c r="P2409" t="str">
        <f>"4170055184                    "</f>
        <v xml:space="preserve">4170055184                    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0</v>
      </c>
      <c r="AL2409">
        <v>0</v>
      </c>
      <c r="AM2409">
        <v>0</v>
      </c>
      <c r="AN2409">
        <v>0</v>
      </c>
      <c r="AO2409">
        <v>0</v>
      </c>
      <c r="AP2409">
        <v>0</v>
      </c>
      <c r="AQ2409">
        <v>23.09</v>
      </c>
      <c r="AR2409">
        <v>0</v>
      </c>
      <c r="AS2409">
        <v>0</v>
      </c>
      <c r="AT2409">
        <v>0</v>
      </c>
      <c r="AU2409">
        <v>0</v>
      </c>
      <c r="AV2409">
        <v>0</v>
      </c>
      <c r="AW2409">
        <v>0</v>
      </c>
      <c r="AX2409">
        <v>0</v>
      </c>
      <c r="AY2409">
        <v>0</v>
      </c>
      <c r="AZ2409">
        <v>0</v>
      </c>
      <c r="BA2409">
        <v>0</v>
      </c>
      <c r="BB2409">
        <v>0</v>
      </c>
      <c r="BC2409">
        <v>0</v>
      </c>
      <c r="BD2409">
        <v>0</v>
      </c>
      <c r="BE2409">
        <v>0</v>
      </c>
      <c r="BF2409">
        <v>0</v>
      </c>
      <c r="BG2409">
        <v>0</v>
      </c>
      <c r="BH2409">
        <v>1</v>
      </c>
      <c r="BI2409">
        <v>1</v>
      </c>
      <c r="BJ2409">
        <v>0.2</v>
      </c>
      <c r="BK2409">
        <v>1</v>
      </c>
      <c r="BL2409">
        <v>71.69</v>
      </c>
      <c r="BM2409">
        <v>10.75</v>
      </c>
      <c r="BN2409">
        <v>82.44</v>
      </c>
      <c r="BO2409">
        <v>82.44</v>
      </c>
      <c r="BQ2409" t="s">
        <v>1598</v>
      </c>
      <c r="BR2409" t="s">
        <v>84</v>
      </c>
      <c r="BS2409" s="3">
        <v>45887</v>
      </c>
      <c r="BT2409" s="4">
        <v>0.43472222222222223</v>
      </c>
      <c r="BU2409" t="s">
        <v>2055</v>
      </c>
      <c r="BV2409" t="s">
        <v>86</v>
      </c>
      <c r="BY2409">
        <v>1200</v>
      </c>
      <c r="CA2409" t="s">
        <v>405</v>
      </c>
      <c r="CC2409" t="s">
        <v>401</v>
      </c>
      <c r="CD2409">
        <v>6229</v>
      </c>
      <c r="CE2409" t="s">
        <v>109</v>
      </c>
      <c r="CF2409" s="3">
        <v>45887</v>
      </c>
      <c r="CI2409">
        <v>1</v>
      </c>
      <c r="CJ2409">
        <v>1</v>
      </c>
      <c r="CK2409">
        <v>21</v>
      </c>
      <c r="CL2409" t="s">
        <v>90</v>
      </c>
    </row>
    <row r="2410" spans="1:90" x14ac:dyDescent="0.3">
      <c r="A2410" t="s">
        <v>72</v>
      </c>
      <c r="B2410" t="s">
        <v>73</v>
      </c>
      <c r="C2410" t="s">
        <v>74</v>
      </c>
      <c r="E2410" t="str">
        <f>"080067267397"</f>
        <v>080067267397</v>
      </c>
      <c r="F2410" s="3">
        <v>45884</v>
      </c>
      <c r="G2410">
        <v>202605</v>
      </c>
      <c r="H2410" t="s">
        <v>75</v>
      </c>
      <c r="I2410" t="s">
        <v>76</v>
      </c>
      <c r="J2410" t="s">
        <v>77</v>
      </c>
      <c r="K2410" t="s">
        <v>78</v>
      </c>
      <c r="L2410" t="s">
        <v>452</v>
      </c>
      <c r="M2410" t="s">
        <v>453</v>
      </c>
      <c r="N2410" t="s">
        <v>454</v>
      </c>
      <c r="O2410" t="s">
        <v>82</v>
      </c>
      <c r="P2410" t="str">
        <f>"4170054726                    "</f>
        <v xml:space="preserve">4170054726                    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0</v>
      </c>
      <c r="AM2410">
        <v>0</v>
      </c>
      <c r="AN2410">
        <v>0</v>
      </c>
      <c r="AO2410">
        <v>0</v>
      </c>
      <c r="AP2410">
        <v>0</v>
      </c>
      <c r="AQ2410">
        <v>44.73</v>
      </c>
      <c r="AR2410">
        <v>0</v>
      </c>
      <c r="AS2410">
        <v>0</v>
      </c>
      <c r="AT2410">
        <v>0</v>
      </c>
      <c r="AU2410">
        <v>0</v>
      </c>
      <c r="AV2410">
        <v>0</v>
      </c>
      <c r="AW2410">
        <v>0</v>
      </c>
      <c r="AX2410">
        <v>0</v>
      </c>
      <c r="AY2410">
        <v>0</v>
      </c>
      <c r="AZ2410">
        <v>0</v>
      </c>
      <c r="BA2410">
        <v>0</v>
      </c>
      <c r="BB2410">
        <v>0</v>
      </c>
      <c r="BC2410">
        <v>0</v>
      </c>
      <c r="BD2410">
        <v>0</v>
      </c>
      <c r="BE2410">
        <v>0</v>
      </c>
      <c r="BF2410">
        <v>0</v>
      </c>
      <c r="BG2410">
        <v>0</v>
      </c>
      <c r="BH2410">
        <v>1</v>
      </c>
      <c r="BI2410">
        <v>1</v>
      </c>
      <c r="BJ2410">
        <v>0.2</v>
      </c>
      <c r="BK2410">
        <v>1</v>
      </c>
      <c r="BL2410">
        <v>138.88999999999999</v>
      </c>
      <c r="BM2410">
        <v>20.83</v>
      </c>
      <c r="BN2410">
        <v>159.72</v>
      </c>
      <c r="BO2410">
        <v>159.72</v>
      </c>
      <c r="BQ2410" t="s">
        <v>455</v>
      </c>
      <c r="BR2410" t="s">
        <v>84</v>
      </c>
      <c r="BS2410" s="3">
        <v>45887</v>
      </c>
      <c r="BT2410" s="4">
        <v>0.34027777777777779</v>
      </c>
      <c r="BU2410" t="s">
        <v>2583</v>
      </c>
      <c r="BV2410" t="s">
        <v>86</v>
      </c>
      <c r="BY2410">
        <v>1200</v>
      </c>
      <c r="CC2410" t="s">
        <v>453</v>
      </c>
      <c r="CD2410">
        <v>1947</v>
      </c>
      <c r="CE2410" t="s">
        <v>109</v>
      </c>
      <c r="CF2410" s="3">
        <v>45887</v>
      </c>
      <c r="CI2410">
        <v>1</v>
      </c>
      <c r="CJ2410">
        <v>1</v>
      </c>
      <c r="CK2410">
        <v>23</v>
      </c>
      <c r="CL2410" t="s">
        <v>90</v>
      </c>
    </row>
    <row r="2411" spans="1:90" x14ac:dyDescent="0.3">
      <c r="A2411" t="s">
        <v>72</v>
      </c>
      <c r="B2411" t="s">
        <v>73</v>
      </c>
      <c r="C2411" t="s">
        <v>74</v>
      </c>
      <c r="E2411" t="str">
        <f>"080067267402"</f>
        <v>080067267402</v>
      </c>
      <c r="F2411" s="3">
        <v>45884</v>
      </c>
      <c r="G2411">
        <v>202605</v>
      </c>
      <c r="H2411" t="s">
        <v>75</v>
      </c>
      <c r="I2411" t="s">
        <v>76</v>
      </c>
      <c r="J2411" t="s">
        <v>77</v>
      </c>
      <c r="K2411" t="s">
        <v>78</v>
      </c>
      <c r="L2411" t="s">
        <v>162</v>
      </c>
      <c r="M2411" t="s">
        <v>163</v>
      </c>
      <c r="N2411" t="s">
        <v>811</v>
      </c>
      <c r="O2411" t="s">
        <v>82</v>
      </c>
      <c r="P2411" t="str">
        <f>"4170055166                    "</f>
        <v xml:space="preserve">4170055166                    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  <c r="AN2411">
        <v>0</v>
      </c>
      <c r="AO2411">
        <v>0</v>
      </c>
      <c r="AP2411">
        <v>0</v>
      </c>
      <c r="AQ2411">
        <v>23.09</v>
      </c>
      <c r="AR2411">
        <v>0</v>
      </c>
      <c r="AS2411">
        <v>0</v>
      </c>
      <c r="AT2411">
        <v>0</v>
      </c>
      <c r="AU2411">
        <v>0</v>
      </c>
      <c r="AV2411">
        <v>0</v>
      </c>
      <c r="AW2411">
        <v>0</v>
      </c>
      <c r="AX2411">
        <v>0</v>
      </c>
      <c r="AY2411">
        <v>0</v>
      </c>
      <c r="AZ2411">
        <v>0</v>
      </c>
      <c r="BA2411">
        <v>0</v>
      </c>
      <c r="BB2411">
        <v>0</v>
      </c>
      <c r="BC2411">
        <v>0</v>
      </c>
      <c r="BD2411">
        <v>0</v>
      </c>
      <c r="BE2411">
        <v>0</v>
      </c>
      <c r="BF2411">
        <v>0</v>
      </c>
      <c r="BG2411">
        <v>0</v>
      </c>
      <c r="BH2411">
        <v>1</v>
      </c>
      <c r="BI2411">
        <v>2</v>
      </c>
      <c r="BJ2411">
        <v>1.1000000000000001</v>
      </c>
      <c r="BK2411">
        <v>2</v>
      </c>
      <c r="BL2411">
        <v>71.69</v>
      </c>
      <c r="BM2411">
        <v>10.75</v>
      </c>
      <c r="BN2411">
        <v>82.44</v>
      </c>
      <c r="BO2411">
        <v>82.44</v>
      </c>
      <c r="BQ2411" t="s">
        <v>812</v>
      </c>
      <c r="BR2411" t="s">
        <v>84</v>
      </c>
      <c r="BS2411" s="3">
        <v>45887</v>
      </c>
      <c r="BT2411" s="4">
        <v>0.42083333333333334</v>
      </c>
      <c r="BU2411" t="s">
        <v>2770</v>
      </c>
      <c r="BV2411" t="s">
        <v>86</v>
      </c>
      <c r="BY2411">
        <v>5320</v>
      </c>
      <c r="CA2411" t="s">
        <v>814</v>
      </c>
      <c r="CC2411" t="s">
        <v>163</v>
      </c>
      <c r="CD2411">
        <v>3201</v>
      </c>
      <c r="CE2411" t="s">
        <v>147</v>
      </c>
      <c r="CF2411" s="3">
        <v>45888</v>
      </c>
      <c r="CI2411">
        <v>1</v>
      </c>
      <c r="CJ2411">
        <v>1</v>
      </c>
      <c r="CK2411">
        <v>21</v>
      </c>
      <c r="CL2411" t="s">
        <v>90</v>
      </c>
    </row>
    <row r="2412" spans="1:90" x14ac:dyDescent="0.3">
      <c r="A2412" t="s">
        <v>72</v>
      </c>
      <c r="B2412" t="s">
        <v>73</v>
      </c>
      <c r="C2412" t="s">
        <v>74</v>
      </c>
      <c r="E2412" t="str">
        <f>"080067267454"</f>
        <v>080067267454</v>
      </c>
      <c r="F2412" s="3">
        <v>45884</v>
      </c>
      <c r="G2412">
        <v>202605</v>
      </c>
      <c r="H2412" t="s">
        <v>75</v>
      </c>
      <c r="I2412" t="s">
        <v>76</v>
      </c>
      <c r="J2412" t="s">
        <v>77</v>
      </c>
      <c r="K2412" t="s">
        <v>78</v>
      </c>
      <c r="L2412" t="s">
        <v>123</v>
      </c>
      <c r="M2412" t="s">
        <v>124</v>
      </c>
      <c r="N2412" t="s">
        <v>1321</v>
      </c>
      <c r="O2412" t="s">
        <v>82</v>
      </c>
      <c r="P2412" t="str">
        <f>"4170055186                    "</f>
        <v xml:space="preserve">4170055186                    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0</v>
      </c>
      <c r="AI2412">
        <v>0</v>
      </c>
      <c r="AJ2412">
        <v>0</v>
      </c>
      <c r="AK2412">
        <v>0</v>
      </c>
      <c r="AL2412">
        <v>0</v>
      </c>
      <c r="AM2412">
        <v>0</v>
      </c>
      <c r="AN2412">
        <v>0</v>
      </c>
      <c r="AO2412">
        <v>0</v>
      </c>
      <c r="AP2412">
        <v>0</v>
      </c>
      <c r="AQ2412">
        <v>23.09</v>
      </c>
      <c r="AR2412">
        <v>0</v>
      </c>
      <c r="AS2412">
        <v>0</v>
      </c>
      <c r="AT2412">
        <v>0</v>
      </c>
      <c r="AU2412">
        <v>0</v>
      </c>
      <c r="AV2412">
        <v>0</v>
      </c>
      <c r="AW2412">
        <v>0</v>
      </c>
      <c r="AX2412">
        <v>0</v>
      </c>
      <c r="AY2412">
        <v>0</v>
      </c>
      <c r="AZ2412">
        <v>0</v>
      </c>
      <c r="BA2412">
        <v>0</v>
      </c>
      <c r="BB2412">
        <v>0</v>
      </c>
      <c r="BC2412">
        <v>0</v>
      </c>
      <c r="BD2412">
        <v>0</v>
      </c>
      <c r="BE2412">
        <v>0</v>
      </c>
      <c r="BF2412">
        <v>0</v>
      </c>
      <c r="BG2412">
        <v>0</v>
      </c>
      <c r="BH2412">
        <v>1</v>
      </c>
      <c r="BI2412">
        <v>1</v>
      </c>
      <c r="BJ2412">
        <v>1.1000000000000001</v>
      </c>
      <c r="BK2412">
        <v>1.5</v>
      </c>
      <c r="BL2412">
        <v>71.69</v>
      </c>
      <c r="BM2412">
        <v>10.75</v>
      </c>
      <c r="BN2412">
        <v>82.44</v>
      </c>
      <c r="BO2412">
        <v>82.44</v>
      </c>
      <c r="BQ2412" t="s">
        <v>1322</v>
      </c>
      <c r="BR2412" t="s">
        <v>84</v>
      </c>
      <c r="BS2412" s="3">
        <v>45887</v>
      </c>
      <c r="BT2412" s="4">
        <v>0.34305555555555556</v>
      </c>
      <c r="BU2412" t="s">
        <v>1323</v>
      </c>
      <c r="BV2412" t="s">
        <v>86</v>
      </c>
      <c r="BY2412">
        <v>5320</v>
      </c>
      <c r="CA2412" t="s">
        <v>128</v>
      </c>
      <c r="CC2412" t="s">
        <v>124</v>
      </c>
      <c r="CD2412">
        <v>7530</v>
      </c>
      <c r="CE2412" t="s">
        <v>147</v>
      </c>
      <c r="CI2412">
        <v>1</v>
      </c>
      <c r="CJ2412">
        <v>1</v>
      </c>
      <c r="CK2412">
        <v>21</v>
      </c>
      <c r="CL2412" t="s">
        <v>90</v>
      </c>
    </row>
    <row r="2413" spans="1:90" x14ac:dyDescent="0.3">
      <c r="A2413" t="s">
        <v>72</v>
      </c>
      <c r="B2413" t="s">
        <v>73</v>
      </c>
      <c r="C2413" t="s">
        <v>74</v>
      </c>
      <c r="E2413" t="str">
        <f>"080067267477"</f>
        <v>080067267477</v>
      </c>
      <c r="F2413" s="3">
        <v>45884</v>
      </c>
      <c r="G2413">
        <v>202605</v>
      </c>
      <c r="H2413" t="s">
        <v>75</v>
      </c>
      <c r="I2413" t="s">
        <v>76</v>
      </c>
      <c r="J2413" t="s">
        <v>77</v>
      </c>
      <c r="K2413" t="s">
        <v>78</v>
      </c>
      <c r="L2413" t="s">
        <v>217</v>
      </c>
      <c r="M2413" t="s">
        <v>218</v>
      </c>
      <c r="N2413" t="s">
        <v>422</v>
      </c>
      <c r="O2413" t="s">
        <v>95</v>
      </c>
      <c r="P2413" t="str">
        <f>"4170055158                    "</f>
        <v xml:space="preserve">4170055158                    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0</v>
      </c>
      <c r="AI2413">
        <v>0</v>
      </c>
      <c r="AJ2413"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>
        <v>0</v>
      </c>
      <c r="AQ2413">
        <v>85.19</v>
      </c>
      <c r="AR2413">
        <v>0</v>
      </c>
      <c r="AS2413">
        <v>0</v>
      </c>
      <c r="AT2413">
        <v>0</v>
      </c>
      <c r="AU2413">
        <v>0</v>
      </c>
      <c r="AV2413">
        <v>0</v>
      </c>
      <c r="AW2413">
        <v>0</v>
      </c>
      <c r="AX2413">
        <v>0</v>
      </c>
      <c r="AY2413">
        <v>0</v>
      </c>
      <c r="AZ2413">
        <v>0</v>
      </c>
      <c r="BA2413">
        <v>0</v>
      </c>
      <c r="BB2413">
        <v>0</v>
      </c>
      <c r="BC2413">
        <v>0</v>
      </c>
      <c r="BD2413">
        <v>0</v>
      </c>
      <c r="BE2413">
        <v>0</v>
      </c>
      <c r="BF2413">
        <v>0</v>
      </c>
      <c r="BG2413">
        <v>0</v>
      </c>
      <c r="BH2413">
        <v>2</v>
      </c>
      <c r="BI2413">
        <v>26</v>
      </c>
      <c r="BJ2413">
        <v>36.5</v>
      </c>
      <c r="BK2413">
        <v>37</v>
      </c>
      <c r="BL2413">
        <v>270.39999999999998</v>
      </c>
      <c r="BM2413">
        <v>40.56</v>
      </c>
      <c r="BN2413">
        <v>310.95999999999998</v>
      </c>
      <c r="BO2413">
        <v>310.95999999999998</v>
      </c>
      <c r="BQ2413" t="s">
        <v>423</v>
      </c>
      <c r="BR2413" t="s">
        <v>84</v>
      </c>
      <c r="BS2413" s="3">
        <v>45887</v>
      </c>
      <c r="BT2413" s="4">
        <v>0.39374999999999999</v>
      </c>
      <c r="BU2413" t="s">
        <v>2231</v>
      </c>
      <c r="BV2413" t="s">
        <v>86</v>
      </c>
      <c r="BY2413">
        <v>182528</v>
      </c>
      <c r="CA2413" t="s">
        <v>425</v>
      </c>
      <c r="CC2413" t="s">
        <v>218</v>
      </c>
      <c r="CD2413">
        <v>4001</v>
      </c>
      <c r="CE2413" t="s">
        <v>147</v>
      </c>
      <c r="CF2413" s="3">
        <v>45887</v>
      </c>
      <c r="CI2413">
        <v>1</v>
      </c>
      <c r="CJ2413">
        <v>1</v>
      </c>
      <c r="CK2413">
        <v>41</v>
      </c>
      <c r="CL2413" t="s">
        <v>90</v>
      </c>
    </row>
    <row r="2414" spans="1:90" x14ac:dyDescent="0.3">
      <c r="A2414" t="s">
        <v>72</v>
      </c>
      <c r="B2414" t="s">
        <v>73</v>
      </c>
      <c r="C2414" t="s">
        <v>74</v>
      </c>
      <c r="E2414" t="str">
        <f>"080067288642"</f>
        <v>080067288642</v>
      </c>
      <c r="F2414" s="3">
        <v>45887</v>
      </c>
      <c r="G2414">
        <v>202605</v>
      </c>
      <c r="H2414" t="s">
        <v>75</v>
      </c>
      <c r="I2414" t="s">
        <v>76</v>
      </c>
      <c r="J2414" t="s">
        <v>77</v>
      </c>
      <c r="K2414" t="s">
        <v>78</v>
      </c>
      <c r="L2414" t="s">
        <v>137</v>
      </c>
      <c r="M2414" t="s">
        <v>138</v>
      </c>
      <c r="N2414" t="s">
        <v>1717</v>
      </c>
      <c r="O2414" t="s">
        <v>82</v>
      </c>
      <c r="P2414" t="str">
        <f>"4170055209                    "</f>
        <v xml:space="preserve">4170055209                    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0</v>
      </c>
      <c r="AI2414">
        <v>0</v>
      </c>
      <c r="AJ2414">
        <v>0</v>
      </c>
      <c r="AK2414">
        <v>0</v>
      </c>
      <c r="AL2414">
        <v>0</v>
      </c>
      <c r="AM2414">
        <v>0</v>
      </c>
      <c r="AN2414">
        <v>0</v>
      </c>
      <c r="AO2414">
        <v>0</v>
      </c>
      <c r="AP2414">
        <v>0</v>
      </c>
      <c r="AQ2414">
        <v>23.09</v>
      </c>
      <c r="AR2414">
        <v>0</v>
      </c>
      <c r="AS2414">
        <v>0</v>
      </c>
      <c r="AT2414">
        <v>0</v>
      </c>
      <c r="AU2414">
        <v>0</v>
      </c>
      <c r="AV2414">
        <v>0</v>
      </c>
      <c r="AW2414">
        <v>0</v>
      </c>
      <c r="AX2414">
        <v>0</v>
      </c>
      <c r="AY2414">
        <v>0</v>
      </c>
      <c r="AZ2414">
        <v>0</v>
      </c>
      <c r="BA2414">
        <v>0</v>
      </c>
      <c r="BB2414">
        <v>0</v>
      </c>
      <c r="BC2414">
        <v>0</v>
      </c>
      <c r="BD2414">
        <v>0</v>
      </c>
      <c r="BE2414">
        <v>0</v>
      </c>
      <c r="BF2414">
        <v>0</v>
      </c>
      <c r="BG2414">
        <v>0</v>
      </c>
      <c r="BH2414">
        <v>1</v>
      </c>
      <c r="BI2414">
        <v>1</v>
      </c>
      <c r="BJ2414">
        <v>0.2</v>
      </c>
      <c r="BK2414">
        <v>1</v>
      </c>
      <c r="BL2414">
        <v>71.69</v>
      </c>
      <c r="BM2414">
        <v>10.75</v>
      </c>
      <c r="BN2414">
        <v>82.44</v>
      </c>
      <c r="BO2414">
        <v>82.44</v>
      </c>
      <c r="BQ2414" t="s">
        <v>1718</v>
      </c>
      <c r="BR2414" t="s">
        <v>84</v>
      </c>
      <c r="BS2414" t="s">
        <v>96</v>
      </c>
      <c r="BY2414">
        <v>1200</v>
      </c>
      <c r="CC2414" t="s">
        <v>138</v>
      </c>
      <c r="CD2414">
        <v>3610</v>
      </c>
      <c r="CE2414" t="s">
        <v>109</v>
      </c>
      <c r="CI2414">
        <v>1</v>
      </c>
      <c r="CJ2414" t="s">
        <v>96</v>
      </c>
      <c r="CK2414">
        <v>21</v>
      </c>
      <c r="CL2414" t="s">
        <v>90</v>
      </c>
    </row>
    <row r="2415" spans="1:90" x14ac:dyDescent="0.3">
      <c r="A2415" t="s">
        <v>72</v>
      </c>
      <c r="B2415" t="s">
        <v>73</v>
      </c>
      <c r="C2415" t="s">
        <v>74</v>
      </c>
      <c r="E2415" t="str">
        <f>"080067288653"</f>
        <v>080067288653</v>
      </c>
      <c r="F2415" s="3">
        <v>45887</v>
      </c>
      <c r="G2415">
        <v>202605</v>
      </c>
      <c r="H2415" t="s">
        <v>75</v>
      </c>
      <c r="I2415" t="s">
        <v>76</v>
      </c>
      <c r="J2415" t="s">
        <v>77</v>
      </c>
      <c r="K2415" t="s">
        <v>78</v>
      </c>
      <c r="L2415" t="s">
        <v>75</v>
      </c>
      <c r="M2415" t="s">
        <v>76</v>
      </c>
      <c r="N2415" t="s">
        <v>537</v>
      </c>
      <c r="O2415" t="s">
        <v>82</v>
      </c>
      <c r="P2415" t="str">
        <f>"4170055219                    "</f>
        <v xml:space="preserve">4170055219                    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0</v>
      </c>
      <c r="AI2415">
        <v>0</v>
      </c>
      <c r="AJ2415">
        <v>0</v>
      </c>
      <c r="AK2415">
        <v>0</v>
      </c>
      <c r="AL2415">
        <v>0</v>
      </c>
      <c r="AM2415">
        <v>0</v>
      </c>
      <c r="AN2415">
        <v>0</v>
      </c>
      <c r="AO2415">
        <v>0</v>
      </c>
      <c r="AP2415">
        <v>0</v>
      </c>
      <c r="AQ2415">
        <v>18.03</v>
      </c>
      <c r="AR2415">
        <v>0</v>
      </c>
      <c r="AS2415">
        <v>0</v>
      </c>
      <c r="AT2415">
        <v>0</v>
      </c>
      <c r="AU2415">
        <v>0</v>
      </c>
      <c r="AV2415">
        <v>0</v>
      </c>
      <c r="AW2415">
        <v>0</v>
      </c>
      <c r="AX2415">
        <v>0</v>
      </c>
      <c r="AY2415">
        <v>0</v>
      </c>
      <c r="AZ2415">
        <v>0</v>
      </c>
      <c r="BA2415">
        <v>0</v>
      </c>
      <c r="BB2415">
        <v>0</v>
      </c>
      <c r="BC2415">
        <v>0</v>
      </c>
      <c r="BD2415">
        <v>0</v>
      </c>
      <c r="BE2415">
        <v>0</v>
      </c>
      <c r="BF2415">
        <v>0</v>
      </c>
      <c r="BG2415">
        <v>0</v>
      </c>
      <c r="BH2415">
        <v>1</v>
      </c>
      <c r="BI2415">
        <v>1</v>
      </c>
      <c r="BJ2415">
        <v>0.2</v>
      </c>
      <c r="BK2415">
        <v>1</v>
      </c>
      <c r="BL2415">
        <v>55.99</v>
      </c>
      <c r="BM2415">
        <v>8.4</v>
      </c>
      <c r="BN2415">
        <v>64.39</v>
      </c>
      <c r="BO2415">
        <v>64.39</v>
      </c>
      <c r="BQ2415" t="s">
        <v>538</v>
      </c>
      <c r="BR2415" t="s">
        <v>84</v>
      </c>
      <c r="BS2415" t="s">
        <v>96</v>
      </c>
      <c r="BY2415">
        <v>1200</v>
      </c>
      <c r="CC2415" t="s">
        <v>76</v>
      </c>
      <c r="CD2415">
        <v>1619</v>
      </c>
      <c r="CE2415" t="s">
        <v>109</v>
      </c>
      <c r="CI2415">
        <v>1</v>
      </c>
      <c r="CJ2415" t="s">
        <v>96</v>
      </c>
      <c r="CK2415">
        <v>22</v>
      </c>
      <c r="CL2415" t="s">
        <v>90</v>
      </c>
    </row>
    <row r="2416" spans="1:90" x14ac:dyDescent="0.3">
      <c r="A2416" t="s">
        <v>72</v>
      </c>
      <c r="B2416" t="s">
        <v>73</v>
      </c>
      <c r="C2416" t="s">
        <v>74</v>
      </c>
      <c r="E2416" t="str">
        <f>"080067288745"</f>
        <v>080067288745</v>
      </c>
      <c r="F2416" s="3">
        <v>45887</v>
      </c>
      <c r="G2416">
        <v>202605</v>
      </c>
      <c r="H2416" t="s">
        <v>75</v>
      </c>
      <c r="I2416" t="s">
        <v>76</v>
      </c>
      <c r="J2416" t="s">
        <v>77</v>
      </c>
      <c r="K2416" t="s">
        <v>78</v>
      </c>
      <c r="L2416" t="s">
        <v>137</v>
      </c>
      <c r="M2416" t="s">
        <v>138</v>
      </c>
      <c r="N2416" t="s">
        <v>1239</v>
      </c>
      <c r="O2416" t="s">
        <v>82</v>
      </c>
      <c r="P2416" t="str">
        <f>"4170055236                    "</f>
        <v xml:space="preserve">4170055236                    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0</v>
      </c>
      <c r="AI2416">
        <v>0</v>
      </c>
      <c r="AJ2416">
        <v>0</v>
      </c>
      <c r="AK2416">
        <v>0</v>
      </c>
      <c r="AL2416">
        <v>0</v>
      </c>
      <c r="AM2416">
        <v>0</v>
      </c>
      <c r="AN2416">
        <v>0</v>
      </c>
      <c r="AO2416">
        <v>0</v>
      </c>
      <c r="AP2416">
        <v>0</v>
      </c>
      <c r="AQ2416">
        <v>23.09</v>
      </c>
      <c r="AR2416">
        <v>0</v>
      </c>
      <c r="AS2416">
        <v>0</v>
      </c>
      <c r="AT2416">
        <v>0</v>
      </c>
      <c r="AU2416">
        <v>0</v>
      </c>
      <c r="AV2416">
        <v>0</v>
      </c>
      <c r="AW2416">
        <v>0</v>
      </c>
      <c r="AX2416">
        <v>0</v>
      </c>
      <c r="AY2416">
        <v>0</v>
      </c>
      <c r="AZ2416">
        <v>0</v>
      </c>
      <c r="BA2416">
        <v>0</v>
      </c>
      <c r="BB2416">
        <v>0</v>
      </c>
      <c r="BC2416">
        <v>0</v>
      </c>
      <c r="BD2416">
        <v>0</v>
      </c>
      <c r="BE2416">
        <v>0</v>
      </c>
      <c r="BF2416">
        <v>0</v>
      </c>
      <c r="BG2416">
        <v>0</v>
      </c>
      <c r="BH2416">
        <v>1</v>
      </c>
      <c r="BI2416">
        <v>1</v>
      </c>
      <c r="BJ2416">
        <v>0.2</v>
      </c>
      <c r="BK2416">
        <v>1</v>
      </c>
      <c r="BL2416">
        <v>71.69</v>
      </c>
      <c r="BM2416">
        <v>10.75</v>
      </c>
      <c r="BN2416">
        <v>82.44</v>
      </c>
      <c r="BO2416">
        <v>82.44</v>
      </c>
      <c r="BQ2416" t="s">
        <v>1240</v>
      </c>
      <c r="BR2416" t="s">
        <v>84</v>
      </c>
      <c r="BS2416" s="3">
        <v>45888</v>
      </c>
      <c r="BT2416" s="4">
        <v>0.39791666666666664</v>
      </c>
      <c r="BU2416" t="s">
        <v>1605</v>
      </c>
      <c r="BV2416" t="s">
        <v>86</v>
      </c>
      <c r="BY2416">
        <v>1200</v>
      </c>
      <c r="CA2416" t="s">
        <v>953</v>
      </c>
      <c r="CC2416" t="s">
        <v>138</v>
      </c>
      <c r="CD2416">
        <v>3610</v>
      </c>
      <c r="CE2416" t="s">
        <v>109</v>
      </c>
      <c r="CI2416">
        <v>1</v>
      </c>
      <c r="CJ2416">
        <v>1</v>
      </c>
      <c r="CK2416">
        <v>21</v>
      </c>
      <c r="CL2416" t="s">
        <v>90</v>
      </c>
    </row>
    <row r="2417" spans="1:90" x14ac:dyDescent="0.3">
      <c r="A2417" t="s">
        <v>72</v>
      </c>
      <c r="B2417" t="s">
        <v>73</v>
      </c>
      <c r="C2417" t="s">
        <v>74</v>
      </c>
      <c r="E2417" t="str">
        <f>"080067288772"</f>
        <v>080067288772</v>
      </c>
      <c r="F2417" s="3">
        <v>45887</v>
      </c>
      <c r="G2417">
        <v>202605</v>
      </c>
      <c r="H2417" t="s">
        <v>75</v>
      </c>
      <c r="I2417" t="s">
        <v>76</v>
      </c>
      <c r="J2417" t="s">
        <v>77</v>
      </c>
      <c r="K2417" t="s">
        <v>78</v>
      </c>
      <c r="L2417" t="s">
        <v>162</v>
      </c>
      <c r="M2417" t="s">
        <v>163</v>
      </c>
      <c r="N2417" t="s">
        <v>246</v>
      </c>
      <c r="O2417" t="s">
        <v>82</v>
      </c>
      <c r="P2417" t="str">
        <f>"4170055249                    "</f>
        <v xml:space="preserve">4170055249                    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0</v>
      </c>
      <c r="AM2417">
        <v>0</v>
      </c>
      <c r="AN2417">
        <v>0</v>
      </c>
      <c r="AO2417">
        <v>0</v>
      </c>
      <c r="AP2417">
        <v>0</v>
      </c>
      <c r="AQ2417">
        <v>23.09</v>
      </c>
      <c r="AR2417">
        <v>0</v>
      </c>
      <c r="AS2417">
        <v>0</v>
      </c>
      <c r="AT2417">
        <v>0</v>
      </c>
      <c r="AU2417">
        <v>0</v>
      </c>
      <c r="AV2417">
        <v>0</v>
      </c>
      <c r="AW2417">
        <v>0</v>
      </c>
      <c r="AX2417">
        <v>0</v>
      </c>
      <c r="AY2417">
        <v>0</v>
      </c>
      <c r="AZ2417">
        <v>0</v>
      </c>
      <c r="BA2417">
        <v>0</v>
      </c>
      <c r="BB2417">
        <v>0</v>
      </c>
      <c r="BC2417">
        <v>0</v>
      </c>
      <c r="BD2417">
        <v>0</v>
      </c>
      <c r="BE2417">
        <v>0</v>
      </c>
      <c r="BF2417">
        <v>0</v>
      </c>
      <c r="BG2417">
        <v>0</v>
      </c>
      <c r="BH2417">
        <v>1</v>
      </c>
      <c r="BI2417">
        <v>1</v>
      </c>
      <c r="BJ2417">
        <v>0.2</v>
      </c>
      <c r="BK2417">
        <v>1</v>
      </c>
      <c r="BL2417">
        <v>71.69</v>
      </c>
      <c r="BM2417">
        <v>10.75</v>
      </c>
      <c r="BN2417">
        <v>82.44</v>
      </c>
      <c r="BO2417">
        <v>82.44</v>
      </c>
      <c r="BQ2417" t="s">
        <v>247</v>
      </c>
      <c r="BR2417" t="s">
        <v>84</v>
      </c>
      <c r="BS2417" t="s">
        <v>96</v>
      </c>
      <c r="BY2417">
        <v>1200</v>
      </c>
      <c r="CC2417" t="s">
        <v>163</v>
      </c>
      <c r="CD2417">
        <v>3201</v>
      </c>
      <c r="CE2417" t="s">
        <v>109</v>
      </c>
      <c r="CI2417">
        <v>1</v>
      </c>
      <c r="CJ2417" t="s">
        <v>96</v>
      </c>
      <c r="CK2417">
        <v>21</v>
      </c>
      <c r="CL2417" t="s">
        <v>90</v>
      </c>
    </row>
    <row r="2418" spans="1:90" x14ac:dyDescent="0.3">
      <c r="A2418" t="s">
        <v>72</v>
      </c>
      <c r="B2418" t="s">
        <v>73</v>
      </c>
      <c r="C2418" t="s">
        <v>74</v>
      </c>
      <c r="E2418" t="str">
        <f>"080067288801"</f>
        <v>080067288801</v>
      </c>
      <c r="F2418" s="3">
        <v>45887</v>
      </c>
      <c r="G2418">
        <v>202605</v>
      </c>
      <c r="H2418" t="s">
        <v>75</v>
      </c>
      <c r="I2418" t="s">
        <v>76</v>
      </c>
      <c r="J2418" t="s">
        <v>77</v>
      </c>
      <c r="K2418" t="s">
        <v>78</v>
      </c>
      <c r="L2418" t="s">
        <v>162</v>
      </c>
      <c r="M2418" t="s">
        <v>163</v>
      </c>
      <c r="N2418" t="s">
        <v>1835</v>
      </c>
      <c r="O2418" t="s">
        <v>82</v>
      </c>
      <c r="P2418" t="str">
        <f>"4170055242                    "</f>
        <v xml:space="preserve">4170055242                    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0</v>
      </c>
      <c r="AI2418">
        <v>0</v>
      </c>
      <c r="AJ2418">
        <v>0</v>
      </c>
      <c r="AK2418">
        <v>0</v>
      </c>
      <c r="AL2418">
        <v>0</v>
      </c>
      <c r="AM2418">
        <v>0</v>
      </c>
      <c r="AN2418">
        <v>0</v>
      </c>
      <c r="AO2418">
        <v>0</v>
      </c>
      <c r="AP2418">
        <v>0</v>
      </c>
      <c r="AQ2418">
        <v>23.09</v>
      </c>
      <c r="AR2418">
        <v>0</v>
      </c>
      <c r="AS2418">
        <v>0</v>
      </c>
      <c r="AT2418">
        <v>0</v>
      </c>
      <c r="AU2418">
        <v>0</v>
      </c>
      <c r="AV2418">
        <v>0</v>
      </c>
      <c r="AW2418">
        <v>0</v>
      </c>
      <c r="AX2418">
        <v>0</v>
      </c>
      <c r="AY2418">
        <v>0</v>
      </c>
      <c r="AZ2418">
        <v>0</v>
      </c>
      <c r="BA2418">
        <v>0</v>
      </c>
      <c r="BB2418">
        <v>0</v>
      </c>
      <c r="BC2418">
        <v>0</v>
      </c>
      <c r="BD2418">
        <v>0</v>
      </c>
      <c r="BE2418">
        <v>0</v>
      </c>
      <c r="BF2418">
        <v>0</v>
      </c>
      <c r="BG2418">
        <v>0</v>
      </c>
      <c r="BH2418">
        <v>1</v>
      </c>
      <c r="BI2418">
        <v>1</v>
      </c>
      <c r="BJ2418">
        <v>0.2</v>
      </c>
      <c r="BK2418">
        <v>1</v>
      </c>
      <c r="BL2418">
        <v>71.69</v>
      </c>
      <c r="BM2418">
        <v>10.75</v>
      </c>
      <c r="BN2418">
        <v>82.44</v>
      </c>
      <c r="BO2418">
        <v>82.44</v>
      </c>
      <c r="BQ2418" t="s">
        <v>1836</v>
      </c>
      <c r="BR2418" t="s">
        <v>84</v>
      </c>
      <c r="BS2418" t="s">
        <v>96</v>
      </c>
      <c r="BY2418">
        <v>1200</v>
      </c>
      <c r="CC2418" t="s">
        <v>163</v>
      </c>
      <c r="CD2418">
        <v>3201</v>
      </c>
      <c r="CE2418" t="s">
        <v>109</v>
      </c>
      <c r="CI2418">
        <v>1</v>
      </c>
      <c r="CJ2418" t="s">
        <v>96</v>
      </c>
      <c r="CK2418">
        <v>21</v>
      </c>
      <c r="CL2418" t="s">
        <v>90</v>
      </c>
    </row>
    <row r="2419" spans="1:90" x14ac:dyDescent="0.3">
      <c r="A2419" t="s">
        <v>72</v>
      </c>
      <c r="B2419" t="s">
        <v>73</v>
      </c>
      <c r="C2419" t="s">
        <v>74</v>
      </c>
      <c r="E2419" t="str">
        <f>"080067288857"</f>
        <v>080067288857</v>
      </c>
      <c r="F2419" s="3">
        <v>45887</v>
      </c>
      <c r="G2419">
        <v>202605</v>
      </c>
      <c r="H2419" t="s">
        <v>75</v>
      </c>
      <c r="I2419" t="s">
        <v>76</v>
      </c>
      <c r="J2419" t="s">
        <v>77</v>
      </c>
      <c r="K2419" t="s">
        <v>78</v>
      </c>
      <c r="L2419" t="s">
        <v>291</v>
      </c>
      <c r="M2419" t="s">
        <v>292</v>
      </c>
      <c r="N2419" t="s">
        <v>2501</v>
      </c>
      <c r="O2419" t="s">
        <v>82</v>
      </c>
      <c r="P2419" t="str">
        <f>"4170055225                    "</f>
        <v xml:space="preserve">4170055225                    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0</v>
      </c>
      <c r="AI2419">
        <v>0</v>
      </c>
      <c r="AJ2419">
        <v>0</v>
      </c>
      <c r="AK2419">
        <v>0</v>
      </c>
      <c r="AL2419">
        <v>0</v>
      </c>
      <c r="AM2419">
        <v>0</v>
      </c>
      <c r="AN2419">
        <v>0</v>
      </c>
      <c r="AO2419">
        <v>0</v>
      </c>
      <c r="AP2419">
        <v>0</v>
      </c>
      <c r="AQ2419">
        <v>18.03</v>
      </c>
      <c r="AR2419">
        <v>0</v>
      </c>
      <c r="AS2419">
        <v>0</v>
      </c>
      <c r="AT2419">
        <v>0</v>
      </c>
      <c r="AU2419">
        <v>0</v>
      </c>
      <c r="AV2419">
        <v>0</v>
      </c>
      <c r="AW2419">
        <v>0</v>
      </c>
      <c r="AX2419">
        <v>0</v>
      </c>
      <c r="AY2419">
        <v>0</v>
      </c>
      <c r="AZ2419">
        <v>0</v>
      </c>
      <c r="BA2419">
        <v>0</v>
      </c>
      <c r="BB2419">
        <v>0</v>
      </c>
      <c r="BC2419">
        <v>0</v>
      </c>
      <c r="BD2419">
        <v>0</v>
      </c>
      <c r="BE2419">
        <v>0</v>
      </c>
      <c r="BF2419">
        <v>0</v>
      </c>
      <c r="BG2419">
        <v>0</v>
      </c>
      <c r="BH2419">
        <v>1</v>
      </c>
      <c r="BI2419">
        <v>1</v>
      </c>
      <c r="BJ2419">
        <v>0.2</v>
      </c>
      <c r="BK2419">
        <v>1</v>
      </c>
      <c r="BL2419">
        <v>55.99</v>
      </c>
      <c r="BM2419">
        <v>8.4</v>
      </c>
      <c r="BN2419">
        <v>64.39</v>
      </c>
      <c r="BO2419">
        <v>64.39</v>
      </c>
      <c r="BQ2419" t="s">
        <v>2502</v>
      </c>
      <c r="BR2419" t="s">
        <v>84</v>
      </c>
      <c r="BS2419" t="s">
        <v>96</v>
      </c>
      <c r="BY2419">
        <v>1200</v>
      </c>
      <c r="CC2419" t="s">
        <v>292</v>
      </c>
      <c r="CD2419">
        <v>1449</v>
      </c>
      <c r="CE2419" t="s">
        <v>109</v>
      </c>
      <c r="CI2419">
        <v>1</v>
      </c>
      <c r="CJ2419" t="s">
        <v>96</v>
      </c>
      <c r="CK2419">
        <v>22</v>
      </c>
      <c r="CL2419" t="s">
        <v>90</v>
      </c>
    </row>
    <row r="2420" spans="1:90" x14ac:dyDescent="0.3">
      <c r="A2420" t="s">
        <v>72</v>
      </c>
      <c r="B2420" t="s">
        <v>73</v>
      </c>
      <c r="C2420" t="s">
        <v>74</v>
      </c>
      <c r="E2420" t="str">
        <f>"080067288883"</f>
        <v>080067288883</v>
      </c>
      <c r="F2420" s="3">
        <v>45887</v>
      </c>
      <c r="G2420">
        <v>202605</v>
      </c>
      <c r="H2420" t="s">
        <v>75</v>
      </c>
      <c r="I2420" t="s">
        <v>76</v>
      </c>
      <c r="J2420" t="s">
        <v>77</v>
      </c>
      <c r="K2420" t="s">
        <v>78</v>
      </c>
      <c r="L2420" t="s">
        <v>223</v>
      </c>
      <c r="M2420" t="s">
        <v>224</v>
      </c>
      <c r="N2420" t="s">
        <v>225</v>
      </c>
      <c r="O2420" t="s">
        <v>95</v>
      </c>
      <c r="P2420" t="str">
        <f>"4170055244                    "</f>
        <v xml:space="preserve">4170055244                    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  <c r="AN2420">
        <v>0</v>
      </c>
      <c r="AO2420">
        <v>0</v>
      </c>
      <c r="AP2420">
        <v>0</v>
      </c>
      <c r="AQ2420">
        <v>254.74</v>
      </c>
      <c r="AR2420">
        <v>0</v>
      </c>
      <c r="AS2420">
        <v>0</v>
      </c>
      <c r="AT2420">
        <v>0</v>
      </c>
      <c r="AU2420">
        <v>0</v>
      </c>
      <c r="AV2420">
        <v>0</v>
      </c>
      <c r="AW2420">
        <v>0</v>
      </c>
      <c r="AX2420">
        <v>0</v>
      </c>
      <c r="AY2420">
        <v>0</v>
      </c>
      <c r="AZ2420">
        <v>0</v>
      </c>
      <c r="BA2420">
        <v>0</v>
      </c>
      <c r="BB2420">
        <v>0</v>
      </c>
      <c r="BC2420">
        <v>0</v>
      </c>
      <c r="BD2420">
        <v>0</v>
      </c>
      <c r="BE2420">
        <v>0</v>
      </c>
      <c r="BF2420">
        <v>0</v>
      </c>
      <c r="BG2420">
        <v>0</v>
      </c>
      <c r="BH2420">
        <v>1</v>
      </c>
      <c r="BI2420">
        <v>61</v>
      </c>
      <c r="BJ2420">
        <v>128.1</v>
      </c>
      <c r="BK2420">
        <v>129</v>
      </c>
      <c r="BL2420">
        <v>796.91</v>
      </c>
      <c r="BM2420">
        <v>119.54</v>
      </c>
      <c r="BN2420">
        <v>916.45</v>
      </c>
      <c r="BO2420">
        <v>916.45</v>
      </c>
      <c r="BQ2420" t="s">
        <v>226</v>
      </c>
      <c r="BR2420" t="s">
        <v>84</v>
      </c>
      <c r="BS2420" t="s">
        <v>96</v>
      </c>
      <c r="BY2420">
        <v>640256</v>
      </c>
      <c r="CC2420" t="s">
        <v>224</v>
      </c>
      <c r="CD2420">
        <v>5201</v>
      </c>
      <c r="CE2420" t="s">
        <v>708</v>
      </c>
      <c r="CI2420">
        <v>3</v>
      </c>
      <c r="CJ2420" t="s">
        <v>96</v>
      </c>
      <c r="CK2420">
        <v>41</v>
      </c>
      <c r="CL2420" t="s">
        <v>90</v>
      </c>
    </row>
    <row r="2421" spans="1:90" x14ac:dyDescent="0.3">
      <c r="A2421" t="s">
        <v>72</v>
      </c>
      <c r="B2421" t="s">
        <v>73</v>
      </c>
      <c r="C2421" t="s">
        <v>74</v>
      </c>
      <c r="E2421" t="str">
        <f>"080067288927"</f>
        <v>080067288927</v>
      </c>
      <c r="F2421" s="3">
        <v>45887</v>
      </c>
      <c r="G2421">
        <v>202605</v>
      </c>
      <c r="H2421" t="s">
        <v>75</v>
      </c>
      <c r="I2421" t="s">
        <v>76</v>
      </c>
      <c r="J2421" t="s">
        <v>77</v>
      </c>
      <c r="K2421" t="s">
        <v>78</v>
      </c>
      <c r="L2421" t="s">
        <v>278</v>
      </c>
      <c r="M2421" t="s">
        <v>279</v>
      </c>
      <c r="N2421" t="s">
        <v>285</v>
      </c>
      <c r="O2421" t="s">
        <v>82</v>
      </c>
      <c r="P2421" t="str">
        <f>"4170055205                    "</f>
        <v xml:space="preserve">4170055205                    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0</v>
      </c>
      <c r="AI2421">
        <v>0</v>
      </c>
      <c r="AJ2421">
        <v>0</v>
      </c>
      <c r="AK2421">
        <v>0</v>
      </c>
      <c r="AL2421">
        <v>0</v>
      </c>
      <c r="AM2421">
        <v>0</v>
      </c>
      <c r="AN2421">
        <v>0</v>
      </c>
      <c r="AO2421">
        <v>0</v>
      </c>
      <c r="AP2421">
        <v>0</v>
      </c>
      <c r="AQ2421">
        <v>23.09</v>
      </c>
      <c r="AR2421">
        <v>0</v>
      </c>
      <c r="AS2421">
        <v>0</v>
      </c>
      <c r="AT2421">
        <v>0</v>
      </c>
      <c r="AU2421">
        <v>0</v>
      </c>
      <c r="AV2421">
        <v>0</v>
      </c>
      <c r="AW2421">
        <v>0</v>
      </c>
      <c r="AX2421">
        <v>0</v>
      </c>
      <c r="AY2421">
        <v>0</v>
      </c>
      <c r="AZ2421">
        <v>0</v>
      </c>
      <c r="BA2421">
        <v>0</v>
      </c>
      <c r="BB2421">
        <v>0</v>
      </c>
      <c r="BC2421">
        <v>0</v>
      </c>
      <c r="BD2421">
        <v>0</v>
      </c>
      <c r="BE2421">
        <v>0</v>
      </c>
      <c r="BF2421">
        <v>0</v>
      </c>
      <c r="BG2421">
        <v>0</v>
      </c>
      <c r="BH2421">
        <v>1</v>
      </c>
      <c r="BI2421">
        <v>1</v>
      </c>
      <c r="BJ2421">
        <v>0.2</v>
      </c>
      <c r="BK2421">
        <v>1</v>
      </c>
      <c r="BL2421">
        <v>71.69</v>
      </c>
      <c r="BM2421">
        <v>10.75</v>
      </c>
      <c r="BN2421">
        <v>82.44</v>
      </c>
      <c r="BO2421">
        <v>82.44</v>
      </c>
      <c r="BQ2421" t="s">
        <v>286</v>
      </c>
      <c r="BR2421" t="s">
        <v>84</v>
      </c>
      <c r="BS2421" s="3">
        <v>45888</v>
      </c>
      <c r="BT2421" s="4">
        <v>0.36875000000000002</v>
      </c>
      <c r="BU2421" t="s">
        <v>647</v>
      </c>
      <c r="BV2421" t="s">
        <v>86</v>
      </c>
      <c r="BY2421">
        <v>1200</v>
      </c>
      <c r="CA2421" t="s">
        <v>288</v>
      </c>
      <c r="CC2421" t="s">
        <v>279</v>
      </c>
      <c r="CD2421" s="5" t="s">
        <v>289</v>
      </c>
      <c r="CE2421" t="s">
        <v>109</v>
      </c>
      <c r="CI2421">
        <v>1</v>
      </c>
      <c r="CJ2421">
        <v>1</v>
      </c>
      <c r="CK2421">
        <v>21</v>
      </c>
      <c r="CL2421" t="s">
        <v>90</v>
      </c>
    </row>
    <row r="2422" spans="1:90" x14ac:dyDescent="0.3">
      <c r="A2422" t="s">
        <v>72</v>
      </c>
      <c r="B2422" t="s">
        <v>73</v>
      </c>
      <c r="C2422" t="s">
        <v>74</v>
      </c>
      <c r="E2422" t="str">
        <f>"080067288939"</f>
        <v>080067288939</v>
      </c>
      <c r="F2422" s="3">
        <v>45887</v>
      </c>
      <c r="G2422">
        <v>202605</v>
      </c>
      <c r="H2422" t="s">
        <v>75</v>
      </c>
      <c r="I2422" t="s">
        <v>76</v>
      </c>
      <c r="J2422" t="s">
        <v>77</v>
      </c>
      <c r="K2422" t="s">
        <v>78</v>
      </c>
      <c r="L2422" t="s">
        <v>198</v>
      </c>
      <c r="M2422" t="s">
        <v>199</v>
      </c>
      <c r="N2422" t="s">
        <v>680</v>
      </c>
      <c r="O2422" t="s">
        <v>82</v>
      </c>
      <c r="P2422" t="str">
        <f>"4170055216                    "</f>
        <v xml:space="preserve">4170055216                    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0</v>
      </c>
      <c r="AI2422">
        <v>0</v>
      </c>
      <c r="AJ2422">
        <v>0</v>
      </c>
      <c r="AK2422">
        <v>0</v>
      </c>
      <c r="AL2422">
        <v>0</v>
      </c>
      <c r="AM2422">
        <v>0</v>
      </c>
      <c r="AN2422">
        <v>0</v>
      </c>
      <c r="AO2422">
        <v>0</v>
      </c>
      <c r="AP2422">
        <v>0</v>
      </c>
      <c r="AQ2422">
        <v>23.09</v>
      </c>
      <c r="AR2422">
        <v>0</v>
      </c>
      <c r="AS2422">
        <v>0</v>
      </c>
      <c r="AT2422">
        <v>0</v>
      </c>
      <c r="AU2422">
        <v>0</v>
      </c>
      <c r="AV2422">
        <v>0</v>
      </c>
      <c r="AW2422">
        <v>0</v>
      </c>
      <c r="AX2422">
        <v>0</v>
      </c>
      <c r="AY2422">
        <v>0</v>
      </c>
      <c r="AZ2422">
        <v>0</v>
      </c>
      <c r="BA2422">
        <v>0</v>
      </c>
      <c r="BB2422">
        <v>0</v>
      </c>
      <c r="BC2422">
        <v>0</v>
      </c>
      <c r="BD2422">
        <v>0</v>
      </c>
      <c r="BE2422">
        <v>0</v>
      </c>
      <c r="BF2422">
        <v>0</v>
      </c>
      <c r="BG2422">
        <v>0</v>
      </c>
      <c r="BH2422">
        <v>1</v>
      </c>
      <c r="BI2422">
        <v>1</v>
      </c>
      <c r="BJ2422">
        <v>0.2</v>
      </c>
      <c r="BK2422">
        <v>1</v>
      </c>
      <c r="BL2422">
        <v>71.69</v>
      </c>
      <c r="BM2422">
        <v>10.75</v>
      </c>
      <c r="BN2422">
        <v>82.44</v>
      </c>
      <c r="BO2422">
        <v>82.44</v>
      </c>
      <c r="BQ2422" t="s">
        <v>681</v>
      </c>
      <c r="BR2422" t="s">
        <v>84</v>
      </c>
      <c r="BS2422" s="3">
        <v>45888</v>
      </c>
      <c r="BT2422" s="4">
        <v>0.38472222222222224</v>
      </c>
      <c r="BU2422" t="s">
        <v>2644</v>
      </c>
      <c r="BV2422" t="s">
        <v>86</v>
      </c>
      <c r="BY2422">
        <v>1200</v>
      </c>
      <c r="CA2422" t="s">
        <v>413</v>
      </c>
      <c r="CC2422" t="s">
        <v>199</v>
      </c>
      <c r="CD2422">
        <v>6001</v>
      </c>
      <c r="CE2422" t="s">
        <v>109</v>
      </c>
      <c r="CI2422">
        <v>1</v>
      </c>
      <c r="CJ2422">
        <v>1</v>
      </c>
      <c r="CK2422">
        <v>21</v>
      </c>
      <c r="CL2422" t="s">
        <v>90</v>
      </c>
    </row>
    <row r="2423" spans="1:90" x14ac:dyDescent="0.3">
      <c r="A2423" t="s">
        <v>72</v>
      </c>
      <c r="B2423" t="s">
        <v>73</v>
      </c>
      <c r="C2423" t="s">
        <v>74</v>
      </c>
      <c r="E2423" t="str">
        <f>"080067288968"</f>
        <v>080067288968</v>
      </c>
      <c r="F2423" s="3">
        <v>45887</v>
      </c>
      <c r="G2423">
        <v>202605</v>
      </c>
      <c r="H2423" t="s">
        <v>75</v>
      </c>
      <c r="I2423" t="s">
        <v>76</v>
      </c>
      <c r="J2423" t="s">
        <v>77</v>
      </c>
      <c r="K2423" t="s">
        <v>78</v>
      </c>
      <c r="L2423" t="s">
        <v>391</v>
      </c>
      <c r="M2423" t="s">
        <v>392</v>
      </c>
      <c r="N2423" t="s">
        <v>393</v>
      </c>
      <c r="O2423" t="s">
        <v>82</v>
      </c>
      <c r="P2423" t="str">
        <f>"4170055210                    "</f>
        <v xml:space="preserve">4170055210                    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0</v>
      </c>
      <c r="AL2423">
        <v>0</v>
      </c>
      <c r="AM2423">
        <v>0</v>
      </c>
      <c r="AN2423">
        <v>0</v>
      </c>
      <c r="AO2423">
        <v>0</v>
      </c>
      <c r="AP2423">
        <v>0</v>
      </c>
      <c r="AQ2423">
        <v>44.73</v>
      </c>
      <c r="AR2423">
        <v>0</v>
      </c>
      <c r="AS2423">
        <v>0</v>
      </c>
      <c r="AT2423">
        <v>0</v>
      </c>
      <c r="AU2423">
        <v>0</v>
      </c>
      <c r="AV2423">
        <v>0</v>
      </c>
      <c r="AW2423">
        <v>0</v>
      </c>
      <c r="AX2423">
        <v>0</v>
      </c>
      <c r="AY2423">
        <v>0</v>
      </c>
      <c r="AZ2423">
        <v>0</v>
      </c>
      <c r="BA2423">
        <v>0</v>
      </c>
      <c r="BB2423">
        <v>0</v>
      </c>
      <c r="BC2423">
        <v>0</v>
      </c>
      <c r="BD2423">
        <v>0</v>
      </c>
      <c r="BE2423">
        <v>0</v>
      </c>
      <c r="BF2423">
        <v>0</v>
      </c>
      <c r="BG2423">
        <v>0</v>
      </c>
      <c r="BH2423">
        <v>1</v>
      </c>
      <c r="BI2423">
        <v>1</v>
      </c>
      <c r="BJ2423">
        <v>0.2</v>
      </c>
      <c r="BK2423">
        <v>1</v>
      </c>
      <c r="BL2423">
        <v>138.88999999999999</v>
      </c>
      <c r="BM2423">
        <v>20.83</v>
      </c>
      <c r="BN2423">
        <v>159.72</v>
      </c>
      <c r="BO2423">
        <v>159.72</v>
      </c>
      <c r="BQ2423" t="s">
        <v>394</v>
      </c>
      <c r="BR2423" t="s">
        <v>84</v>
      </c>
      <c r="BS2423" t="s">
        <v>96</v>
      </c>
      <c r="BY2423">
        <v>1200</v>
      </c>
      <c r="CC2423" t="s">
        <v>392</v>
      </c>
      <c r="CD2423">
        <v>6715</v>
      </c>
      <c r="CE2423" t="s">
        <v>109</v>
      </c>
      <c r="CI2423">
        <v>2</v>
      </c>
      <c r="CJ2423" t="s">
        <v>96</v>
      </c>
      <c r="CK2423">
        <v>23</v>
      </c>
      <c r="CL2423" t="s">
        <v>90</v>
      </c>
    </row>
    <row r="2424" spans="1:90" x14ac:dyDescent="0.3">
      <c r="A2424" t="s">
        <v>72</v>
      </c>
      <c r="B2424" t="s">
        <v>73</v>
      </c>
      <c r="C2424" t="s">
        <v>74</v>
      </c>
      <c r="E2424" t="str">
        <f>"080067289001"</f>
        <v>080067289001</v>
      </c>
      <c r="F2424" s="3">
        <v>45887</v>
      </c>
      <c r="G2424">
        <v>202605</v>
      </c>
      <c r="H2424" t="s">
        <v>75</v>
      </c>
      <c r="I2424" t="s">
        <v>76</v>
      </c>
      <c r="J2424" t="s">
        <v>77</v>
      </c>
      <c r="K2424" t="s">
        <v>78</v>
      </c>
      <c r="L2424" t="s">
        <v>137</v>
      </c>
      <c r="M2424" t="s">
        <v>138</v>
      </c>
      <c r="N2424" t="s">
        <v>731</v>
      </c>
      <c r="O2424" t="s">
        <v>82</v>
      </c>
      <c r="P2424" t="str">
        <f>"4170055224                    "</f>
        <v xml:space="preserve">4170055224                    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0</v>
      </c>
      <c r="AL2424">
        <v>0</v>
      </c>
      <c r="AM2424">
        <v>0</v>
      </c>
      <c r="AN2424">
        <v>0</v>
      </c>
      <c r="AO2424">
        <v>0</v>
      </c>
      <c r="AP2424">
        <v>0</v>
      </c>
      <c r="AQ2424">
        <v>23.09</v>
      </c>
      <c r="AR2424">
        <v>0</v>
      </c>
      <c r="AS2424">
        <v>0</v>
      </c>
      <c r="AT2424">
        <v>0</v>
      </c>
      <c r="AU2424">
        <v>0</v>
      </c>
      <c r="AV2424">
        <v>0</v>
      </c>
      <c r="AW2424">
        <v>0</v>
      </c>
      <c r="AX2424">
        <v>0</v>
      </c>
      <c r="AY2424">
        <v>0</v>
      </c>
      <c r="AZ2424">
        <v>0</v>
      </c>
      <c r="BA2424">
        <v>0</v>
      </c>
      <c r="BB2424">
        <v>0</v>
      </c>
      <c r="BC2424">
        <v>0</v>
      </c>
      <c r="BD2424">
        <v>0</v>
      </c>
      <c r="BE2424">
        <v>0</v>
      </c>
      <c r="BF2424">
        <v>0</v>
      </c>
      <c r="BG2424">
        <v>0</v>
      </c>
      <c r="BH2424">
        <v>1</v>
      </c>
      <c r="BI2424">
        <v>1</v>
      </c>
      <c r="BJ2424">
        <v>0.2</v>
      </c>
      <c r="BK2424">
        <v>1</v>
      </c>
      <c r="BL2424">
        <v>71.69</v>
      </c>
      <c r="BM2424">
        <v>10.75</v>
      </c>
      <c r="BN2424">
        <v>82.44</v>
      </c>
      <c r="BO2424">
        <v>82.44</v>
      </c>
      <c r="BQ2424" t="s">
        <v>732</v>
      </c>
      <c r="BR2424" t="s">
        <v>84</v>
      </c>
      <c r="BS2424" t="s">
        <v>96</v>
      </c>
      <c r="BY2424">
        <v>1200</v>
      </c>
      <c r="CC2424" t="s">
        <v>138</v>
      </c>
      <c r="CD2424">
        <v>4037</v>
      </c>
      <c r="CE2424" t="s">
        <v>109</v>
      </c>
      <c r="CI2424">
        <v>1</v>
      </c>
      <c r="CJ2424" t="s">
        <v>96</v>
      </c>
      <c r="CK2424">
        <v>21</v>
      </c>
      <c r="CL2424" t="s">
        <v>90</v>
      </c>
    </row>
    <row r="2425" spans="1:90" x14ac:dyDescent="0.3">
      <c r="A2425" t="s">
        <v>72</v>
      </c>
      <c r="B2425" t="s">
        <v>73</v>
      </c>
      <c r="C2425" t="s">
        <v>74</v>
      </c>
      <c r="E2425" t="str">
        <f>"080067289034"</f>
        <v>080067289034</v>
      </c>
      <c r="F2425" s="3">
        <v>45887</v>
      </c>
      <c r="G2425">
        <v>202605</v>
      </c>
      <c r="H2425" t="s">
        <v>75</v>
      </c>
      <c r="I2425" t="s">
        <v>76</v>
      </c>
      <c r="J2425" t="s">
        <v>77</v>
      </c>
      <c r="K2425" t="s">
        <v>78</v>
      </c>
      <c r="L2425" t="s">
        <v>229</v>
      </c>
      <c r="M2425" t="s">
        <v>230</v>
      </c>
      <c r="N2425" t="s">
        <v>231</v>
      </c>
      <c r="O2425" t="s">
        <v>82</v>
      </c>
      <c r="P2425" t="str">
        <f>"4170055214                    "</f>
        <v xml:space="preserve">4170055214                    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0</v>
      </c>
      <c r="AI2425">
        <v>0</v>
      </c>
      <c r="AJ2425">
        <v>0</v>
      </c>
      <c r="AK2425">
        <v>0</v>
      </c>
      <c r="AL2425">
        <v>0</v>
      </c>
      <c r="AM2425">
        <v>0</v>
      </c>
      <c r="AN2425">
        <v>0</v>
      </c>
      <c r="AO2425">
        <v>0</v>
      </c>
      <c r="AP2425">
        <v>0</v>
      </c>
      <c r="AQ2425">
        <v>44.73</v>
      </c>
      <c r="AR2425">
        <v>0</v>
      </c>
      <c r="AS2425">
        <v>0</v>
      </c>
      <c r="AT2425">
        <v>0</v>
      </c>
      <c r="AU2425">
        <v>0</v>
      </c>
      <c r="AV2425">
        <v>0</v>
      </c>
      <c r="AW2425">
        <v>0</v>
      </c>
      <c r="AX2425">
        <v>0</v>
      </c>
      <c r="AY2425">
        <v>0</v>
      </c>
      <c r="AZ2425">
        <v>0</v>
      </c>
      <c r="BA2425">
        <v>0</v>
      </c>
      <c r="BB2425">
        <v>0</v>
      </c>
      <c r="BC2425">
        <v>0</v>
      </c>
      <c r="BD2425">
        <v>0</v>
      </c>
      <c r="BE2425">
        <v>0</v>
      </c>
      <c r="BF2425">
        <v>0</v>
      </c>
      <c r="BG2425">
        <v>0</v>
      </c>
      <c r="BH2425">
        <v>1</v>
      </c>
      <c r="BI2425">
        <v>1</v>
      </c>
      <c r="BJ2425">
        <v>0.2</v>
      </c>
      <c r="BK2425">
        <v>1</v>
      </c>
      <c r="BL2425">
        <v>138.88999999999999</v>
      </c>
      <c r="BM2425">
        <v>20.83</v>
      </c>
      <c r="BN2425">
        <v>159.72</v>
      </c>
      <c r="BO2425">
        <v>159.72</v>
      </c>
      <c r="BQ2425" t="s">
        <v>232</v>
      </c>
      <c r="BR2425" t="s">
        <v>84</v>
      </c>
      <c r="BS2425" t="s">
        <v>96</v>
      </c>
      <c r="BY2425">
        <v>1200</v>
      </c>
      <c r="CC2425" t="s">
        <v>230</v>
      </c>
      <c r="CD2425">
        <v>2740</v>
      </c>
      <c r="CE2425" t="s">
        <v>109</v>
      </c>
      <c r="CI2425">
        <v>1</v>
      </c>
      <c r="CJ2425" t="s">
        <v>96</v>
      </c>
      <c r="CK2425">
        <v>23</v>
      </c>
      <c r="CL2425" t="s">
        <v>90</v>
      </c>
    </row>
    <row r="2426" spans="1:90" x14ac:dyDescent="0.3">
      <c r="A2426" t="s">
        <v>72</v>
      </c>
      <c r="B2426" t="s">
        <v>73</v>
      </c>
      <c r="C2426" t="s">
        <v>74</v>
      </c>
      <c r="E2426" t="str">
        <f>"080067289160"</f>
        <v>080067289160</v>
      </c>
      <c r="F2426" s="3">
        <v>45887</v>
      </c>
      <c r="G2426">
        <v>202605</v>
      </c>
      <c r="H2426" t="s">
        <v>75</v>
      </c>
      <c r="I2426" t="s">
        <v>76</v>
      </c>
      <c r="J2426" t="s">
        <v>77</v>
      </c>
      <c r="K2426" t="s">
        <v>78</v>
      </c>
      <c r="L2426" t="s">
        <v>79</v>
      </c>
      <c r="M2426" t="s">
        <v>80</v>
      </c>
      <c r="N2426" t="s">
        <v>1179</v>
      </c>
      <c r="O2426" t="s">
        <v>82</v>
      </c>
      <c r="P2426" t="str">
        <f>"4170055231                    "</f>
        <v xml:space="preserve">4170055231                    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  <c r="AN2426">
        <v>0</v>
      </c>
      <c r="AO2426">
        <v>0</v>
      </c>
      <c r="AP2426">
        <v>0</v>
      </c>
      <c r="AQ2426">
        <v>18.03</v>
      </c>
      <c r="AR2426">
        <v>0</v>
      </c>
      <c r="AS2426">
        <v>0</v>
      </c>
      <c r="AT2426">
        <v>0</v>
      </c>
      <c r="AU2426">
        <v>0</v>
      </c>
      <c r="AV2426">
        <v>0</v>
      </c>
      <c r="AW2426">
        <v>0</v>
      </c>
      <c r="AX2426">
        <v>0</v>
      </c>
      <c r="AY2426">
        <v>0</v>
      </c>
      <c r="AZ2426">
        <v>0</v>
      </c>
      <c r="BA2426">
        <v>0</v>
      </c>
      <c r="BB2426">
        <v>0</v>
      </c>
      <c r="BC2426">
        <v>0</v>
      </c>
      <c r="BD2426">
        <v>0</v>
      </c>
      <c r="BE2426">
        <v>0</v>
      </c>
      <c r="BF2426">
        <v>0</v>
      </c>
      <c r="BG2426">
        <v>0</v>
      </c>
      <c r="BH2426">
        <v>1</v>
      </c>
      <c r="BI2426">
        <v>1</v>
      </c>
      <c r="BJ2426">
        <v>0.2</v>
      </c>
      <c r="BK2426">
        <v>1</v>
      </c>
      <c r="BL2426">
        <v>55.99</v>
      </c>
      <c r="BM2426">
        <v>8.4</v>
      </c>
      <c r="BN2426">
        <v>64.39</v>
      </c>
      <c r="BO2426">
        <v>64.39</v>
      </c>
      <c r="BQ2426" t="s">
        <v>1180</v>
      </c>
      <c r="BR2426" t="s">
        <v>84</v>
      </c>
      <c r="BS2426" t="s">
        <v>96</v>
      </c>
      <c r="BY2426">
        <v>1200</v>
      </c>
      <c r="CC2426" t="s">
        <v>80</v>
      </c>
      <c r="CD2426">
        <v>1406</v>
      </c>
      <c r="CE2426" t="s">
        <v>109</v>
      </c>
      <c r="CI2426">
        <v>1</v>
      </c>
      <c r="CJ2426" t="s">
        <v>96</v>
      </c>
      <c r="CK2426">
        <v>22</v>
      </c>
      <c r="CL2426" t="s">
        <v>90</v>
      </c>
    </row>
    <row r="2427" spans="1:90" x14ac:dyDescent="0.3">
      <c r="A2427" t="s">
        <v>72</v>
      </c>
      <c r="B2427" t="s">
        <v>73</v>
      </c>
      <c r="C2427" t="s">
        <v>74</v>
      </c>
      <c r="E2427" t="str">
        <f>"080067289169"</f>
        <v>080067289169</v>
      </c>
      <c r="F2427" s="3">
        <v>45887</v>
      </c>
      <c r="G2427">
        <v>202605</v>
      </c>
      <c r="H2427" t="s">
        <v>75</v>
      </c>
      <c r="I2427" t="s">
        <v>76</v>
      </c>
      <c r="J2427" t="s">
        <v>77</v>
      </c>
      <c r="K2427" t="s">
        <v>78</v>
      </c>
      <c r="L2427" t="s">
        <v>2861</v>
      </c>
      <c r="M2427" t="s">
        <v>2862</v>
      </c>
      <c r="N2427" t="s">
        <v>2863</v>
      </c>
      <c r="O2427" t="s">
        <v>82</v>
      </c>
      <c r="P2427" t="str">
        <f>"4170055235                    "</f>
        <v xml:space="preserve">4170055235                    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0</v>
      </c>
      <c r="AI2427">
        <v>0</v>
      </c>
      <c r="AJ2427">
        <v>0</v>
      </c>
      <c r="AK2427">
        <v>0</v>
      </c>
      <c r="AL2427">
        <v>0</v>
      </c>
      <c r="AM2427">
        <v>0</v>
      </c>
      <c r="AN2427">
        <v>0</v>
      </c>
      <c r="AO2427">
        <v>0</v>
      </c>
      <c r="AP2427">
        <v>0</v>
      </c>
      <c r="AQ2427">
        <v>145.71</v>
      </c>
      <c r="AR2427">
        <v>0</v>
      </c>
      <c r="AS2427">
        <v>0</v>
      </c>
      <c r="AT2427">
        <v>0</v>
      </c>
      <c r="AU2427">
        <v>0</v>
      </c>
      <c r="AV2427">
        <v>0</v>
      </c>
      <c r="AW2427">
        <v>0</v>
      </c>
      <c r="AX2427">
        <v>0</v>
      </c>
      <c r="AY2427">
        <v>0</v>
      </c>
      <c r="AZ2427">
        <v>0</v>
      </c>
      <c r="BA2427">
        <v>0</v>
      </c>
      <c r="BB2427">
        <v>0</v>
      </c>
      <c r="BC2427">
        <v>0</v>
      </c>
      <c r="BD2427">
        <v>0</v>
      </c>
      <c r="BE2427">
        <v>0</v>
      </c>
      <c r="BF2427">
        <v>0</v>
      </c>
      <c r="BG2427">
        <v>0</v>
      </c>
      <c r="BH2427">
        <v>1</v>
      </c>
      <c r="BI2427">
        <v>7</v>
      </c>
      <c r="BJ2427">
        <v>5.9</v>
      </c>
      <c r="BK2427">
        <v>7</v>
      </c>
      <c r="BL2427">
        <v>452.47</v>
      </c>
      <c r="BM2427">
        <v>67.87</v>
      </c>
      <c r="BN2427">
        <v>520.34</v>
      </c>
      <c r="BO2427">
        <v>520.34</v>
      </c>
      <c r="BQ2427" t="s">
        <v>2864</v>
      </c>
      <c r="BR2427" t="s">
        <v>84</v>
      </c>
      <c r="BS2427" t="s">
        <v>96</v>
      </c>
      <c r="BY2427">
        <v>29744</v>
      </c>
      <c r="CC2427" t="s">
        <v>2862</v>
      </c>
      <c r="CD2427">
        <v>5850</v>
      </c>
      <c r="CE2427" t="s">
        <v>117</v>
      </c>
      <c r="CI2427">
        <v>2</v>
      </c>
      <c r="CJ2427" t="s">
        <v>96</v>
      </c>
      <c r="CK2427">
        <v>23</v>
      </c>
      <c r="CL2427" t="s">
        <v>90</v>
      </c>
    </row>
    <row r="2428" spans="1:90" x14ac:dyDescent="0.3">
      <c r="A2428" t="s">
        <v>72</v>
      </c>
      <c r="B2428" t="s">
        <v>73</v>
      </c>
      <c r="C2428" t="s">
        <v>74</v>
      </c>
      <c r="E2428" t="str">
        <f>"080067289217"</f>
        <v>080067289217</v>
      </c>
      <c r="F2428" s="3">
        <v>45887</v>
      </c>
      <c r="G2428">
        <v>202605</v>
      </c>
      <c r="H2428" t="s">
        <v>75</v>
      </c>
      <c r="I2428" t="s">
        <v>76</v>
      </c>
      <c r="J2428" t="s">
        <v>77</v>
      </c>
      <c r="K2428" t="s">
        <v>78</v>
      </c>
      <c r="L2428" t="s">
        <v>325</v>
      </c>
      <c r="M2428" t="s">
        <v>326</v>
      </c>
      <c r="N2428" t="s">
        <v>417</v>
      </c>
      <c r="O2428" t="s">
        <v>82</v>
      </c>
      <c r="P2428" t="str">
        <f>"4170055223                    "</f>
        <v xml:space="preserve">4170055223                    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0</v>
      </c>
      <c r="AI2428">
        <v>0</v>
      </c>
      <c r="AJ2428">
        <v>0</v>
      </c>
      <c r="AK2428">
        <v>0</v>
      </c>
      <c r="AL2428">
        <v>0</v>
      </c>
      <c r="AM2428">
        <v>0</v>
      </c>
      <c r="AN2428">
        <v>0</v>
      </c>
      <c r="AO2428">
        <v>0</v>
      </c>
      <c r="AP2428">
        <v>0</v>
      </c>
      <c r="AQ2428">
        <v>18.03</v>
      </c>
      <c r="AR2428">
        <v>0</v>
      </c>
      <c r="AS2428">
        <v>0</v>
      </c>
      <c r="AT2428">
        <v>0</v>
      </c>
      <c r="AU2428">
        <v>0</v>
      </c>
      <c r="AV2428">
        <v>0</v>
      </c>
      <c r="AW2428">
        <v>0</v>
      </c>
      <c r="AX2428">
        <v>0</v>
      </c>
      <c r="AY2428">
        <v>0</v>
      </c>
      <c r="AZ2428">
        <v>0</v>
      </c>
      <c r="BA2428">
        <v>0</v>
      </c>
      <c r="BB2428">
        <v>0</v>
      </c>
      <c r="BC2428">
        <v>0</v>
      </c>
      <c r="BD2428">
        <v>0</v>
      </c>
      <c r="BE2428">
        <v>0</v>
      </c>
      <c r="BF2428">
        <v>0</v>
      </c>
      <c r="BG2428">
        <v>0</v>
      </c>
      <c r="BH2428">
        <v>1</v>
      </c>
      <c r="BI2428">
        <v>1</v>
      </c>
      <c r="BJ2428">
        <v>0.2</v>
      </c>
      <c r="BK2428">
        <v>1</v>
      </c>
      <c r="BL2428">
        <v>55.99</v>
      </c>
      <c r="BM2428">
        <v>8.4</v>
      </c>
      <c r="BN2428">
        <v>64.39</v>
      </c>
      <c r="BO2428">
        <v>64.39</v>
      </c>
      <c r="BQ2428" t="s">
        <v>418</v>
      </c>
      <c r="BR2428" t="s">
        <v>84</v>
      </c>
      <c r="BS2428" s="3">
        <v>45888</v>
      </c>
      <c r="BT2428" s="4">
        <v>0.32708333333333334</v>
      </c>
      <c r="BU2428" t="s">
        <v>2865</v>
      </c>
      <c r="BV2428" t="s">
        <v>86</v>
      </c>
      <c r="BY2428">
        <v>1200</v>
      </c>
      <c r="CA2428" t="s">
        <v>331</v>
      </c>
      <c r="CC2428" t="s">
        <v>326</v>
      </c>
      <c r="CD2428">
        <v>2013</v>
      </c>
      <c r="CE2428" t="s">
        <v>109</v>
      </c>
      <c r="CI2428">
        <v>1</v>
      </c>
      <c r="CJ2428">
        <v>1</v>
      </c>
      <c r="CK2428">
        <v>22</v>
      </c>
      <c r="CL2428" t="s">
        <v>90</v>
      </c>
    </row>
    <row r="2429" spans="1:90" x14ac:dyDescent="0.3">
      <c r="A2429" t="s">
        <v>72</v>
      </c>
      <c r="B2429" t="s">
        <v>73</v>
      </c>
      <c r="C2429" t="s">
        <v>74</v>
      </c>
      <c r="E2429" t="str">
        <f>"080067289234"</f>
        <v>080067289234</v>
      </c>
      <c r="F2429" s="3">
        <v>45887</v>
      </c>
      <c r="G2429">
        <v>202605</v>
      </c>
      <c r="H2429" t="s">
        <v>75</v>
      </c>
      <c r="I2429" t="s">
        <v>76</v>
      </c>
      <c r="J2429" t="s">
        <v>77</v>
      </c>
      <c r="K2429" t="s">
        <v>78</v>
      </c>
      <c r="L2429" t="s">
        <v>255</v>
      </c>
      <c r="M2429" t="s">
        <v>256</v>
      </c>
      <c r="N2429" t="s">
        <v>1484</v>
      </c>
      <c r="O2429" t="s">
        <v>82</v>
      </c>
      <c r="P2429" t="str">
        <f>"4170055243                    "</f>
        <v xml:space="preserve">4170055243                    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0</v>
      </c>
      <c r="AI2429">
        <v>0</v>
      </c>
      <c r="AJ2429">
        <v>0</v>
      </c>
      <c r="AK2429">
        <v>0</v>
      </c>
      <c r="AL2429">
        <v>0</v>
      </c>
      <c r="AM2429">
        <v>0</v>
      </c>
      <c r="AN2429">
        <v>0</v>
      </c>
      <c r="AO2429">
        <v>0</v>
      </c>
      <c r="AP2429">
        <v>0</v>
      </c>
      <c r="AQ2429">
        <v>18.03</v>
      </c>
      <c r="AR2429">
        <v>0</v>
      </c>
      <c r="AS2429">
        <v>0</v>
      </c>
      <c r="AT2429">
        <v>0</v>
      </c>
      <c r="AU2429">
        <v>0</v>
      </c>
      <c r="AV2429">
        <v>0</v>
      </c>
      <c r="AW2429">
        <v>0</v>
      </c>
      <c r="AX2429">
        <v>0</v>
      </c>
      <c r="AY2429">
        <v>0</v>
      </c>
      <c r="AZ2429">
        <v>0</v>
      </c>
      <c r="BA2429">
        <v>0</v>
      </c>
      <c r="BB2429">
        <v>0</v>
      </c>
      <c r="BC2429">
        <v>0</v>
      </c>
      <c r="BD2429">
        <v>0</v>
      </c>
      <c r="BE2429">
        <v>0</v>
      </c>
      <c r="BF2429">
        <v>0</v>
      </c>
      <c r="BG2429">
        <v>0</v>
      </c>
      <c r="BH2429">
        <v>1</v>
      </c>
      <c r="BI2429">
        <v>1</v>
      </c>
      <c r="BJ2429">
        <v>0.2</v>
      </c>
      <c r="BK2429">
        <v>1</v>
      </c>
      <c r="BL2429">
        <v>55.99</v>
      </c>
      <c r="BM2429">
        <v>8.4</v>
      </c>
      <c r="BN2429">
        <v>64.39</v>
      </c>
      <c r="BO2429">
        <v>64.39</v>
      </c>
      <c r="BQ2429" t="s">
        <v>2866</v>
      </c>
      <c r="BR2429" t="s">
        <v>84</v>
      </c>
      <c r="BS2429" t="s">
        <v>96</v>
      </c>
      <c r="BY2429">
        <v>1200</v>
      </c>
      <c r="CC2429" t="s">
        <v>256</v>
      </c>
      <c r="CD2429">
        <v>1502</v>
      </c>
      <c r="CE2429" t="s">
        <v>109</v>
      </c>
      <c r="CI2429">
        <v>1</v>
      </c>
      <c r="CJ2429" t="s">
        <v>96</v>
      </c>
      <c r="CK2429">
        <v>22</v>
      </c>
      <c r="CL2429" t="s">
        <v>90</v>
      </c>
    </row>
    <row r="2430" spans="1:90" x14ac:dyDescent="0.3">
      <c r="A2430" t="s">
        <v>72</v>
      </c>
      <c r="B2430" t="s">
        <v>73</v>
      </c>
      <c r="C2430" t="s">
        <v>74</v>
      </c>
      <c r="E2430" t="str">
        <f>"080067289248"</f>
        <v>080067289248</v>
      </c>
      <c r="F2430" s="3">
        <v>45887</v>
      </c>
      <c r="G2430">
        <v>202605</v>
      </c>
      <c r="H2430" t="s">
        <v>75</v>
      </c>
      <c r="I2430" t="s">
        <v>76</v>
      </c>
      <c r="J2430" t="s">
        <v>77</v>
      </c>
      <c r="K2430" t="s">
        <v>78</v>
      </c>
      <c r="L2430" t="s">
        <v>435</v>
      </c>
      <c r="M2430" t="s">
        <v>436</v>
      </c>
      <c r="N2430" t="s">
        <v>437</v>
      </c>
      <c r="O2430" t="s">
        <v>82</v>
      </c>
      <c r="P2430" t="str">
        <f>"4170055263                    "</f>
        <v xml:space="preserve">4170055263                    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0</v>
      </c>
      <c r="AL2430">
        <v>0</v>
      </c>
      <c r="AM2430">
        <v>0</v>
      </c>
      <c r="AN2430">
        <v>0</v>
      </c>
      <c r="AO2430">
        <v>0</v>
      </c>
      <c r="AP2430">
        <v>0</v>
      </c>
      <c r="AQ2430">
        <v>64.92</v>
      </c>
      <c r="AR2430">
        <v>0</v>
      </c>
      <c r="AS2430">
        <v>0</v>
      </c>
      <c r="AT2430">
        <v>0</v>
      </c>
      <c r="AU2430">
        <v>0</v>
      </c>
      <c r="AV2430">
        <v>0</v>
      </c>
      <c r="AW2430">
        <v>0</v>
      </c>
      <c r="AX2430">
        <v>0</v>
      </c>
      <c r="AY2430">
        <v>0</v>
      </c>
      <c r="AZ2430">
        <v>0</v>
      </c>
      <c r="BA2430">
        <v>0</v>
      </c>
      <c r="BB2430">
        <v>0</v>
      </c>
      <c r="BC2430">
        <v>0</v>
      </c>
      <c r="BD2430">
        <v>0</v>
      </c>
      <c r="BE2430">
        <v>0</v>
      </c>
      <c r="BF2430">
        <v>0</v>
      </c>
      <c r="BG2430">
        <v>0</v>
      </c>
      <c r="BH2430">
        <v>1</v>
      </c>
      <c r="BI2430">
        <v>3</v>
      </c>
      <c r="BJ2430">
        <v>1.3</v>
      </c>
      <c r="BK2430">
        <v>3</v>
      </c>
      <c r="BL2430">
        <v>201.6</v>
      </c>
      <c r="BM2430">
        <v>30.24</v>
      </c>
      <c r="BN2430">
        <v>231.84</v>
      </c>
      <c r="BO2430">
        <v>231.84</v>
      </c>
      <c r="BQ2430" t="s">
        <v>438</v>
      </c>
      <c r="BR2430" t="s">
        <v>84</v>
      </c>
      <c r="BS2430" t="s">
        <v>96</v>
      </c>
      <c r="BY2430">
        <v>6384</v>
      </c>
      <c r="CC2430" t="s">
        <v>436</v>
      </c>
      <c r="CD2430">
        <v>4420</v>
      </c>
      <c r="CE2430" t="s">
        <v>147</v>
      </c>
      <c r="CI2430">
        <v>1</v>
      </c>
      <c r="CJ2430" t="s">
        <v>96</v>
      </c>
      <c r="CK2430">
        <v>23</v>
      </c>
      <c r="CL2430" t="s">
        <v>90</v>
      </c>
    </row>
    <row r="2431" spans="1:90" x14ac:dyDescent="0.3">
      <c r="A2431" t="s">
        <v>72</v>
      </c>
      <c r="B2431" t="s">
        <v>73</v>
      </c>
      <c r="C2431" t="s">
        <v>74</v>
      </c>
      <c r="E2431" t="str">
        <f>"080067289261"</f>
        <v>080067289261</v>
      </c>
      <c r="F2431" s="3">
        <v>45887</v>
      </c>
      <c r="G2431">
        <v>202605</v>
      </c>
      <c r="H2431" t="s">
        <v>75</v>
      </c>
      <c r="I2431" t="s">
        <v>76</v>
      </c>
      <c r="J2431" t="s">
        <v>77</v>
      </c>
      <c r="K2431" t="s">
        <v>78</v>
      </c>
      <c r="L2431" t="s">
        <v>2867</v>
      </c>
      <c r="M2431" t="s">
        <v>2868</v>
      </c>
      <c r="N2431" t="s">
        <v>2869</v>
      </c>
      <c r="O2431" t="s">
        <v>82</v>
      </c>
      <c r="P2431" t="str">
        <f>"4170055252                    "</f>
        <v xml:space="preserve">4170055252                    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0</v>
      </c>
      <c r="AI2431">
        <v>0</v>
      </c>
      <c r="AJ2431">
        <v>0</v>
      </c>
      <c r="AK2431">
        <v>0</v>
      </c>
      <c r="AL2431">
        <v>0</v>
      </c>
      <c r="AM2431">
        <v>0</v>
      </c>
      <c r="AN2431">
        <v>0</v>
      </c>
      <c r="AO2431">
        <v>0</v>
      </c>
      <c r="AP2431">
        <v>0</v>
      </c>
      <c r="AQ2431">
        <v>44.73</v>
      </c>
      <c r="AR2431">
        <v>0</v>
      </c>
      <c r="AS2431">
        <v>0</v>
      </c>
      <c r="AT2431">
        <v>0</v>
      </c>
      <c r="AU2431">
        <v>0</v>
      </c>
      <c r="AV2431">
        <v>0</v>
      </c>
      <c r="AW2431">
        <v>0</v>
      </c>
      <c r="AX2431">
        <v>0</v>
      </c>
      <c r="AY2431">
        <v>0</v>
      </c>
      <c r="AZ2431">
        <v>0</v>
      </c>
      <c r="BA2431">
        <v>0</v>
      </c>
      <c r="BB2431">
        <v>0</v>
      </c>
      <c r="BC2431">
        <v>0</v>
      </c>
      <c r="BD2431">
        <v>0</v>
      </c>
      <c r="BE2431">
        <v>0</v>
      </c>
      <c r="BF2431">
        <v>0</v>
      </c>
      <c r="BG2431">
        <v>0</v>
      </c>
      <c r="BH2431">
        <v>1</v>
      </c>
      <c r="BI2431">
        <v>1</v>
      </c>
      <c r="BJ2431">
        <v>0.2</v>
      </c>
      <c r="BK2431">
        <v>1</v>
      </c>
      <c r="BL2431">
        <v>138.88999999999999</v>
      </c>
      <c r="BM2431">
        <v>20.83</v>
      </c>
      <c r="BN2431">
        <v>159.72</v>
      </c>
      <c r="BO2431">
        <v>159.72</v>
      </c>
      <c r="BQ2431" t="s">
        <v>2870</v>
      </c>
      <c r="BR2431" t="s">
        <v>84</v>
      </c>
      <c r="BS2431" t="s">
        <v>96</v>
      </c>
      <c r="BY2431">
        <v>1200</v>
      </c>
      <c r="CC2431" t="s">
        <v>2868</v>
      </c>
      <c r="CD2431">
        <v>7185</v>
      </c>
      <c r="CE2431" t="s">
        <v>109</v>
      </c>
      <c r="CI2431">
        <v>2</v>
      </c>
      <c r="CJ2431" t="s">
        <v>96</v>
      </c>
      <c r="CK2431">
        <v>23</v>
      </c>
      <c r="CL2431" t="s">
        <v>90</v>
      </c>
    </row>
    <row r="2432" spans="1:90" x14ac:dyDescent="0.3">
      <c r="A2432" t="s">
        <v>72</v>
      </c>
      <c r="B2432" t="s">
        <v>73</v>
      </c>
      <c r="C2432" t="s">
        <v>74</v>
      </c>
      <c r="E2432" t="str">
        <f>"080067289277"</f>
        <v>080067289277</v>
      </c>
      <c r="F2432" s="3">
        <v>45887</v>
      </c>
      <c r="G2432">
        <v>202605</v>
      </c>
      <c r="H2432" t="s">
        <v>75</v>
      </c>
      <c r="I2432" t="s">
        <v>76</v>
      </c>
      <c r="J2432" t="s">
        <v>77</v>
      </c>
      <c r="K2432" t="s">
        <v>78</v>
      </c>
      <c r="L2432" t="s">
        <v>162</v>
      </c>
      <c r="M2432" t="s">
        <v>163</v>
      </c>
      <c r="N2432" t="s">
        <v>2486</v>
      </c>
      <c r="O2432" t="s">
        <v>82</v>
      </c>
      <c r="P2432" t="str">
        <f>"4170055226                    "</f>
        <v xml:space="preserve">4170055226                    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0</v>
      </c>
      <c r="AI2432">
        <v>0</v>
      </c>
      <c r="AJ2432">
        <v>0</v>
      </c>
      <c r="AK2432">
        <v>0</v>
      </c>
      <c r="AL2432">
        <v>0</v>
      </c>
      <c r="AM2432">
        <v>0</v>
      </c>
      <c r="AN2432">
        <v>0</v>
      </c>
      <c r="AO2432">
        <v>0</v>
      </c>
      <c r="AP2432">
        <v>0</v>
      </c>
      <c r="AQ2432">
        <v>23.09</v>
      </c>
      <c r="AR2432">
        <v>0</v>
      </c>
      <c r="AS2432">
        <v>0</v>
      </c>
      <c r="AT2432">
        <v>0</v>
      </c>
      <c r="AU2432">
        <v>0</v>
      </c>
      <c r="AV2432">
        <v>0</v>
      </c>
      <c r="AW2432">
        <v>0</v>
      </c>
      <c r="AX2432">
        <v>0</v>
      </c>
      <c r="AY2432">
        <v>0</v>
      </c>
      <c r="AZ2432">
        <v>0</v>
      </c>
      <c r="BA2432">
        <v>0</v>
      </c>
      <c r="BB2432">
        <v>0</v>
      </c>
      <c r="BC2432">
        <v>0</v>
      </c>
      <c r="BD2432">
        <v>0</v>
      </c>
      <c r="BE2432">
        <v>0</v>
      </c>
      <c r="BF2432">
        <v>0</v>
      </c>
      <c r="BG2432">
        <v>0</v>
      </c>
      <c r="BH2432">
        <v>1</v>
      </c>
      <c r="BI2432">
        <v>2</v>
      </c>
      <c r="BJ2432">
        <v>1.1000000000000001</v>
      </c>
      <c r="BK2432">
        <v>2</v>
      </c>
      <c r="BL2432">
        <v>71.69</v>
      </c>
      <c r="BM2432">
        <v>10.75</v>
      </c>
      <c r="BN2432">
        <v>82.44</v>
      </c>
      <c r="BO2432">
        <v>82.44</v>
      </c>
      <c r="BQ2432" t="s">
        <v>2487</v>
      </c>
      <c r="BR2432" t="s">
        <v>84</v>
      </c>
      <c r="BS2432" t="s">
        <v>96</v>
      </c>
      <c r="BY2432">
        <v>5320</v>
      </c>
      <c r="CC2432" t="s">
        <v>163</v>
      </c>
      <c r="CD2432">
        <v>3201</v>
      </c>
      <c r="CE2432" t="s">
        <v>147</v>
      </c>
      <c r="CI2432">
        <v>1</v>
      </c>
      <c r="CJ2432" t="s">
        <v>96</v>
      </c>
      <c r="CK2432">
        <v>21</v>
      </c>
      <c r="CL2432" t="s">
        <v>90</v>
      </c>
    </row>
    <row r="2433" spans="1:90" x14ac:dyDescent="0.3">
      <c r="A2433" t="s">
        <v>72</v>
      </c>
      <c r="B2433" t="s">
        <v>73</v>
      </c>
      <c r="C2433" t="s">
        <v>74</v>
      </c>
      <c r="E2433" t="str">
        <f>"080067289278"</f>
        <v>080067289278</v>
      </c>
      <c r="F2433" s="3">
        <v>45887</v>
      </c>
      <c r="G2433">
        <v>202605</v>
      </c>
      <c r="H2433" t="s">
        <v>75</v>
      </c>
      <c r="I2433" t="s">
        <v>76</v>
      </c>
      <c r="J2433" t="s">
        <v>77</v>
      </c>
      <c r="K2433" t="s">
        <v>78</v>
      </c>
      <c r="L2433" t="s">
        <v>198</v>
      </c>
      <c r="M2433" t="s">
        <v>199</v>
      </c>
      <c r="N2433" t="s">
        <v>342</v>
      </c>
      <c r="O2433" t="s">
        <v>82</v>
      </c>
      <c r="P2433" t="str">
        <f>"4170055266                    "</f>
        <v xml:space="preserve">4170055266                    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0</v>
      </c>
      <c r="AI2433">
        <v>0</v>
      </c>
      <c r="AJ2433">
        <v>0</v>
      </c>
      <c r="AK2433">
        <v>0</v>
      </c>
      <c r="AL2433">
        <v>0</v>
      </c>
      <c r="AM2433">
        <v>0</v>
      </c>
      <c r="AN2433">
        <v>0</v>
      </c>
      <c r="AO2433">
        <v>0</v>
      </c>
      <c r="AP2433">
        <v>0</v>
      </c>
      <c r="AQ2433">
        <v>69.22</v>
      </c>
      <c r="AR2433">
        <v>0</v>
      </c>
      <c r="AS2433">
        <v>0</v>
      </c>
      <c r="AT2433">
        <v>0</v>
      </c>
      <c r="AU2433">
        <v>0</v>
      </c>
      <c r="AV2433">
        <v>0</v>
      </c>
      <c r="AW2433">
        <v>0</v>
      </c>
      <c r="AX2433">
        <v>0</v>
      </c>
      <c r="AY2433">
        <v>0</v>
      </c>
      <c r="AZ2433">
        <v>0</v>
      </c>
      <c r="BA2433">
        <v>0</v>
      </c>
      <c r="BB2433">
        <v>0</v>
      </c>
      <c r="BC2433">
        <v>0</v>
      </c>
      <c r="BD2433">
        <v>0</v>
      </c>
      <c r="BE2433">
        <v>0</v>
      </c>
      <c r="BF2433">
        <v>0</v>
      </c>
      <c r="BG2433">
        <v>0</v>
      </c>
      <c r="BH2433">
        <v>1</v>
      </c>
      <c r="BI2433">
        <v>6</v>
      </c>
      <c r="BJ2433">
        <v>2.7</v>
      </c>
      <c r="BK2433">
        <v>6</v>
      </c>
      <c r="BL2433">
        <v>214.94</v>
      </c>
      <c r="BM2433">
        <v>32.24</v>
      </c>
      <c r="BN2433">
        <v>247.18</v>
      </c>
      <c r="BO2433">
        <v>247.18</v>
      </c>
      <c r="BQ2433" t="s">
        <v>343</v>
      </c>
      <c r="BR2433" t="s">
        <v>84</v>
      </c>
      <c r="BS2433" t="s">
        <v>96</v>
      </c>
      <c r="BY2433">
        <v>13680</v>
      </c>
      <c r="CC2433" t="s">
        <v>199</v>
      </c>
      <c r="CD2433">
        <v>6001</v>
      </c>
      <c r="CE2433" t="s">
        <v>147</v>
      </c>
      <c r="CI2433">
        <v>1</v>
      </c>
      <c r="CJ2433" t="s">
        <v>96</v>
      </c>
      <c r="CK2433">
        <v>21</v>
      </c>
      <c r="CL2433" t="s">
        <v>90</v>
      </c>
    </row>
    <row r="2434" spans="1:90" x14ac:dyDescent="0.3">
      <c r="A2434" t="s">
        <v>72</v>
      </c>
      <c r="B2434" t="s">
        <v>73</v>
      </c>
      <c r="C2434" t="s">
        <v>74</v>
      </c>
      <c r="E2434" t="str">
        <f>"080067289340"</f>
        <v>080067289340</v>
      </c>
      <c r="F2434" s="3">
        <v>45887</v>
      </c>
      <c r="G2434">
        <v>202605</v>
      </c>
      <c r="H2434" t="s">
        <v>75</v>
      </c>
      <c r="I2434" t="s">
        <v>76</v>
      </c>
      <c r="J2434" t="s">
        <v>77</v>
      </c>
      <c r="K2434" t="s">
        <v>78</v>
      </c>
      <c r="L2434" t="s">
        <v>162</v>
      </c>
      <c r="M2434" t="s">
        <v>163</v>
      </c>
      <c r="N2434" t="s">
        <v>764</v>
      </c>
      <c r="O2434" t="s">
        <v>82</v>
      </c>
      <c r="P2434" t="str">
        <f>"4170055262                    "</f>
        <v xml:space="preserve">4170055262                    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0</v>
      </c>
      <c r="AI2434">
        <v>0</v>
      </c>
      <c r="AJ2434">
        <v>0</v>
      </c>
      <c r="AK2434">
        <v>0</v>
      </c>
      <c r="AL2434">
        <v>0</v>
      </c>
      <c r="AM2434">
        <v>0</v>
      </c>
      <c r="AN2434">
        <v>0</v>
      </c>
      <c r="AO2434">
        <v>0</v>
      </c>
      <c r="AP2434">
        <v>0</v>
      </c>
      <c r="AQ2434">
        <v>23.09</v>
      </c>
      <c r="AR2434">
        <v>0</v>
      </c>
      <c r="AS2434">
        <v>0</v>
      </c>
      <c r="AT2434">
        <v>0</v>
      </c>
      <c r="AU2434">
        <v>0</v>
      </c>
      <c r="AV2434">
        <v>0</v>
      </c>
      <c r="AW2434">
        <v>16.739999999999998</v>
      </c>
      <c r="AX2434">
        <v>0</v>
      </c>
      <c r="AY2434">
        <v>0</v>
      </c>
      <c r="AZ2434">
        <v>0</v>
      </c>
      <c r="BA2434">
        <v>0</v>
      </c>
      <c r="BB2434">
        <v>0</v>
      </c>
      <c r="BC2434">
        <v>0</v>
      </c>
      <c r="BD2434">
        <v>0</v>
      </c>
      <c r="BE2434">
        <v>0</v>
      </c>
      <c r="BF2434">
        <v>0</v>
      </c>
      <c r="BG2434">
        <v>0</v>
      </c>
      <c r="BH2434">
        <v>1</v>
      </c>
      <c r="BI2434">
        <v>1</v>
      </c>
      <c r="BJ2434">
        <v>1.1000000000000001</v>
      </c>
      <c r="BK2434">
        <v>1.5</v>
      </c>
      <c r="BL2434">
        <v>88.43</v>
      </c>
      <c r="BM2434">
        <v>13.26</v>
      </c>
      <c r="BN2434">
        <v>101.69</v>
      </c>
      <c r="BO2434">
        <v>101.69</v>
      </c>
      <c r="BQ2434" t="s">
        <v>765</v>
      </c>
      <c r="BR2434" t="s">
        <v>84</v>
      </c>
      <c r="BS2434" t="s">
        <v>96</v>
      </c>
      <c r="BY2434">
        <v>5415</v>
      </c>
      <c r="BZ2434" t="s">
        <v>30</v>
      </c>
      <c r="CC2434" t="s">
        <v>163</v>
      </c>
      <c r="CD2434">
        <v>3699</v>
      </c>
      <c r="CE2434" t="s">
        <v>147</v>
      </c>
      <c r="CI2434">
        <v>1</v>
      </c>
      <c r="CJ2434" t="s">
        <v>96</v>
      </c>
      <c r="CK2434">
        <v>21</v>
      </c>
      <c r="CL2434" t="s">
        <v>90</v>
      </c>
    </row>
    <row r="2435" spans="1:90" x14ac:dyDescent="0.3">
      <c r="A2435" t="s">
        <v>72</v>
      </c>
      <c r="B2435" t="s">
        <v>73</v>
      </c>
      <c r="C2435" t="s">
        <v>74</v>
      </c>
      <c r="E2435" t="str">
        <f>"080067289378"</f>
        <v>080067289378</v>
      </c>
      <c r="F2435" s="3">
        <v>45887</v>
      </c>
      <c r="G2435">
        <v>202605</v>
      </c>
      <c r="H2435" t="s">
        <v>75</v>
      </c>
      <c r="I2435" t="s">
        <v>76</v>
      </c>
      <c r="J2435" t="s">
        <v>77</v>
      </c>
      <c r="K2435" t="s">
        <v>78</v>
      </c>
      <c r="L2435" t="s">
        <v>137</v>
      </c>
      <c r="M2435" t="s">
        <v>138</v>
      </c>
      <c r="N2435" t="s">
        <v>261</v>
      </c>
      <c r="O2435" t="s">
        <v>82</v>
      </c>
      <c r="P2435" t="str">
        <f>"4170055220                    "</f>
        <v xml:space="preserve">4170055220                    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0</v>
      </c>
      <c r="AI2435">
        <v>0</v>
      </c>
      <c r="AJ2435">
        <v>0</v>
      </c>
      <c r="AK2435">
        <v>0</v>
      </c>
      <c r="AL2435">
        <v>0</v>
      </c>
      <c r="AM2435">
        <v>0</v>
      </c>
      <c r="AN2435">
        <v>0</v>
      </c>
      <c r="AO2435">
        <v>0</v>
      </c>
      <c r="AP2435">
        <v>0</v>
      </c>
      <c r="AQ2435">
        <v>23.09</v>
      </c>
      <c r="AR2435">
        <v>0</v>
      </c>
      <c r="AS2435">
        <v>0</v>
      </c>
      <c r="AT2435">
        <v>0</v>
      </c>
      <c r="AU2435">
        <v>0</v>
      </c>
      <c r="AV2435">
        <v>0</v>
      </c>
      <c r="AW2435">
        <v>0</v>
      </c>
      <c r="AX2435">
        <v>0</v>
      </c>
      <c r="AY2435">
        <v>0</v>
      </c>
      <c r="AZ2435">
        <v>0</v>
      </c>
      <c r="BA2435">
        <v>0</v>
      </c>
      <c r="BB2435">
        <v>0</v>
      </c>
      <c r="BC2435">
        <v>0</v>
      </c>
      <c r="BD2435">
        <v>0</v>
      </c>
      <c r="BE2435">
        <v>0</v>
      </c>
      <c r="BF2435">
        <v>0</v>
      </c>
      <c r="BG2435">
        <v>0</v>
      </c>
      <c r="BH2435">
        <v>1</v>
      </c>
      <c r="BI2435">
        <v>1</v>
      </c>
      <c r="BJ2435">
        <v>1.1000000000000001</v>
      </c>
      <c r="BK2435">
        <v>1.5</v>
      </c>
      <c r="BL2435">
        <v>71.69</v>
      </c>
      <c r="BM2435">
        <v>10.75</v>
      </c>
      <c r="BN2435">
        <v>82.44</v>
      </c>
      <c r="BO2435">
        <v>82.44</v>
      </c>
      <c r="BQ2435" t="s">
        <v>262</v>
      </c>
      <c r="BR2435" t="s">
        <v>84</v>
      </c>
      <c r="BS2435" t="s">
        <v>96</v>
      </c>
      <c r="BY2435">
        <v>5320</v>
      </c>
      <c r="CC2435" t="s">
        <v>138</v>
      </c>
      <c r="CD2435">
        <v>3608</v>
      </c>
      <c r="CE2435" t="s">
        <v>147</v>
      </c>
      <c r="CI2435">
        <v>1</v>
      </c>
      <c r="CJ2435" t="s">
        <v>96</v>
      </c>
      <c r="CK2435">
        <v>21</v>
      </c>
      <c r="CL2435" t="s">
        <v>90</v>
      </c>
    </row>
    <row r="2436" spans="1:90" x14ac:dyDescent="0.3">
      <c r="A2436" t="s">
        <v>72</v>
      </c>
      <c r="B2436" t="s">
        <v>73</v>
      </c>
      <c r="C2436" t="s">
        <v>74</v>
      </c>
      <c r="E2436" t="str">
        <f>"080067289391"</f>
        <v>080067289391</v>
      </c>
      <c r="F2436" s="3">
        <v>45887</v>
      </c>
      <c r="G2436">
        <v>202605</v>
      </c>
      <c r="H2436" t="s">
        <v>75</v>
      </c>
      <c r="I2436" t="s">
        <v>76</v>
      </c>
      <c r="J2436" t="s">
        <v>77</v>
      </c>
      <c r="K2436" t="s">
        <v>78</v>
      </c>
      <c r="L2436" t="s">
        <v>325</v>
      </c>
      <c r="M2436" t="s">
        <v>326</v>
      </c>
      <c r="N2436" t="s">
        <v>1434</v>
      </c>
      <c r="O2436" t="s">
        <v>82</v>
      </c>
      <c r="P2436" t="str">
        <f>"4170055239                    "</f>
        <v xml:space="preserve">4170055239                    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0</v>
      </c>
      <c r="AI2436">
        <v>0</v>
      </c>
      <c r="AJ2436">
        <v>0</v>
      </c>
      <c r="AK2436">
        <v>0</v>
      </c>
      <c r="AL2436">
        <v>0</v>
      </c>
      <c r="AM2436">
        <v>0</v>
      </c>
      <c r="AN2436">
        <v>0</v>
      </c>
      <c r="AO2436">
        <v>0</v>
      </c>
      <c r="AP2436">
        <v>0</v>
      </c>
      <c r="AQ2436">
        <v>18.03</v>
      </c>
      <c r="AR2436">
        <v>0</v>
      </c>
      <c r="AS2436">
        <v>0</v>
      </c>
      <c r="AT2436">
        <v>0</v>
      </c>
      <c r="AU2436">
        <v>0</v>
      </c>
      <c r="AV2436">
        <v>0</v>
      </c>
      <c r="AW2436">
        <v>0</v>
      </c>
      <c r="AX2436">
        <v>0</v>
      </c>
      <c r="AY2436">
        <v>0</v>
      </c>
      <c r="AZ2436">
        <v>0</v>
      </c>
      <c r="BA2436">
        <v>0</v>
      </c>
      <c r="BB2436">
        <v>0</v>
      </c>
      <c r="BC2436">
        <v>0</v>
      </c>
      <c r="BD2436">
        <v>0</v>
      </c>
      <c r="BE2436">
        <v>0</v>
      </c>
      <c r="BF2436">
        <v>0</v>
      </c>
      <c r="BG2436">
        <v>0</v>
      </c>
      <c r="BH2436">
        <v>1</v>
      </c>
      <c r="BI2436">
        <v>3</v>
      </c>
      <c r="BJ2436">
        <v>1.5</v>
      </c>
      <c r="BK2436">
        <v>3</v>
      </c>
      <c r="BL2436">
        <v>55.99</v>
      </c>
      <c r="BM2436">
        <v>8.4</v>
      </c>
      <c r="BN2436">
        <v>64.39</v>
      </c>
      <c r="BO2436">
        <v>64.39</v>
      </c>
      <c r="BQ2436" t="s">
        <v>1435</v>
      </c>
      <c r="BR2436" t="s">
        <v>84</v>
      </c>
      <c r="BS2436" t="s">
        <v>96</v>
      </c>
      <c r="BY2436">
        <v>7540</v>
      </c>
      <c r="CC2436" t="s">
        <v>326</v>
      </c>
      <c r="CD2436">
        <v>2094</v>
      </c>
      <c r="CE2436" t="s">
        <v>147</v>
      </c>
      <c r="CI2436">
        <v>1</v>
      </c>
      <c r="CJ2436" t="s">
        <v>96</v>
      </c>
      <c r="CK2436">
        <v>22</v>
      </c>
      <c r="CL2436" t="s">
        <v>90</v>
      </c>
    </row>
    <row r="2437" spans="1:90" x14ac:dyDescent="0.3">
      <c r="A2437" t="s">
        <v>72</v>
      </c>
      <c r="B2437" t="s">
        <v>73</v>
      </c>
      <c r="C2437" t="s">
        <v>74</v>
      </c>
      <c r="E2437" t="str">
        <f>"080067289738"</f>
        <v>080067289738</v>
      </c>
      <c r="F2437" s="3">
        <v>45887</v>
      </c>
      <c r="G2437">
        <v>202605</v>
      </c>
      <c r="H2437" t="s">
        <v>75</v>
      </c>
      <c r="I2437" t="s">
        <v>76</v>
      </c>
      <c r="J2437" t="s">
        <v>77</v>
      </c>
      <c r="K2437" t="s">
        <v>78</v>
      </c>
      <c r="L2437" t="s">
        <v>123</v>
      </c>
      <c r="M2437" t="s">
        <v>124</v>
      </c>
      <c r="N2437" t="s">
        <v>2871</v>
      </c>
      <c r="O2437" t="s">
        <v>82</v>
      </c>
      <c r="P2437" t="str">
        <f>"4170055198                    "</f>
        <v xml:space="preserve">4170055198                    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0</v>
      </c>
      <c r="AI2437">
        <v>0</v>
      </c>
      <c r="AJ2437">
        <v>0</v>
      </c>
      <c r="AK2437">
        <v>0</v>
      </c>
      <c r="AL2437">
        <v>0</v>
      </c>
      <c r="AM2437">
        <v>0</v>
      </c>
      <c r="AN2437">
        <v>0</v>
      </c>
      <c r="AO2437">
        <v>0</v>
      </c>
      <c r="AP2437">
        <v>0</v>
      </c>
      <c r="AQ2437">
        <v>149.94999999999999</v>
      </c>
      <c r="AR2437">
        <v>0</v>
      </c>
      <c r="AS2437">
        <v>0</v>
      </c>
      <c r="AT2437">
        <v>0</v>
      </c>
      <c r="AU2437">
        <v>0</v>
      </c>
      <c r="AV2437">
        <v>0</v>
      </c>
      <c r="AW2437">
        <v>0</v>
      </c>
      <c r="AX2437">
        <v>0</v>
      </c>
      <c r="AY2437">
        <v>0</v>
      </c>
      <c r="AZ2437">
        <v>0</v>
      </c>
      <c r="BA2437">
        <v>0</v>
      </c>
      <c r="BB2437">
        <v>0</v>
      </c>
      <c r="BC2437">
        <v>0</v>
      </c>
      <c r="BD2437">
        <v>0</v>
      </c>
      <c r="BE2437">
        <v>0</v>
      </c>
      <c r="BF2437">
        <v>0</v>
      </c>
      <c r="BG2437">
        <v>0</v>
      </c>
      <c r="BH2437">
        <v>1</v>
      </c>
      <c r="BI2437">
        <v>10</v>
      </c>
      <c r="BJ2437">
        <v>12.6</v>
      </c>
      <c r="BK2437">
        <v>13</v>
      </c>
      <c r="BL2437">
        <v>465.63</v>
      </c>
      <c r="BM2437">
        <v>69.84</v>
      </c>
      <c r="BN2437">
        <v>535.47</v>
      </c>
      <c r="BO2437">
        <v>535.47</v>
      </c>
      <c r="BQ2437" t="s">
        <v>2872</v>
      </c>
      <c r="BR2437" t="s">
        <v>84</v>
      </c>
      <c r="BS2437" t="s">
        <v>96</v>
      </c>
      <c r="BY2437">
        <v>62920</v>
      </c>
      <c r="CC2437" t="s">
        <v>124</v>
      </c>
      <c r="CD2437">
        <v>7780</v>
      </c>
      <c r="CE2437" t="s">
        <v>117</v>
      </c>
      <c r="CI2437">
        <v>1</v>
      </c>
      <c r="CJ2437" t="s">
        <v>96</v>
      </c>
      <c r="CK2437">
        <v>21</v>
      </c>
      <c r="CL2437" t="s">
        <v>90</v>
      </c>
    </row>
    <row r="2438" spans="1:90" x14ac:dyDescent="0.3">
      <c r="A2438" t="s">
        <v>72</v>
      </c>
      <c r="B2438" t="s">
        <v>73</v>
      </c>
      <c r="C2438" t="s">
        <v>74</v>
      </c>
      <c r="E2438" t="str">
        <f>"080067289827"</f>
        <v>080067289827</v>
      </c>
      <c r="F2438" s="3">
        <v>45887</v>
      </c>
      <c r="G2438">
        <v>202605</v>
      </c>
      <c r="H2438" t="s">
        <v>75</v>
      </c>
      <c r="I2438" t="s">
        <v>76</v>
      </c>
      <c r="J2438" t="s">
        <v>77</v>
      </c>
      <c r="K2438" t="s">
        <v>78</v>
      </c>
      <c r="L2438" t="s">
        <v>198</v>
      </c>
      <c r="M2438" t="s">
        <v>199</v>
      </c>
      <c r="N2438" t="s">
        <v>680</v>
      </c>
      <c r="O2438" t="s">
        <v>82</v>
      </c>
      <c r="P2438" t="str">
        <f>"4170055208                    "</f>
        <v xml:space="preserve">4170055208                    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0</v>
      </c>
      <c r="AL2438">
        <v>0</v>
      </c>
      <c r="AM2438">
        <v>0</v>
      </c>
      <c r="AN2438">
        <v>0</v>
      </c>
      <c r="AO2438">
        <v>0</v>
      </c>
      <c r="AP2438">
        <v>0</v>
      </c>
      <c r="AQ2438">
        <v>23.09</v>
      </c>
      <c r="AR2438">
        <v>0</v>
      </c>
      <c r="AS2438">
        <v>0</v>
      </c>
      <c r="AT2438">
        <v>0</v>
      </c>
      <c r="AU2438">
        <v>0</v>
      </c>
      <c r="AV2438">
        <v>0</v>
      </c>
      <c r="AW2438">
        <v>0</v>
      </c>
      <c r="AX2438">
        <v>0</v>
      </c>
      <c r="AY2438">
        <v>0</v>
      </c>
      <c r="AZ2438">
        <v>0</v>
      </c>
      <c r="BA2438">
        <v>0</v>
      </c>
      <c r="BB2438">
        <v>0</v>
      </c>
      <c r="BC2438">
        <v>0</v>
      </c>
      <c r="BD2438">
        <v>0</v>
      </c>
      <c r="BE2438">
        <v>0</v>
      </c>
      <c r="BF2438">
        <v>0</v>
      </c>
      <c r="BG2438">
        <v>0</v>
      </c>
      <c r="BH2438">
        <v>1</v>
      </c>
      <c r="BI2438">
        <v>1</v>
      </c>
      <c r="BJ2438">
        <v>1.1000000000000001</v>
      </c>
      <c r="BK2438">
        <v>1.5</v>
      </c>
      <c r="BL2438">
        <v>71.69</v>
      </c>
      <c r="BM2438">
        <v>10.75</v>
      </c>
      <c r="BN2438">
        <v>82.44</v>
      </c>
      <c r="BO2438">
        <v>82.44</v>
      </c>
      <c r="BQ2438" t="s">
        <v>681</v>
      </c>
      <c r="BR2438" t="s">
        <v>84</v>
      </c>
      <c r="BS2438" s="3">
        <v>45888</v>
      </c>
      <c r="BT2438" s="4">
        <v>0.38472222222222224</v>
      </c>
      <c r="BU2438" t="s">
        <v>2644</v>
      </c>
      <c r="BV2438" t="s">
        <v>86</v>
      </c>
      <c r="BY2438">
        <v>5320</v>
      </c>
      <c r="CA2438" t="s">
        <v>413</v>
      </c>
      <c r="CC2438" t="s">
        <v>199</v>
      </c>
      <c r="CD2438">
        <v>6001</v>
      </c>
      <c r="CE2438" t="s">
        <v>147</v>
      </c>
      <c r="CI2438">
        <v>1</v>
      </c>
      <c r="CJ2438">
        <v>1</v>
      </c>
      <c r="CK2438">
        <v>21</v>
      </c>
      <c r="CL2438" t="s">
        <v>90</v>
      </c>
    </row>
    <row r="2439" spans="1:90" x14ac:dyDescent="0.3">
      <c r="A2439" t="s">
        <v>72</v>
      </c>
      <c r="B2439" t="s">
        <v>73</v>
      </c>
      <c r="C2439" t="s">
        <v>74</v>
      </c>
      <c r="E2439" t="str">
        <f>"080067289888"</f>
        <v>080067289888</v>
      </c>
      <c r="F2439" s="3">
        <v>45887</v>
      </c>
      <c r="G2439">
        <v>202605</v>
      </c>
      <c r="H2439" t="s">
        <v>75</v>
      </c>
      <c r="I2439" t="s">
        <v>76</v>
      </c>
      <c r="J2439" t="s">
        <v>77</v>
      </c>
      <c r="K2439" t="s">
        <v>78</v>
      </c>
      <c r="L2439" t="s">
        <v>79</v>
      </c>
      <c r="M2439" t="s">
        <v>80</v>
      </c>
      <c r="N2439" t="s">
        <v>635</v>
      </c>
      <c r="O2439" t="s">
        <v>113</v>
      </c>
      <c r="P2439" t="str">
        <f>"4170055250                    "</f>
        <v xml:space="preserve">4170055250                    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0</v>
      </c>
      <c r="AL2439">
        <v>0</v>
      </c>
      <c r="AM2439">
        <v>0</v>
      </c>
      <c r="AN2439">
        <v>0</v>
      </c>
      <c r="AO2439">
        <v>0</v>
      </c>
      <c r="AP2439">
        <v>0</v>
      </c>
      <c r="AQ2439">
        <v>18.04</v>
      </c>
      <c r="AR2439">
        <v>0</v>
      </c>
      <c r="AS2439">
        <v>0</v>
      </c>
      <c r="AT2439">
        <v>0</v>
      </c>
      <c r="AU2439">
        <v>0</v>
      </c>
      <c r="AV2439">
        <v>0</v>
      </c>
      <c r="AW2439">
        <v>0</v>
      </c>
      <c r="AX2439">
        <v>0</v>
      </c>
      <c r="AY2439">
        <v>0</v>
      </c>
      <c r="AZ2439">
        <v>0</v>
      </c>
      <c r="BA2439">
        <v>0</v>
      </c>
      <c r="BB2439">
        <v>0</v>
      </c>
      <c r="BC2439">
        <v>0</v>
      </c>
      <c r="BD2439">
        <v>0</v>
      </c>
      <c r="BE2439">
        <v>0</v>
      </c>
      <c r="BF2439">
        <v>0</v>
      </c>
      <c r="BG2439">
        <v>0</v>
      </c>
      <c r="BH2439">
        <v>1</v>
      </c>
      <c r="BI2439">
        <v>5</v>
      </c>
      <c r="BJ2439">
        <v>2.5</v>
      </c>
      <c r="BK2439">
        <v>5</v>
      </c>
      <c r="BL2439">
        <v>56.01</v>
      </c>
      <c r="BM2439">
        <v>8.4</v>
      </c>
      <c r="BN2439">
        <v>64.41</v>
      </c>
      <c r="BO2439">
        <v>64.41</v>
      </c>
      <c r="BQ2439" t="s">
        <v>636</v>
      </c>
      <c r="BR2439" t="s">
        <v>84</v>
      </c>
      <c r="BS2439" t="s">
        <v>96</v>
      </c>
      <c r="BY2439">
        <v>12600</v>
      </c>
      <c r="CC2439" t="s">
        <v>80</v>
      </c>
      <c r="CD2439">
        <v>1428</v>
      </c>
      <c r="CE2439" t="s">
        <v>117</v>
      </c>
      <c r="CI2439">
        <v>1</v>
      </c>
      <c r="CJ2439" t="s">
        <v>96</v>
      </c>
      <c r="CK2439">
        <v>32</v>
      </c>
      <c r="CL2439" t="s">
        <v>90</v>
      </c>
    </row>
    <row r="2440" spans="1:90" x14ac:dyDescent="0.3">
      <c r="A2440" t="s">
        <v>72</v>
      </c>
      <c r="B2440" t="s">
        <v>73</v>
      </c>
      <c r="C2440" t="s">
        <v>74</v>
      </c>
      <c r="E2440" t="str">
        <f>"080067290027"</f>
        <v>080067290027</v>
      </c>
      <c r="F2440" s="3">
        <v>45887</v>
      </c>
      <c r="G2440">
        <v>202605</v>
      </c>
      <c r="H2440" t="s">
        <v>75</v>
      </c>
      <c r="I2440" t="s">
        <v>76</v>
      </c>
      <c r="J2440" t="s">
        <v>77</v>
      </c>
      <c r="K2440" t="s">
        <v>78</v>
      </c>
      <c r="L2440" t="s">
        <v>325</v>
      </c>
      <c r="M2440" t="s">
        <v>326</v>
      </c>
      <c r="N2440" t="s">
        <v>1540</v>
      </c>
      <c r="O2440" t="s">
        <v>113</v>
      </c>
      <c r="P2440" t="str">
        <f>"4170055238                    "</f>
        <v xml:space="preserve">4170055238                    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0</v>
      </c>
      <c r="AI2440">
        <v>0</v>
      </c>
      <c r="AJ2440">
        <v>0</v>
      </c>
      <c r="AK2440">
        <v>0</v>
      </c>
      <c r="AL2440">
        <v>0</v>
      </c>
      <c r="AM2440">
        <v>0</v>
      </c>
      <c r="AN2440">
        <v>0</v>
      </c>
      <c r="AO2440">
        <v>0</v>
      </c>
      <c r="AP2440">
        <v>0</v>
      </c>
      <c r="AQ2440">
        <v>108.21</v>
      </c>
      <c r="AR2440">
        <v>0</v>
      </c>
      <c r="AS2440">
        <v>0</v>
      </c>
      <c r="AT2440">
        <v>0</v>
      </c>
      <c r="AU2440">
        <v>0</v>
      </c>
      <c r="AV2440">
        <v>0</v>
      </c>
      <c r="AW2440">
        <v>16.739999999999998</v>
      </c>
      <c r="AX2440">
        <v>0</v>
      </c>
      <c r="AY2440">
        <v>0</v>
      </c>
      <c r="AZ2440">
        <v>0</v>
      </c>
      <c r="BA2440">
        <v>0</v>
      </c>
      <c r="BB2440">
        <v>0</v>
      </c>
      <c r="BC2440">
        <v>0</v>
      </c>
      <c r="BD2440">
        <v>0</v>
      </c>
      <c r="BE2440">
        <v>0</v>
      </c>
      <c r="BF2440">
        <v>0</v>
      </c>
      <c r="BG2440">
        <v>0</v>
      </c>
      <c r="BH2440">
        <v>1</v>
      </c>
      <c r="BI2440">
        <v>4</v>
      </c>
      <c r="BJ2440">
        <v>4.8</v>
      </c>
      <c r="BK2440">
        <v>5</v>
      </c>
      <c r="BL2440">
        <v>352.76</v>
      </c>
      <c r="BM2440">
        <v>52.91</v>
      </c>
      <c r="BN2440">
        <v>405.67</v>
      </c>
      <c r="BO2440">
        <v>405.67</v>
      </c>
      <c r="BQ2440" t="s">
        <v>1541</v>
      </c>
      <c r="BR2440" t="s">
        <v>84</v>
      </c>
      <c r="BS2440" t="s">
        <v>96</v>
      </c>
      <c r="BY2440">
        <v>23751</v>
      </c>
      <c r="BZ2440" t="s">
        <v>30</v>
      </c>
      <c r="CC2440" t="s">
        <v>326</v>
      </c>
      <c r="CD2440">
        <v>1821</v>
      </c>
      <c r="CE2440" t="s">
        <v>147</v>
      </c>
      <c r="CI2440">
        <v>0</v>
      </c>
      <c r="CJ2440">
        <v>0</v>
      </c>
      <c r="CK2440">
        <v>31</v>
      </c>
      <c r="CL2440" t="s">
        <v>90</v>
      </c>
    </row>
    <row r="2441" spans="1:90" x14ac:dyDescent="0.3">
      <c r="A2441" t="s">
        <v>72</v>
      </c>
      <c r="B2441" t="s">
        <v>73</v>
      </c>
      <c r="C2441" t="s">
        <v>74</v>
      </c>
      <c r="E2441" t="str">
        <f>"080067290081"</f>
        <v>080067290081</v>
      </c>
      <c r="F2441" s="3">
        <v>45887</v>
      </c>
      <c r="G2441">
        <v>202605</v>
      </c>
      <c r="H2441" t="s">
        <v>75</v>
      </c>
      <c r="I2441" t="s">
        <v>76</v>
      </c>
      <c r="J2441" t="s">
        <v>77</v>
      </c>
      <c r="K2441" t="s">
        <v>78</v>
      </c>
      <c r="L2441" t="s">
        <v>79</v>
      </c>
      <c r="M2441" t="s">
        <v>80</v>
      </c>
      <c r="N2441" t="s">
        <v>2163</v>
      </c>
      <c r="O2441" t="s">
        <v>82</v>
      </c>
      <c r="P2441" t="str">
        <f>"4170055217                    "</f>
        <v xml:space="preserve">4170055217                    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0</v>
      </c>
      <c r="AI2441">
        <v>0</v>
      </c>
      <c r="AJ2441">
        <v>0</v>
      </c>
      <c r="AK2441">
        <v>0</v>
      </c>
      <c r="AL2441">
        <v>0</v>
      </c>
      <c r="AM2441">
        <v>0</v>
      </c>
      <c r="AN2441">
        <v>0</v>
      </c>
      <c r="AO2441">
        <v>0</v>
      </c>
      <c r="AP2441">
        <v>0</v>
      </c>
      <c r="AQ2441">
        <v>18.03</v>
      </c>
      <c r="AR2441">
        <v>0</v>
      </c>
      <c r="AS2441">
        <v>0</v>
      </c>
      <c r="AT2441">
        <v>0</v>
      </c>
      <c r="AU2441">
        <v>0</v>
      </c>
      <c r="AV2441">
        <v>0</v>
      </c>
      <c r="AW2441">
        <v>0</v>
      </c>
      <c r="AX2441">
        <v>0</v>
      </c>
      <c r="AY2441">
        <v>0</v>
      </c>
      <c r="AZ2441">
        <v>0</v>
      </c>
      <c r="BA2441">
        <v>0</v>
      </c>
      <c r="BB2441">
        <v>0</v>
      </c>
      <c r="BC2441">
        <v>0</v>
      </c>
      <c r="BD2441">
        <v>0</v>
      </c>
      <c r="BE2441">
        <v>0</v>
      </c>
      <c r="BF2441">
        <v>0</v>
      </c>
      <c r="BG2441">
        <v>0</v>
      </c>
      <c r="BH2441">
        <v>1</v>
      </c>
      <c r="BI2441">
        <v>1</v>
      </c>
      <c r="BJ2441">
        <v>0.7</v>
      </c>
      <c r="BK2441">
        <v>1</v>
      </c>
      <c r="BL2441">
        <v>55.99</v>
      </c>
      <c r="BM2441">
        <v>8.4</v>
      </c>
      <c r="BN2441">
        <v>64.39</v>
      </c>
      <c r="BO2441">
        <v>64.39</v>
      </c>
      <c r="BQ2441" t="s">
        <v>2164</v>
      </c>
      <c r="BR2441" t="s">
        <v>84</v>
      </c>
      <c r="BS2441" t="s">
        <v>96</v>
      </c>
      <c r="BY2441">
        <v>3400</v>
      </c>
      <c r="BZ2441" t="s">
        <v>330</v>
      </c>
      <c r="CC2441" t="s">
        <v>80</v>
      </c>
      <c r="CD2441">
        <v>1401</v>
      </c>
      <c r="CE2441" t="s">
        <v>117</v>
      </c>
      <c r="CI2441">
        <v>1</v>
      </c>
      <c r="CJ2441" t="s">
        <v>96</v>
      </c>
      <c r="CK2441">
        <v>22</v>
      </c>
      <c r="CL2441" t="s">
        <v>90</v>
      </c>
    </row>
    <row r="2442" spans="1:90" x14ac:dyDescent="0.3">
      <c r="A2442" t="s">
        <v>72</v>
      </c>
      <c r="B2442" t="s">
        <v>73</v>
      </c>
      <c r="C2442" t="s">
        <v>74</v>
      </c>
      <c r="E2442" t="str">
        <f>"080067290139"</f>
        <v>080067290139</v>
      </c>
      <c r="F2442" s="3">
        <v>45887</v>
      </c>
      <c r="G2442">
        <v>202605</v>
      </c>
      <c r="H2442" t="s">
        <v>75</v>
      </c>
      <c r="I2442" t="s">
        <v>76</v>
      </c>
      <c r="J2442" t="s">
        <v>77</v>
      </c>
      <c r="K2442" t="s">
        <v>78</v>
      </c>
      <c r="L2442" t="s">
        <v>198</v>
      </c>
      <c r="M2442" t="s">
        <v>199</v>
      </c>
      <c r="N2442" t="s">
        <v>667</v>
      </c>
      <c r="O2442" t="s">
        <v>82</v>
      </c>
      <c r="P2442" t="str">
        <f>"4170055206                    "</f>
        <v xml:space="preserve">4170055206                    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0</v>
      </c>
      <c r="AI2442">
        <v>0</v>
      </c>
      <c r="AJ2442">
        <v>0</v>
      </c>
      <c r="AK2442">
        <v>0</v>
      </c>
      <c r="AL2442">
        <v>0</v>
      </c>
      <c r="AM2442">
        <v>0</v>
      </c>
      <c r="AN2442">
        <v>0</v>
      </c>
      <c r="AO2442">
        <v>0</v>
      </c>
      <c r="AP2442">
        <v>0</v>
      </c>
      <c r="AQ2442">
        <v>23.09</v>
      </c>
      <c r="AR2442">
        <v>0</v>
      </c>
      <c r="AS2442">
        <v>0</v>
      </c>
      <c r="AT2442">
        <v>0</v>
      </c>
      <c r="AU2442">
        <v>0</v>
      </c>
      <c r="AV2442">
        <v>0</v>
      </c>
      <c r="AW2442">
        <v>0</v>
      </c>
      <c r="AX2442">
        <v>0</v>
      </c>
      <c r="AY2442">
        <v>0</v>
      </c>
      <c r="AZ2442">
        <v>0</v>
      </c>
      <c r="BA2442">
        <v>0</v>
      </c>
      <c r="BB2442">
        <v>0</v>
      </c>
      <c r="BC2442">
        <v>0</v>
      </c>
      <c r="BD2442">
        <v>0</v>
      </c>
      <c r="BE2442">
        <v>0</v>
      </c>
      <c r="BF2442">
        <v>0</v>
      </c>
      <c r="BG2442">
        <v>0</v>
      </c>
      <c r="BH2442">
        <v>1</v>
      </c>
      <c r="BI2442">
        <v>1</v>
      </c>
      <c r="BJ2442">
        <v>0.2</v>
      </c>
      <c r="BK2442">
        <v>1</v>
      </c>
      <c r="BL2442">
        <v>71.69</v>
      </c>
      <c r="BM2442">
        <v>10.75</v>
      </c>
      <c r="BN2442">
        <v>82.44</v>
      </c>
      <c r="BO2442">
        <v>82.44</v>
      </c>
      <c r="BQ2442" t="s">
        <v>668</v>
      </c>
      <c r="BR2442" t="s">
        <v>84</v>
      </c>
      <c r="BS2442" s="3">
        <v>45888</v>
      </c>
      <c r="BT2442" s="4">
        <v>0.32430555555555557</v>
      </c>
      <c r="BU2442" t="s">
        <v>2873</v>
      </c>
      <c r="BV2442" t="s">
        <v>86</v>
      </c>
      <c r="BY2442">
        <v>1200</v>
      </c>
      <c r="CA2442" t="s">
        <v>433</v>
      </c>
      <c r="CC2442" t="s">
        <v>199</v>
      </c>
      <c r="CD2442">
        <v>6001</v>
      </c>
      <c r="CE2442" t="s">
        <v>109</v>
      </c>
      <c r="CI2442">
        <v>1</v>
      </c>
      <c r="CJ2442">
        <v>1</v>
      </c>
      <c r="CK2442">
        <v>21</v>
      </c>
      <c r="CL2442" t="s">
        <v>90</v>
      </c>
    </row>
    <row r="2443" spans="1:90" x14ac:dyDescent="0.3">
      <c r="A2443" t="s">
        <v>72</v>
      </c>
      <c r="B2443" t="s">
        <v>73</v>
      </c>
      <c r="C2443" t="s">
        <v>74</v>
      </c>
      <c r="E2443" t="str">
        <f>"080067290162"</f>
        <v>080067290162</v>
      </c>
      <c r="F2443" s="3">
        <v>45887</v>
      </c>
      <c r="G2443">
        <v>202605</v>
      </c>
      <c r="H2443" t="s">
        <v>75</v>
      </c>
      <c r="I2443" t="s">
        <v>76</v>
      </c>
      <c r="J2443" t="s">
        <v>77</v>
      </c>
      <c r="K2443" t="s">
        <v>78</v>
      </c>
      <c r="L2443" t="s">
        <v>223</v>
      </c>
      <c r="M2443" t="s">
        <v>224</v>
      </c>
      <c r="N2443" t="s">
        <v>225</v>
      </c>
      <c r="O2443" t="s">
        <v>82</v>
      </c>
      <c r="P2443" t="str">
        <f>"4170055245                    "</f>
        <v xml:space="preserve">4170055245                    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0</v>
      </c>
      <c r="AI2443">
        <v>0</v>
      </c>
      <c r="AJ2443">
        <v>0</v>
      </c>
      <c r="AK2443">
        <v>0</v>
      </c>
      <c r="AL2443">
        <v>0</v>
      </c>
      <c r="AM2443">
        <v>0</v>
      </c>
      <c r="AN2443">
        <v>0</v>
      </c>
      <c r="AO2443">
        <v>0</v>
      </c>
      <c r="AP2443">
        <v>0</v>
      </c>
      <c r="AQ2443">
        <v>23.09</v>
      </c>
      <c r="AR2443">
        <v>0</v>
      </c>
      <c r="AS2443">
        <v>0</v>
      </c>
      <c r="AT2443">
        <v>0</v>
      </c>
      <c r="AU2443">
        <v>0</v>
      </c>
      <c r="AV2443">
        <v>0</v>
      </c>
      <c r="AW2443">
        <v>0</v>
      </c>
      <c r="AX2443">
        <v>0</v>
      </c>
      <c r="AY2443">
        <v>0</v>
      </c>
      <c r="AZ2443">
        <v>0</v>
      </c>
      <c r="BA2443">
        <v>0</v>
      </c>
      <c r="BB2443">
        <v>0</v>
      </c>
      <c r="BC2443">
        <v>0</v>
      </c>
      <c r="BD2443">
        <v>0</v>
      </c>
      <c r="BE2443">
        <v>0</v>
      </c>
      <c r="BF2443">
        <v>0</v>
      </c>
      <c r="BG2443">
        <v>0</v>
      </c>
      <c r="BH2443">
        <v>1</v>
      </c>
      <c r="BI2443">
        <v>1</v>
      </c>
      <c r="BJ2443">
        <v>0.2</v>
      </c>
      <c r="BK2443">
        <v>1</v>
      </c>
      <c r="BL2443">
        <v>71.69</v>
      </c>
      <c r="BM2443">
        <v>10.75</v>
      </c>
      <c r="BN2443">
        <v>82.44</v>
      </c>
      <c r="BO2443">
        <v>82.44</v>
      </c>
      <c r="BQ2443" t="s">
        <v>226</v>
      </c>
      <c r="BR2443" t="s">
        <v>84</v>
      </c>
      <c r="BS2443" t="s">
        <v>96</v>
      </c>
      <c r="BY2443">
        <v>1200</v>
      </c>
      <c r="CC2443" t="s">
        <v>224</v>
      </c>
      <c r="CD2443">
        <v>5200</v>
      </c>
      <c r="CE2443" t="s">
        <v>109</v>
      </c>
      <c r="CI2443">
        <v>1</v>
      </c>
      <c r="CJ2443" t="s">
        <v>96</v>
      </c>
      <c r="CK2443">
        <v>21</v>
      </c>
      <c r="CL2443" t="s">
        <v>90</v>
      </c>
    </row>
    <row r="2444" spans="1:90" x14ac:dyDescent="0.3">
      <c r="A2444" t="s">
        <v>72</v>
      </c>
      <c r="B2444" t="s">
        <v>73</v>
      </c>
      <c r="C2444" t="s">
        <v>74</v>
      </c>
      <c r="E2444" t="str">
        <f>"080067290297"</f>
        <v>080067290297</v>
      </c>
      <c r="F2444" s="3">
        <v>45887</v>
      </c>
      <c r="G2444">
        <v>202605</v>
      </c>
      <c r="H2444" t="s">
        <v>75</v>
      </c>
      <c r="I2444" t="s">
        <v>76</v>
      </c>
      <c r="J2444" t="s">
        <v>77</v>
      </c>
      <c r="K2444" t="s">
        <v>78</v>
      </c>
      <c r="L2444" t="s">
        <v>162</v>
      </c>
      <c r="M2444" t="s">
        <v>163</v>
      </c>
      <c r="N2444" t="s">
        <v>246</v>
      </c>
      <c r="O2444" t="s">
        <v>82</v>
      </c>
      <c r="P2444" t="str">
        <f>"4170055202                    "</f>
        <v xml:space="preserve">4170055202                    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0</v>
      </c>
      <c r="AI2444">
        <v>0</v>
      </c>
      <c r="AJ2444">
        <v>0</v>
      </c>
      <c r="AK2444">
        <v>0</v>
      </c>
      <c r="AL2444">
        <v>0</v>
      </c>
      <c r="AM2444">
        <v>0</v>
      </c>
      <c r="AN2444">
        <v>0</v>
      </c>
      <c r="AO2444">
        <v>0</v>
      </c>
      <c r="AP2444">
        <v>0</v>
      </c>
      <c r="AQ2444">
        <v>23.09</v>
      </c>
      <c r="AR2444">
        <v>0</v>
      </c>
      <c r="AS2444">
        <v>0</v>
      </c>
      <c r="AT2444">
        <v>0</v>
      </c>
      <c r="AU2444">
        <v>0</v>
      </c>
      <c r="AV2444">
        <v>0</v>
      </c>
      <c r="AW2444">
        <v>0</v>
      </c>
      <c r="AX2444">
        <v>0</v>
      </c>
      <c r="AY2444">
        <v>0</v>
      </c>
      <c r="AZ2444">
        <v>0</v>
      </c>
      <c r="BA2444">
        <v>0</v>
      </c>
      <c r="BB2444">
        <v>0</v>
      </c>
      <c r="BC2444">
        <v>0</v>
      </c>
      <c r="BD2444">
        <v>0</v>
      </c>
      <c r="BE2444">
        <v>0</v>
      </c>
      <c r="BF2444">
        <v>0</v>
      </c>
      <c r="BG2444">
        <v>0</v>
      </c>
      <c r="BH2444">
        <v>1</v>
      </c>
      <c r="BI2444">
        <v>1</v>
      </c>
      <c r="BJ2444">
        <v>0.2</v>
      </c>
      <c r="BK2444">
        <v>1</v>
      </c>
      <c r="BL2444">
        <v>71.69</v>
      </c>
      <c r="BM2444">
        <v>10.75</v>
      </c>
      <c r="BN2444">
        <v>82.44</v>
      </c>
      <c r="BO2444">
        <v>82.44</v>
      </c>
      <c r="BQ2444" t="s">
        <v>247</v>
      </c>
      <c r="BR2444" t="s">
        <v>84</v>
      </c>
      <c r="BS2444" t="s">
        <v>96</v>
      </c>
      <c r="BY2444">
        <v>1200</v>
      </c>
      <c r="BZ2444" t="s">
        <v>330</v>
      </c>
      <c r="CC2444" t="s">
        <v>163</v>
      </c>
      <c r="CD2444">
        <v>3201</v>
      </c>
      <c r="CE2444" t="s">
        <v>109</v>
      </c>
      <c r="CI2444">
        <v>1</v>
      </c>
      <c r="CJ2444" t="s">
        <v>96</v>
      </c>
      <c r="CK2444">
        <v>21</v>
      </c>
      <c r="CL2444" t="s">
        <v>90</v>
      </c>
    </row>
    <row r="2445" spans="1:90" x14ac:dyDescent="0.3">
      <c r="A2445" t="s">
        <v>72</v>
      </c>
      <c r="B2445" t="s">
        <v>73</v>
      </c>
      <c r="C2445" t="s">
        <v>74</v>
      </c>
      <c r="E2445" t="str">
        <f>"080067290307"</f>
        <v>080067290307</v>
      </c>
      <c r="F2445" s="3">
        <v>45887</v>
      </c>
      <c r="G2445">
        <v>202605</v>
      </c>
      <c r="H2445" t="s">
        <v>75</v>
      </c>
      <c r="I2445" t="s">
        <v>76</v>
      </c>
      <c r="J2445" t="s">
        <v>77</v>
      </c>
      <c r="K2445" t="s">
        <v>78</v>
      </c>
      <c r="L2445" t="s">
        <v>325</v>
      </c>
      <c r="M2445" t="s">
        <v>326</v>
      </c>
      <c r="N2445" t="s">
        <v>417</v>
      </c>
      <c r="O2445" t="s">
        <v>82</v>
      </c>
      <c r="P2445" t="str">
        <f>"4170055203                    "</f>
        <v xml:space="preserve">4170055203                    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0</v>
      </c>
      <c r="AI2445">
        <v>0</v>
      </c>
      <c r="AJ2445">
        <v>0</v>
      </c>
      <c r="AK2445">
        <v>0</v>
      </c>
      <c r="AL2445">
        <v>0</v>
      </c>
      <c r="AM2445">
        <v>0</v>
      </c>
      <c r="AN2445">
        <v>0</v>
      </c>
      <c r="AO2445">
        <v>0</v>
      </c>
      <c r="AP2445">
        <v>0</v>
      </c>
      <c r="AQ2445">
        <v>18.03</v>
      </c>
      <c r="AR2445">
        <v>0</v>
      </c>
      <c r="AS2445">
        <v>0</v>
      </c>
      <c r="AT2445">
        <v>0</v>
      </c>
      <c r="AU2445">
        <v>0</v>
      </c>
      <c r="AV2445">
        <v>0</v>
      </c>
      <c r="AW2445">
        <v>0</v>
      </c>
      <c r="AX2445">
        <v>0</v>
      </c>
      <c r="AY2445">
        <v>0</v>
      </c>
      <c r="AZ2445">
        <v>0</v>
      </c>
      <c r="BA2445">
        <v>0</v>
      </c>
      <c r="BB2445">
        <v>0</v>
      </c>
      <c r="BC2445">
        <v>0</v>
      </c>
      <c r="BD2445">
        <v>0</v>
      </c>
      <c r="BE2445">
        <v>0</v>
      </c>
      <c r="BF2445">
        <v>0</v>
      </c>
      <c r="BG2445">
        <v>0</v>
      </c>
      <c r="BH2445">
        <v>1</v>
      </c>
      <c r="BI2445">
        <v>1</v>
      </c>
      <c r="BJ2445">
        <v>0.2</v>
      </c>
      <c r="BK2445">
        <v>1</v>
      </c>
      <c r="BL2445">
        <v>55.99</v>
      </c>
      <c r="BM2445">
        <v>8.4</v>
      </c>
      <c r="BN2445">
        <v>64.39</v>
      </c>
      <c r="BO2445">
        <v>64.39</v>
      </c>
      <c r="BQ2445" t="s">
        <v>418</v>
      </c>
      <c r="BR2445" t="s">
        <v>84</v>
      </c>
      <c r="BS2445" s="3">
        <v>45888</v>
      </c>
      <c r="BT2445" s="4">
        <v>0.34444444444444444</v>
      </c>
      <c r="BU2445" t="s">
        <v>2865</v>
      </c>
      <c r="BV2445" t="s">
        <v>86</v>
      </c>
      <c r="BY2445">
        <v>1200</v>
      </c>
      <c r="BZ2445" t="s">
        <v>330</v>
      </c>
      <c r="CA2445" t="s">
        <v>331</v>
      </c>
      <c r="CC2445" t="s">
        <v>326</v>
      </c>
      <c r="CD2445">
        <v>2013</v>
      </c>
      <c r="CE2445" t="s">
        <v>109</v>
      </c>
      <c r="CI2445">
        <v>1</v>
      </c>
      <c r="CJ2445">
        <v>1</v>
      </c>
      <c r="CK2445">
        <v>22</v>
      </c>
      <c r="CL2445" t="s">
        <v>90</v>
      </c>
    </row>
    <row r="2446" spans="1:90" x14ac:dyDescent="0.3">
      <c r="A2446" t="s">
        <v>72</v>
      </c>
      <c r="B2446" t="s">
        <v>73</v>
      </c>
      <c r="C2446" t="s">
        <v>74</v>
      </c>
      <c r="E2446" t="str">
        <f>"080067290329"</f>
        <v>080067290329</v>
      </c>
      <c r="F2446" s="3">
        <v>45887</v>
      </c>
      <c r="G2446">
        <v>202605</v>
      </c>
      <c r="H2446" t="s">
        <v>75</v>
      </c>
      <c r="I2446" t="s">
        <v>76</v>
      </c>
      <c r="J2446" t="s">
        <v>77</v>
      </c>
      <c r="K2446" t="s">
        <v>78</v>
      </c>
      <c r="L2446" t="s">
        <v>278</v>
      </c>
      <c r="M2446" t="s">
        <v>279</v>
      </c>
      <c r="N2446" t="s">
        <v>958</v>
      </c>
      <c r="O2446" t="s">
        <v>82</v>
      </c>
      <c r="P2446" t="str">
        <f>"4170055221                    "</f>
        <v xml:space="preserve">4170055221                    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0</v>
      </c>
      <c r="AK2446">
        <v>0</v>
      </c>
      <c r="AL2446">
        <v>0</v>
      </c>
      <c r="AM2446">
        <v>0</v>
      </c>
      <c r="AN2446">
        <v>0</v>
      </c>
      <c r="AO2446">
        <v>0</v>
      </c>
      <c r="AP2446">
        <v>0</v>
      </c>
      <c r="AQ2446">
        <v>23.09</v>
      </c>
      <c r="AR2446">
        <v>0</v>
      </c>
      <c r="AS2446">
        <v>0</v>
      </c>
      <c r="AT2446">
        <v>0</v>
      </c>
      <c r="AU2446">
        <v>0</v>
      </c>
      <c r="AV2446">
        <v>0</v>
      </c>
      <c r="AW2446">
        <v>0</v>
      </c>
      <c r="AX2446">
        <v>0</v>
      </c>
      <c r="AY2446">
        <v>0</v>
      </c>
      <c r="AZ2446">
        <v>0</v>
      </c>
      <c r="BA2446">
        <v>0</v>
      </c>
      <c r="BB2446">
        <v>0</v>
      </c>
      <c r="BC2446">
        <v>0</v>
      </c>
      <c r="BD2446">
        <v>0</v>
      </c>
      <c r="BE2446">
        <v>0</v>
      </c>
      <c r="BF2446">
        <v>0</v>
      </c>
      <c r="BG2446">
        <v>0</v>
      </c>
      <c r="BH2446">
        <v>1</v>
      </c>
      <c r="BI2446">
        <v>1</v>
      </c>
      <c r="BJ2446">
        <v>0.2</v>
      </c>
      <c r="BK2446">
        <v>1</v>
      </c>
      <c r="BL2446">
        <v>71.69</v>
      </c>
      <c r="BM2446">
        <v>10.75</v>
      </c>
      <c r="BN2446">
        <v>82.44</v>
      </c>
      <c r="BO2446">
        <v>82.44</v>
      </c>
      <c r="BQ2446" t="s">
        <v>959</v>
      </c>
      <c r="BR2446" t="s">
        <v>84</v>
      </c>
      <c r="BS2446" t="s">
        <v>96</v>
      </c>
      <c r="BY2446">
        <v>1200</v>
      </c>
      <c r="CC2446" t="s">
        <v>279</v>
      </c>
      <c r="CD2446" s="5" t="s">
        <v>962</v>
      </c>
      <c r="CE2446" t="s">
        <v>109</v>
      </c>
      <c r="CI2446">
        <v>1</v>
      </c>
      <c r="CJ2446" t="s">
        <v>96</v>
      </c>
      <c r="CK2446">
        <v>21</v>
      </c>
      <c r="CL2446" t="s">
        <v>90</v>
      </c>
    </row>
    <row r="2447" spans="1:90" x14ac:dyDescent="0.3">
      <c r="A2447" t="s">
        <v>72</v>
      </c>
      <c r="B2447" t="s">
        <v>73</v>
      </c>
      <c r="C2447" t="s">
        <v>74</v>
      </c>
      <c r="E2447" t="str">
        <f>"080067290355"</f>
        <v>080067290355</v>
      </c>
      <c r="F2447" s="3">
        <v>45887</v>
      </c>
      <c r="G2447">
        <v>202605</v>
      </c>
      <c r="H2447" t="s">
        <v>75</v>
      </c>
      <c r="I2447" t="s">
        <v>76</v>
      </c>
      <c r="J2447" t="s">
        <v>77</v>
      </c>
      <c r="K2447" t="s">
        <v>78</v>
      </c>
      <c r="L2447" t="s">
        <v>123</v>
      </c>
      <c r="M2447" t="s">
        <v>124</v>
      </c>
      <c r="N2447" t="s">
        <v>406</v>
      </c>
      <c r="O2447" t="s">
        <v>82</v>
      </c>
      <c r="P2447" t="str">
        <f>"4170055257                    "</f>
        <v xml:space="preserve">4170055257                    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0</v>
      </c>
      <c r="AL2447">
        <v>0</v>
      </c>
      <c r="AM2447">
        <v>0</v>
      </c>
      <c r="AN2447">
        <v>0</v>
      </c>
      <c r="AO2447">
        <v>0</v>
      </c>
      <c r="AP2447">
        <v>0</v>
      </c>
      <c r="AQ2447">
        <v>23.09</v>
      </c>
      <c r="AR2447">
        <v>0</v>
      </c>
      <c r="AS2447">
        <v>0</v>
      </c>
      <c r="AT2447">
        <v>0</v>
      </c>
      <c r="AU2447">
        <v>0</v>
      </c>
      <c r="AV2447">
        <v>0</v>
      </c>
      <c r="AW2447">
        <v>0</v>
      </c>
      <c r="AX2447">
        <v>0</v>
      </c>
      <c r="AY2447">
        <v>0</v>
      </c>
      <c r="AZ2447">
        <v>0</v>
      </c>
      <c r="BA2447">
        <v>0</v>
      </c>
      <c r="BB2447">
        <v>0</v>
      </c>
      <c r="BC2447">
        <v>0</v>
      </c>
      <c r="BD2447">
        <v>0</v>
      </c>
      <c r="BE2447">
        <v>0</v>
      </c>
      <c r="BF2447">
        <v>0</v>
      </c>
      <c r="BG2447">
        <v>0</v>
      </c>
      <c r="BH2447">
        <v>1</v>
      </c>
      <c r="BI2447">
        <v>1</v>
      </c>
      <c r="BJ2447">
        <v>0.2</v>
      </c>
      <c r="BK2447">
        <v>1</v>
      </c>
      <c r="BL2447">
        <v>71.69</v>
      </c>
      <c r="BM2447">
        <v>10.75</v>
      </c>
      <c r="BN2447">
        <v>82.44</v>
      </c>
      <c r="BO2447">
        <v>82.44</v>
      </c>
      <c r="BQ2447" t="s">
        <v>407</v>
      </c>
      <c r="BR2447" t="s">
        <v>84</v>
      </c>
      <c r="BS2447" t="s">
        <v>96</v>
      </c>
      <c r="BY2447">
        <v>1200</v>
      </c>
      <c r="CC2447" t="s">
        <v>124</v>
      </c>
      <c r="CD2447">
        <v>7441</v>
      </c>
      <c r="CE2447" t="s">
        <v>109</v>
      </c>
      <c r="CI2447">
        <v>1</v>
      </c>
      <c r="CJ2447" t="s">
        <v>96</v>
      </c>
      <c r="CK2447">
        <v>21</v>
      </c>
      <c r="CL2447" t="s">
        <v>90</v>
      </c>
    </row>
    <row r="2448" spans="1:90" x14ac:dyDescent="0.3">
      <c r="A2448" t="s">
        <v>72</v>
      </c>
      <c r="B2448" t="s">
        <v>73</v>
      </c>
      <c r="C2448" t="s">
        <v>74</v>
      </c>
      <c r="E2448" t="str">
        <f>"080067290356"</f>
        <v>080067290356</v>
      </c>
      <c r="F2448" s="3">
        <v>45887</v>
      </c>
      <c r="G2448">
        <v>202605</v>
      </c>
      <c r="H2448" t="s">
        <v>75</v>
      </c>
      <c r="I2448" t="s">
        <v>76</v>
      </c>
      <c r="J2448" t="s">
        <v>77</v>
      </c>
      <c r="K2448" t="s">
        <v>78</v>
      </c>
      <c r="L2448" t="s">
        <v>123</v>
      </c>
      <c r="M2448" t="s">
        <v>124</v>
      </c>
      <c r="N2448" t="s">
        <v>125</v>
      </c>
      <c r="O2448" t="s">
        <v>82</v>
      </c>
      <c r="P2448" t="str">
        <f>"4170055207                    "</f>
        <v xml:space="preserve">4170055207                    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0</v>
      </c>
      <c r="AI2448">
        <v>0</v>
      </c>
      <c r="AJ2448">
        <v>0</v>
      </c>
      <c r="AK2448">
        <v>0</v>
      </c>
      <c r="AL2448">
        <v>0</v>
      </c>
      <c r="AM2448">
        <v>0</v>
      </c>
      <c r="AN2448">
        <v>0</v>
      </c>
      <c r="AO2448">
        <v>0</v>
      </c>
      <c r="AP2448">
        <v>0</v>
      </c>
      <c r="AQ2448">
        <v>23.09</v>
      </c>
      <c r="AR2448">
        <v>0</v>
      </c>
      <c r="AS2448">
        <v>0</v>
      </c>
      <c r="AT2448">
        <v>0</v>
      </c>
      <c r="AU2448">
        <v>0</v>
      </c>
      <c r="AV2448">
        <v>0</v>
      </c>
      <c r="AW2448">
        <v>0</v>
      </c>
      <c r="AX2448">
        <v>0</v>
      </c>
      <c r="AY2448">
        <v>0</v>
      </c>
      <c r="AZ2448">
        <v>0</v>
      </c>
      <c r="BA2448">
        <v>0</v>
      </c>
      <c r="BB2448">
        <v>0</v>
      </c>
      <c r="BC2448">
        <v>0</v>
      </c>
      <c r="BD2448">
        <v>0</v>
      </c>
      <c r="BE2448">
        <v>0</v>
      </c>
      <c r="BF2448">
        <v>0</v>
      </c>
      <c r="BG2448">
        <v>0</v>
      </c>
      <c r="BH2448">
        <v>1</v>
      </c>
      <c r="BI2448">
        <v>1</v>
      </c>
      <c r="BJ2448">
        <v>0.2</v>
      </c>
      <c r="BK2448">
        <v>1</v>
      </c>
      <c r="BL2448">
        <v>71.69</v>
      </c>
      <c r="BM2448">
        <v>10.75</v>
      </c>
      <c r="BN2448">
        <v>82.44</v>
      </c>
      <c r="BO2448">
        <v>82.44</v>
      </c>
      <c r="BQ2448" t="s">
        <v>126</v>
      </c>
      <c r="BR2448" t="s">
        <v>84</v>
      </c>
      <c r="BS2448" s="3">
        <v>45888</v>
      </c>
      <c r="BT2448" s="4">
        <v>0.32569444444444445</v>
      </c>
      <c r="BU2448" t="s">
        <v>2798</v>
      </c>
      <c r="BV2448" t="s">
        <v>86</v>
      </c>
      <c r="BY2448">
        <v>1200</v>
      </c>
      <c r="CA2448" t="s">
        <v>128</v>
      </c>
      <c r="CC2448" t="s">
        <v>124</v>
      </c>
      <c r="CD2448">
        <v>7530</v>
      </c>
      <c r="CE2448" t="s">
        <v>109</v>
      </c>
      <c r="CI2448">
        <v>1</v>
      </c>
      <c r="CJ2448">
        <v>1</v>
      </c>
      <c r="CK2448">
        <v>21</v>
      </c>
      <c r="CL2448" t="s">
        <v>90</v>
      </c>
    </row>
    <row r="2449" spans="1:90" x14ac:dyDescent="0.3">
      <c r="A2449" t="s">
        <v>72</v>
      </c>
      <c r="B2449" t="s">
        <v>73</v>
      </c>
      <c r="C2449" t="s">
        <v>74</v>
      </c>
      <c r="E2449" t="str">
        <f>"080067290407"</f>
        <v>080067290407</v>
      </c>
      <c r="F2449" s="3">
        <v>45887</v>
      </c>
      <c r="G2449">
        <v>202605</v>
      </c>
      <c r="H2449" t="s">
        <v>75</v>
      </c>
      <c r="I2449" t="s">
        <v>76</v>
      </c>
      <c r="J2449" t="s">
        <v>77</v>
      </c>
      <c r="K2449" t="s">
        <v>78</v>
      </c>
      <c r="L2449" t="s">
        <v>855</v>
      </c>
      <c r="M2449" t="s">
        <v>856</v>
      </c>
      <c r="N2449" t="s">
        <v>1601</v>
      </c>
      <c r="O2449" t="s">
        <v>113</v>
      </c>
      <c r="P2449" t="str">
        <f>"4170055227                    "</f>
        <v xml:space="preserve">4170055227                    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0</v>
      </c>
      <c r="AI2449">
        <v>0</v>
      </c>
      <c r="AJ2449">
        <v>0</v>
      </c>
      <c r="AK2449">
        <v>0</v>
      </c>
      <c r="AL2449">
        <v>0</v>
      </c>
      <c r="AM2449">
        <v>0</v>
      </c>
      <c r="AN2449">
        <v>0</v>
      </c>
      <c r="AO2449">
        <v>0</v>
      </c>
      <c r="AP2449">
        <v>0</v>
      </c>
      <c r="AQ2449">
        <v>18.04</v>
      </c>
      <c r="AR2449">
        <v>0</v>
      </c>
      <c r="AS2449">
        <v>0</v>
      </c>
      <c r="AT2449">
        <v>0</v>
      </c>
      <c r="AU2449">
        <v>0</v>
      </c>
      <c r="AV2449">
        <v>0</v>
      </c>
      <c r="AW2449">
        <v>0</v>
      </c>
      <c r="AX2449">
        <v>0</v>
      </c>
      <c r="AY2449">
        <v>0</v>
      </c>
      <c r="AZ2449">
        <v>0</v>
      </c>
      <c r="BA2449">
        <v>0</v>
      </c>
      <c r="BB2449">
        <v>0</v>
      </c>
      <c r="BC2449">
        <v>0</v>
      </c>
      <c r="BD2449">
        <v>0</v>
      </c>
      <c r="BE2449">
        <v>0</v>
      </c>
      <c r="BF2449">
        <v>0</v>
      </c>
      <c r="BG2449">
        <v>0</v>
      </c>
      <c r="BH2449">
        <v>1</v>
      </c>
      <c r="BI2449">
        <v>6</v>
      </c>
      <c r="BJ2449">
        <v>3.4</v>
      </c>
      <c r="BK2449">
        <v>6</v>
      </c>
      <c r="BL2449">
        <v>56.01</v>
      </c>
      <c r="BM2449">
        <v>8.4</v>
      </c>
      <c r="BN2449">
        <v>64.41</v>
      </c>
      <c r="BO2449">
        <v>64.41</v>
      </c>
      <c r="BQ2449" t="s">
        <v>1602</v>
      </c>
      <c r="BR2449" t="s">
        <v>84</v>
      </c>
      <c r="BS2449" t="s">
        <v>96</v>
      </c>
      <c r="BY2449">
        <v>16965</v>
      </c>
      <c r="CC2449" t="s">
        <v>856</v>
      </c>
      <c r="CD2449">
        <v>1684</v>
      </c>
      <c r="CE2449" t="s">
        <v>147</v>
      </c>
      <c r="CI2449">
        <v>1</v>
      </c>
      <c r="CJ2449" t="s">
        <v>96</v>
      </c>
      <c r="CK2449">
        <v>32</v>
      </c>
      <c r="CL2449" t="s">
        <v>90</v>
      </c>
    </row>
    <row r="2450" spans="1:90" x14ac:dyDescent="0.3">
      <c r="A2450" t="s">
        <v>72</v>
      </c>
      <c r="B2450" t="s">
        <v>73</v>
      </c>
      <c r="C2450" t="s">
        <v>74</v>
      </c>
      <c r="E2450" t="str">
        <f>"080067290409"</f>
        <v>080067290409</v>
      </c>
      <c r="F2450" s="3">
        <v>45887</v>
      </c>
      <c r="G2450">
        <v>202605</v>
      </c>
      <c r="H2450" t="s">
        <v>75</v>
      </c>
      <c r="I2450" t="s">
        <v>76</v>
      </c>
      <c r="J2450" t="s">
        <v>77</v>
      </c>
      <c r="K2450" t="s">
        <v>78</v>
      </c>
      <c r="L2450" t="s">
        <v>118</v>
      </c>
      <c r="M2450" t="s">
        <v>118</v>
      </c>
      <c r="N2450" t="s">
        <v>119</v>
      </c>
      <c r="O2450" t="s">
        <v>82</v>
      </c>
      <c r="P2450" t="str">
        <f>"4170055248                    "</f>
        <v xml:space="preserve">4170055248                    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0</v>
      </c>
      <c r="AI2450">
        <v>0</v>
      </c>
      <c r="AJ2450">
        <v>0</v>
      </c>
      <c r="AK2450">
        <v>0</v>
      </c>
      <c r="AL2450">
        <v>0</v>
      </c>
      <c r="AM2450">
        <v>0</v>
      </c>
      <c r="AN2450">
        <v>0</v>
      </c>
      <c r="AO2450">
        <v>0</v>
      </c>
      <c r="AP2450">
        <v>0</v>
      </c>
      <c r="AQ2450">
        <v>44.73</v>
      </c>
      <c r="AR2450">
        <v>0</v>
      </c>
      <c r="AS2450">
        <v>0</v>
      </c>
      <c r="AT2450">
        <v>0</v>
      </c>
      <c r="AU2450">
        <v>0</v>
      </c>
      <c r="AV2450">
        <v>0</v>
      </c>
      <c r="AW2450">
        <v>0</v>
      </c>
      <c r="AX2450">
        <v>0</v>
      </c>
      <c r="AY2450">
        <v>0</v>
      </c>
      <c r="AZ2450">
        <v>0</v>
      </c>
      <c r="BA2450">
        <v>0</v>
      </c>
      <c r="BB2450">
        <v>0</v>
      </c>
      <c r="BC2450">
        <v>0</v>
      </c>
      <c r="BD2450">
        <v>0</v>
      </c>
      <c r="BE2450">
        <v>0</v>
      </c>
      <c r="BF2450">
        <v>0</v>
      </c>
      <c r="BG2450">
        <v>0</v>
      </c>
      <c r="BH2450">
        <v>1</v>
      </c>
      <c r="BI2450">
        <v>1</v>
      </c>
      <c r="BJ2450">
        <v>0.2</v>
      </c>
      <c r="BK2450">
        <v>1</v>
      </c>
      <c r="BL2450">
        <v>138.88999999999999</v>
      </c>
      <c r="BM2450">
        <v>20.83</v>
      </c>
      <c r="BN2450">
        <v>159.72</v>
      </c>
      <c r="BO2450">
        <v>159.72</v>
      </c>
      <c r="BQ2450" t="s">
        <v>120</v>
      </c>
      <c r="BR2450" t="s">
        <v>84</v>
      </c>
      <c r="BS2450" t="s">
        <v>96</v>
      </c>
      <c r="BY2450">
        <v>1200</v>
      </c>
      <c r="CC2450" t="s">
        <v>118</v>
      </c>
      <c r="CD2450">
        <v>7646</v>
      </c>
      <c r="CE2450" t="s">
        <v>109</v>
      </c>
      <c r="CI2450">
        <v>1</v>
      </c>
      <c r="CJ2450" t="s">
        <v>96</v>
      </c>
      <c r="CK2450">
        <v>23</v>
      </c>
      <c r="CL2450" t="s">
        <v>90</v>
      </c>
    </row>
    <row r="2451" spans="1:90" x14ac:dyDescent="0.3">
      <c r="A2451" t="s">
        <v>72</v>
      </c>
      <c r="B2451" t="s">
        <v>73</v>
      </c>
      <c r="C2451" t="s">
        <v>74</v>
      </c>
      <c r="E2451" t="str">
        <f>"080067290440"</f>
        <v>080067290440</v>
      </c>
      <c r="F2451" s="3">
        <v>45887</v>
      </c>
      <c r="G2451">
        <v>202605</v>
      </c>
      <c r="H2451" t="s">
        <v>75</v>
      </c>
      <c r="I2451" t="s">
        <v>76</v>
      </c>
      <c r="J2451" t="s">
        <v>77</v>
      </c>
      <c r="K2451" t="s">
        <v>78</v>
      </c>
      <c r="L2451" t="s">
        <v>217</v>
      </c>
      <c r="M2451" t="s">
        <v>218</v>
      </c>
      <c r="N2451" t="s">
        <v>2226</v>
      </c>
      <c r="O2451" t="s">
        <v>82</v>
      </c>
      <c r="P2451" t="str">
        <f>"4170055204                    "</f>
        <v xml:space="preserve">4170055204                    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0</v>
      </c>
      <c r="AI2451">
        <v>0</v>
      </c>
      <c r="AJ2451">
        <v>0</v>
      </c>
      <c r="AK2451">
        <v>0</v>
      </c>
      <c r="AL2451">
        <v>0</v>
      </c>
      <c r="AM2451">
        <v>0</v>
      </c>
      <c r="AN2451">
        <v>0</v>
      </c>
      <c r="AO2451">
        <v>0</v>
      </c>
      <c r="AP2451">
        <v>0</v>
      </c>
      <c r="AQ2451">
        <v>34.619999999999997</v>
      </c>
      <c r="AR2451">
        <v>0</v>
      </c>
      <c r="AS2451">
        <v>0</v>
      </c>
      <c r="AT2451">
        <v>0</v>
      </c>
      <c r="AU2451">
        <v>0</v>
      </c>
      <c r="AV2451">
        <v>0</v>
      </c>
      <c r="AW2451">
        <v>0</v>
      </c>
      <c r="AX2451">
        <v>0</v>
      </c>
      <c r="AY2451">
        <v>0</v>
      </c>
      <c r="AZ2451">
        <v>0</v>
      </c>
      <c r="BA2451">
        <v>0</v>
      </c>
      <c r="BB2451">
        <v>0</v>
      </c>
      <c r="BC2451">
        <v>0</v>
      </c>
      <c r="BD2451">
        <v>0</v>
      </c>
      <c r="BE2451">
        <v>0</v>
      </c>
      <c r="BF2451">
        <v>0</v>
      </c>
      <c r="BG2451">
        <v>0</v>
      </c>
      <c r="BH2451">
        <v>1</v>
      </c>
      <c r="BI2451">
        <v>3</v>
      </c>
      <c r="BJ2451">
        <v>1.7</v>
      </c>
      <c r="BK2451">
        <v>3</v>
      </c>
      <c r="BL2451">
        <v>107.5</v>
      </c>
      <c r="BM2451">
        <v>16.13</v>
      </c>
      <c r="BN2451">
        <v>123.63</v>
      </c>
      <c r="BO2451">
        <v>123.63</v>
      </c>
      <c r="BQ2451" t="s">
        <v>2227</v>
      </c>
      <c r="BR2451" t="s">
        <v>84</v>
      </c>
      <c r="BS2451" t="s">
        <v>96</v>
      </c>
      <c r="BY2451">
        <v>8512</v>
      </c>
      <c r="CC2451" t="s">
        <v>218</v>
      </c>
      <c r="CD2451">
        <v>4072</v>
      </c>
      <c r="CE2451" t="s">
        <v>147</v>
      </c>
      <c r="CI2451">
        <v>1</v>
      </c>
      <c r="CJ2451" t="s">
        <v>96</v>
      </c>
      <c r="CK2451">
        <v>21</v>
      </c>
      <c r="CL2451" t="s">
        <v>90</v>
      </c>
    </row>
    <row r="2452" spans="1:90" x14ac:dyDescent="0.3">
      <c r="A2452" t="s">
        <v>72</v>
      </c>
      <c r="B2452" t="s">
        <v>73</v>
      </c>
      <c r="C2452" t="s">
        <v>74</v>
      </c>
      <c r="E2452" t="str">
        <f>"080067290469"</f>
        <v>080067290469</v>
      </c>
      <c r="F2452" s="3">
        <v>45887</v>
      </c>
      <c r="G2452">
        <v>202605</v>
      </c>
      <c r="H2452" t="s">
        <v>75</v>
      </c>
      <c r="I2452" t="s">
        <v>76</v>
      </c>
      <c r="J2452" t="s">
        <v>77</v>
      </c>
      <c r="K2452" t="s">
        <v>78</v>
      </c>
      <c r="L2452" t="s">
        <v>325</v>
      </c>
      <c r="M2452" t="s">
        <v>326</v>
      </c>
      <c r="N2452" t="s">
        <v>417</v>
      </c>
      <c r="O2452" t="s">
        <v>82</v>
      </c>
      <c r="P2452" t="str">
        <f>"4170055218                    "</f>
        <v xml:space="preserve">4170055218                    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0</v>
      </c>
      <c r="AI2452">
        <v>0</v>
      </c>
      <c r="AJ2452">
        <v>0</v>
      </c>
      <c r="AK2452">
        <v>0</v>
      </c>
      <c r="AL2452">
        <v>0</v>
      </c>
      <c r="AM2452">
        <v>0</v>
      </c>
      <c r="AN2452">
        <v>0</v>
      </c>
      <c r="AO2452">
        <v>0</v>
      </c>
      <c r="AP2452">
        <v>0</v>
      </c>
      <c r="AQ2452">
        <v>18.03</v>
      </c>
      <c r="AR2452">
        <v>0</v>
      </c>
      <c r="AS2452">
        <v>0</v>
      </c>
      <c r="AT2452">
        <v>0</v>
      </c>
      <c r="AU2452">
        <v>0</v>
      </c>
      <c r="AV2452">
        <v>0</v>
      </c>
      <c r="AW2452">
        <v>0</v>
      </c>
      <c r="AX2452">
        <v>0</v>
      </c>
      <c r="AY2452">
        <v>0</v>
      </c>
      <c r="AZ2452">
        <v>0</v>
      </c>
      <c r="BA2452">
        <v>0</v>
      </c>
      <c r="BB2452">
        <v>0</v>
      </c>
      <c r="BC2452">
        <v>0</v>
      </c>
      <c r="BD2452">
        <v>0</v>
      </c>
      <c r="BE2452">
        <v>0</v>
      </c>
      <c r="BF2452">
        <v>0</v>
      </c>
      <c r="BG2452">
        <v>0</v>
      </c>
      <c r="BH2452">
        <v>1</v>
      </c>
      <c r="BI2452">
        <v>1</v>
      </c>
      <c r="BJ2452">
        <v>1.4</v>
      </c>
      <c r="BK2452">
        <v>2</v>
      </c>
      <c r="BL2452">
        <v>55.99</v>
      </c>
      <c r="BM2452">
        <v>8.4</v>
      </c>
      <c r="BN2452">
        <v>64.39</v>
      </c>
      <c r="BO2452">
        <v>64.39</v>
      </c>
      <c r="BQ2452" t="s">
        <v>418</v>
      </c>
      <c r="BR2452" t="s">
        <v>84</v>
      </c>
      <c r="BS2452" s="3">
        <v>45888</v>
      </c>
      <c r="BT2452" s="4">
        <v>0.34027777777777779</v>
      </c>
      <c r="BU2452" t="s">
        <v>2865</v>
      </c>
      <c r="BV2452" t="s">
        <v>86</v>
      </c>
      <c r="BY2452">
        <v>7000</v>
      </c>
      <c r="CA2452" t="s">
        <v>331</v>
      </c>
      <c r="CC2452" t="s">
        <v>326</v>
      </c>
      <c r="CD2452">
        <v>2013</v>
      </c>
      <c r="CE2452" t="s">
        <v>147</v>
      </c>
      <c r="CI2452">
        <v>1</v>
      </c>
      <c r="CJ2452">
        <v>1</v>
      </c>
      <c r="CK2452">
        <v>22</v>
      </c>
      <c r="CL2452" t="s">
        <v>90</v>
      </c>
    </row>
    <row r="2453" spans="1:90" x14ac:dyDescent="0.3">
      <c r="A2453" t="s">
        <v>72</v>
      </c>
      <c r="B2453" t="s">
        <v>73</v>
      </c>
      <c r="C2453" t="s">
        <v>74</v>
      </c>
      <c r="E2453" t="str">
        <f>"080067290797"</f>
        <v>080067290797</v>
      </c>
      <c r="F2453" s="3">
        <v>45887</v>
      </c>
      <c r="G2453">
        <v>202605</v>
      </c>
      <c r="H2453" t="s">
        <v>75</v>
      </c>
      <c r="I2453" t="s">
        <v>76</v>
      </c>
      <c r="J2453" t="s">
        <v>77</v>
      </c>
      <c r="K2453" t="s">
        <v>78</v>
      </c>
      <c r="L2453" t="s">
        <v>325</v>
      </c>
      <c r="M2453" t="s">
        <v>326</v>
      </c>
      <c r="N2453" t="s">
        <v>1055</v>
      </c>
      <c r="O2453" t="s">
        <v>95</v>
      </c>
      <c r="P2453" t="str">
        <f>"4170055200                    "</f>
        <v xml:space="preserve">4170055200                    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0</v>
      </c>
      <c r="AI2453">
        <v>0</v>
      </c>
      <c r="AJ2453">
        <v>0</v>
      </c>
      <c r="AK2453">
        <v>0</v>
      </c>
      <c r="AL2453">
        <v>0</v>
      </c>
      <c r="AM2453">
        <v>0</v>
      </c>
      <c r="AN2453">
        <v>0</v>
      </c>
      <c r="AO2453">
        <v>0</v>
      </c>
      <c r="AP2453">
        <v>0</v>
      </c>
      <c r="AQ2453">
        <v>41.5</v>
      </c>
      <c r="AR2453">
        <v>0</v>
      </c>
      <c r="AS2453">
        <v>0</v>
      </c>
      <c r="AT2453">
        <v>0</v>
      </c>
      <c r="AU2453">
        <v>0</v>
      </c>
      <c r="AV2453">
        <v>0</v>
      </c>
      <c r="AW2453">
        <v>0</v>
      </c>
      <c r="AX2453">
        <v>0</v>
      </c>
      <c r="AY2453">
        <v>0</v>
      </c>
      <c r="AZ2453">
        <v>0</v>
      </c>
      <c r="BA2453">
        <v>0</v>
      </c>
      <c r="BB2453">
        <v>0</v>
      </c>
      <c r="BC2453">
        <v>0</v>
      </c>
      <c r="BD2453">
        <v>0</v>
      </c>
      <c r="BE2453">
        <v>0</v>
      </c>
      <c r="BF2453">
        <v>0</v>
      </c>
      <c r="BG2453">
        <v>0</v>
      </c>
      <c r="BH2453">
        <v>2</v>
      </c>
      <c r="BI2453">
        <v>22</v>
      </c>
      <c r="BJ2453">
        <v>15</v>
      </c>
      <c r="BK2453">
        <v>22</v>
      </c>
      <c r="BL2453">
        <v>134.72999999999999</v>
      </c>
      <c r="BM2453">
        <v>20.21</v>
      </c>
      <c r="BN2453">
        <v>154.94</v>
      </c>
      <c r="BO2453">
        <v>154.94</v>
      </c>
      <c r="BQ2453" t="s">
        <v>1056</v>
      </c>
      <c r="BR2453" t="s">
        <v>84</v>
      </c>
      <c r="BS2453" t="s">
        <v>96</v>
      </c>
      <c r="BY2453">
        <v>37584</v>
      </c>
      <c r="CC2453" t="s">
        <v>326</v>
      </c>
      <c r="CD2453">
        <v>2094</v>
      </c>
      <c r="CE2453" t="s">
        <v>2107</v>
      </c>
      <c r="CI2453">
        <v>1</v>
      </c>
      <c r="CJ2453" t="s">
        <v>96</v>
      </c>
      <c r="CK2453">
        <v>42</v>
      </c>
      <c r="CL2453" t="s">
        <v>90</v>
      </c>
    </row>
    <row r="2454" spans="1:90" x14ac:dyDescent="0.3">
      <c r="A2454" t="s">
        <v>72</v>
      </c>
      <c r="B2454" t="s">
        <v>73</v>
      </c>
      <c r="C2454" t="s">
        <v>74</v>
      </c>
      <c r="E2454" t="str">
        <f>"080067291613"</f>
        <v>080067291613</v>
      </c>
      <c r="F2454" s="3">
        <v>45887</v>
      </c>
      <c r="G2454">
        <v>202605</v>
      </c>
      <c r="H2454" t="s">
        <v>75</v>
      </c>
      <c r="I2454" t="s">
        <v>76</v>
      </c>
      <c r="J2454" t="s">
        <v>77</v>
      </c>
      <c r="K2454" t="s">
        <v>78</v>
      </c>
      <c r="L2454" t="s">
        <v>129</v>
      </c>
      <c r="M2454" t="s">
        <v>130</v>
      </c>
      <c r="N2454" t="s">
        <v>131</v>
      </c>
      <c r="O2454" t="s">
        <v>82</v>
      </c>
      <c r="P2454" t="str">
        <f>"4170055254                    "</f>
        <v xml:space="preserve">4170055254                    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0</v>
      </c>
      <c r="AI2454">
        <v>0</v>
      </c>
      <c r="AJ2454">
        <v>0</v>
      </c>
      <c r="AK2454">
        <v>0</v>
      </c>
      <c r="AL2454">
        <v>0</v>
      </c>
      <c r="AM2454">
        <v>0</v>
      </c>
      <c r="AN2454">
        <v>0</v>
      </c>
      <c r="AO2454">
        <v>0</v>
      </c>
      <c r="AP2454">
        <v>0</v>
      </c>
      <c r="AQ2454">
        <v>69.22</v>
      </c>
      <c r="AR2454">
        <v>0</v>
      </c>
      <c r="AS2454">
        <v>0</v>
      </c>
      <c r="AT2454">
        <v>0</v>
      </c>
      <c r="AU2454">
        <v>0</v>
      </c>
      <c r="AV2454">
        <v>0</v>
      </c>
      <c r="AW2454">
        <v>0</v>
      </c>
      <c r="AX2454">
        <v>0</v>
      </c>
      <c r="AY2454">
        <v>0</v>
      </c>
      <c r="AZ2454">
        <v>0</v>
      </c>
      <c r="BA2454">
        <v>0</v>
      </c>
      <c r="BB2454">
        <v>0</v>
      </c>
      <c r="BC2454">
        <v>0</v>
      </c>
      <c r="BD2454">
        <v>0</v>
      </c>
      <c r="BE2454">
        <v>0</v>
      </c>
      <c r="BF2454">
        <v>0</v>
      </c>
      <c r="BG2454">
        <v>0</v>
      </c>
      <c r="BH2454">
        <v>1</v>
      </c>
      <c r="BI2454">
        <v>3</v>
      </c>
      <c r="BJ2454">
        <v>5.8</v>
      </c>
      <c r="BK2454">
        <v>6</v>
      </c>
      <c r="BL2454">
        <v>214.94</v>
      </c>
      <c r="BM2454">
        <v>32.24</v>
      </c>
      <c r="BN2454">
        <v>247.18</v>
      </c>
      <c r="BO2454">
        <v>247.18</v>
      </c>
      <c r="BQ2454" t="s">
        <v>132</v>
      </c>
      <c r="BR2454" t="s">
        <v>84</v>
      </c>
      <c r="BS2454" t="s">
        <v>96</v>
      </c>
      <c r="BY2454">
        <v>28900</v>
      </c>
      <c r="CC2454" t="s">
        <v>130</v>
      </c>
      <c r="CD2454">
        <v>4133</v>
      </c>
      <c r="CE2454" t="s">
        <v>178</v>
      </c>
      <c r="CI2454">
        <v>1</v>
      </c>
      <c r="CJ2454" t="s">
        <v>96</v>
      </c>
      <c r="CK2454">
        <v>21</v>
      </c>
      <c r="CL2454" t="s">
        <v>90</v>
      </c>
    </row>
    <row r="2455" spans="1:90" x14ac:dyDescent="0.3">
      <c r="A2455" t="s">
        <v>72</v>
      </c>
      <c r="B2455" t="s">
        <v>73</v>
      </c>
      <c r="C2455" t="s">
        <v>74</v>
      </c>
      <c r="E2455" t="str">
        <f>"080067291685"</f>
        <v>080067291685</v>
      </c>
      <c r="F2455" s="3">
        <v>45887</v>
      </c>
      <c r="G2455">
        <v>202605</v>
      </c>
      <c r="H2455" t="s">
        <v>75</v>
      </c>
      <c r="I2455" t="s">
        <v>76</v>
      </c>
      <c r="J2455" t="s">
        <v>77</v>
      </c>
      <c r="K2455" t="s">
        <v>78</v>
      </c>
      <c r="L2455" t="s">
        <v>241</v>
      </c>
      <c r="M2455" t="s">
        <v>242</v>
      </c>
      <c r="N2455" t="s">
        <v>1566</v>
      </c>
      <c r="O2455" t="s">
        <v>113</v>
      </c>
      <c r="P2455" t="str">
        <f>"4170055197                    "</f>
        <v xml:space="preserve">4170055197                    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0</v>
      </c>
      <c r="AI2455">
        <v>0</v>
      </c>
      <c r="AJ2455">
        <v>0</v>
      </c>
      <c r="AK2455">
        <v>0</v>
      </c>
      <c r="AL2455">
        <v>0</v>
      </c>
      <c r="AM2455">
        <v>0</v>
      </c>
      <c r="AN2455">
        <v>0</v>
      </c>
      <c r="AO2455">
        <v>0</v>
      </c>
      <c r="AP2455">
        <v>0</v>
      </c>
      <c r="AQ2455">
        <v>18.04</v>
      </c>
      <c r="AR2455">
        <v>0</v>
      </c>
      <c r="AS2455">
        <v>0</v>
      </c>
      <c r="AT2455">
        <v>0</v>
      </c>
      <c r="AU2455">
        <v>0</v>
      </c>
      <c r="AV2455">
        <v>0</v>
      </c>
      <c r="AW2455">
        <v>0</v>
      </c>
      <c r="AX2455">
        <v>0</v>
      </c>
      <c r="AY2455">
        <v>0</v>
      </c>
      <c r="AZ2455">
        <v>0</v>
      </c>
      <c r="BA2455">
        <v>0</v>
      </c>
      <c r="BB2455">
        <v>0</v>
      </c>
      <c r="BC2455">
        <v>0</v>
      </c>
      <c r="BD2455">
        <v>0</v>
      </c>
      <c r="BE2455">
        <v>0</v>
      </c>
      <c r="BF2455">
        <v>0</v>
      </c>
      <c r="BG2455">
        <v>0</v>
      </c>
      <c r="BH2455">
        <v>1</v>
      </c>
      <c r="BI2455">
        <v>3</v>
      </c>
      <c r="BJ2455">
        <v>3.3</v>
      </c>
      <c r="BK2455">
        <v>4</v>
      </c>
      <c r="BL2455">
        <v>56.01</v>
      </c>
      <c r="BM2455">
        <v>8.4</v>
      </c>
      <c r="BN2455">
        <v>64.41</v>
      </c>
      <c r="BO2455">
        <v>64.41</v>
      </c>
      <c r="BQ2455" t="s">
        <v>1567</v>
      </c>
      <c r="BR2455" t="s">
        <v>84</v>
      </c>
      <c r="BS2455" t="s">
        <v>96</v>
      </c>
      <c r="BY2455">
        <v>16384</v>
      </c>
      <c r="CC2455" t="s">
        <v>242</v>
      </c>
      <c r="CD2455">
        <v>1459</v>
      </c>
      <c r="CE2455" t="s">
        <v>117</v>
      </c>
      <c r="CI2455">
        <v>1</v>
      </c>
      <c r="CJ2455" t="s">
        <v>96</v>
      </c>
      <c r="CK2455">
        <v>32</v>
      </c>
      <c r="CL2455" t="s">
        <v>90</v>
      </c>
    </row>
    <row r="2456" spans="1:90" x14ac:dyDescent="0.3">
      <c r="A2456" t="s">
        <v>72</v>
      </c>
      <c r="B2456" t="s">
        <v>73</v>
      </c>
      <c r="C2456" t="s">
        <v>74</v>
      </c>
      <c r="E2456" t="str">
        <f>"080067291738"</f>
        <v>080067291738</v>
      </c>
      <c r="F2456" s="3">
        <v>45887</v>
      </c>
      <c r="G2456">
        <v>202605</v>
      </c>
      <c r="H2456" t="s">
        <v>75</v>
      </c>
      <c r="I2456" t="s">
        <v>76</v>
      </c>
      <c r="J2456" t="s">
        <v>77</v>
      </c>
      <c r="K2456" t="s">
        <v>78</v>
      </c>
      <c r="L2456" t="s">
        <v>2861</v>
      </c>
      <c r="M2456" t="s">
        <v>2862</v>
      </c>
      <c r="N2456" t="s">
        <v>2863</v>
      </c>
      <c r="O2456" t="s">
        <v>82</v>
      </c>
      <c r="P2456" t="str">
        <f>"4170055240                    "</f>
        <v xml:space="preserve">4170055240                    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0</v>
      </c>
      <c r="AI2456">
        <v>0</v>
      </c>
      <c r="AJ2456">
        <v>0</v>
      </c>
      <c r="AK2456">
        <v>0</v>
      </c>
      <c r="AL2456">
        <v>0</v>
      </c>
      <c r="AM2456">
        <v>0</v>
      </c>
      <c r="AN2456">
        <v>0</v>
      </c>
      <c r="AO2456">
        <v>0</v>
      </c>
      <c r="AP2456">
        <v>0</v>
      </c>
      <c r="AQ2456">
        <v>44.73</v>
      </c>
      <c r="AR2456">
        <v>0</v>
      </c>
      <c r="AS2456">
        <v>0</v>
      </c>
      <c r="AT2456">
        <v>0</v>
      </c>
      <c r="AU2456">
        <v>0</v>
      </c>
      <c r="AV2456">
        <v>0</v>
      </c>
      <c r="AW2456">
        <v>0</v>
      </c>
      <c r="AX2456">
        <v>0</v>
      </c>
      <c r="AY2456">
        <v>0</v>
      </c>
      <c r="AZ2456">
        <v>0</v>
      </c>
      <c r="BA2456">
        <v>0</v>
      </c>
      <c r="BB2456">
        <v>0</v>
      </c>
      <c r="BC2456">
        <v>0</v>
      </c>
      <c r="BD2456">
        <v>0</v>
      </c>
      <c r="BE2456">
        <v>0</v>
      </c>
      <c r="BF2456">
        <v>0</v>
      </c>
      <c r="BG2456">
        <v>0</v>
      </c>
      <c r="BH2456">
        <v>1</v>
      </c>
      <c r="BI2456">
        <v>1</v>
      </c>
      <c r="BJ2456">
        <v>1.1000000000000001</v>
      </c>
      <c r="BK2456">
        <v>1.5</v>
      </c>
      <c r="BL2456">
        <v>138.88999999999999</v>
      </c>
      <c r="BM2456">
        <v>20.83</v>
      </c>
      <c r="BN2456">
        <v>159.72</v>
      </c>
      <c r="BO2456">
        <v>159.72</v>
      </c>
      <c r="BQ2456" t="s">
        <v>2864</v>
      </c>
      <c r="BR2456" t="s">
        <v>84</v>
      </c>
      <c r="BS2456" t="s">
        <v>96</v>
      </c>
      <c r="BY2456">
        <v>5320</v>
      </c>
      <c r="CC2456" t="s">
        <v>2862</v>
      </c>
      <c r="CD2456">
        <v>5850</v>
      </c>
      <c r="CE2456" t="s">
        <v>147</v>
      </c>
      <c r="CI2456">
        <v>2</v>
      </c>
      <c r="CJ2456" t="s">
        <v>96</v>
      </c>
      <c r="CK2456">
        <v>23</v>
      </c>
      <c r="CL2456" t="s">
        <v>90</v>
      </c>
    </row>
    <row r="2457" spans="1:90" x14ac:dyDescent="0.3">
      <c r="A2457" t="s">
        <v>72</v>
      </c>
      <c r="B2457" t="s">
        <v>73</v>
      </c>
      <c r="C2457" t="s">
        <v>74</v>
      </c>
      <c r="E2457" t="str">
        <f>"080067291774"</f>
        <v>080067291774</v>
      </c>
      <c r="F2457" s="3">
        <v>45887</v>
      </c>
      <c r="G2457">
        <v>202605</v>
      </c>
      <c r="H2457" t="s">
        <v>75</v>
      </c>
      <c r="I2457" t="s">
        <v>76</v>
      </c>
      <c r="J2457" t="s">
        <v>77</v>
      </c>
      <c r="K2457" t="s">
        <v>78</v>
      </c>
      <c r="L2457" t="s">
        <v>79</v>
      </c>
      <c r="M2457" t="s">
        <v>80</v>
      </c>
      <c r="N2457" t="s">
        <v>1787</v>
      </c>
      <c r="O2457" t="s">
        <v>82</v>
      </c>
      <c r="P2457" t="str">
        <f>"4170055255                    "</f>
        <v xml:space="preserve">4170055255                    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0</v>
      </c>
      <c r="AI2457">
        <v>0</v>
      </c>
      <c r="AJ2457">
        <v>0</v>
      </c>
      <c r="AK2457">
        <v>0</v>
      </c>
      <c r="AL2457">
        <v>0</v>
      </c>
      <c r="AM2457">
        <v>0</v>
      </c>
      <c r="AN2457">
        <v>0</v>
      </c>
      <c r="AO2457">
        <v>0</v>
      </c>
      <c r="AP2457">
        <v>0</v>
      </c>
      <c r="AQ2457">
        <v>18.03</v>
      </c>
      <c r="AR2457">
        <v>0</v>
      </c>
      <c r="AS2457">
        <v>0</v>
      </c>
      <c r="AT2457">
        <v>0</v>
      </c>
      <c r="AU2457">
        <v>0</v>
      </c>
      <c r="AV2457">
        <v>0</v>
      </c>
      <c r="AW2457">
        <v>0</v>
      </c>
      <c r="AX2457">
        <v>0</v>
      </c>
      <c r="AY2457">
        <v>0</v>
      </c>
      <c r="AZ2457">
        <v>0</v>
      </c>
      <c r="BA2457">
        <v>0</v>
      </c>
      <c r="BB2457">
        <v>0</v>
      </c>
      <c r="BC2457">
        <v>0</v>
      </c>
      <c r="BD2457">
        <v>0</v>
      </c>
      <c r="BE2457">
        <v>0</v>
      </c>
      <c r="BF2457">
        <v>0</v>
      </c>
      <c r="BG2457">
        <v>0</v>
      </c>
      <c r="BH2457">
        <v>1</v>
      </c>
      <c r="BI2457">
        <v>2</v>
      </c>
      <c r="BJ2457">
        <v>1.1000000000000001</v>
      </c>
      <c r="BK2457">
        <v>2</v>
      </c>
      <c r="BL2457">
        <v>55.99</v>
      </c>
      <c r="BM2457">
        <v>8.4</v>
      </c>
      <c r="BN2457">
        <v>64.39</v>
      </c>
      <c r="BO2457">
        <v>64.39</v>
      </c>
      <c r="BQ2457" t="s">
        <v>1788</v>
      </c>
      <c r="BR2457" t="s">
        <v>84</v>
      </c>
      <c r="BS2457" s="3">
        <v>45888</v>
      </c>
      <c r="BT2457" s="4">
        <v>0.38194444444444442</v>
      </c>
      <c r="BU2457" t="s">
        <v>1025</v>
      </c>
      <c r="BV2457" t="s">
        <v>86</v>
      </c>
      <c r="BY2457">
        <v>5320</v>
      </c>
      <c r="CA2457" t="s">
        <v>1026</v>
      </c>
      <c r="CC2457" t="s">
        <v>80</v>
      </c>
      <c r="CD2457">
        <v>1401</v>
      </c>
      <c r="CE2457" t="s">
        <v>147</v>
      </c>
      <c r="CI2457">
        <v>1</v>
      </c>
      <c r="CJ2457">
        <v>1</v>
      </c>
      <c r="CK2457">
        <v>22</v>
      </c>
      <c r="CL2457" t="s">
        <v>90</v>
      </c>
    </row>
    <row r="2458" spans="1:90" x14ac:dyDescent="0.3">
      <c r="A2458" t="s">
        <v>72</v>
      </c>
      <c r="B2458" t="s">
        <v>73</v>
      </c>
      <c r="C2458" t="s">
        <v>74</v>
      </c>
      <c r="E2458" t="str">
        <f>"080067291835"</f>
        <v>080067291835</v>
      </c>
      <c r="F2458" s="3">
        <v>45887</v>
      </c>
      <c r="G2458">
        <v>202605</v>
      </c>
      <c r="H2458" t="s">
        <v>75</v>
      </c>
      <c r="I2458" t="s">
        <v>76</v>
      </c>
      <c r="J2458" t="s">
        <v>77</v>
      </c>
      <c r="K2458" t="s">
        <v>78</v>
      </c>
      <c r="L2458" t="s">
        <v>1135</v>
      </c>
      <c r="M2458" t="s">
        <v>1136</v>
      </c>
      <c r="N2458" t="s">
        <v>1137</v>
      </c>
      <c r="O2458" t="s">
        <v>95</v>
      </c>
      <c r="P2458" t="str">
        <f>"4170055246                    "</f>
        <v xml:space="preserve">4170055246                    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0</v>
      </c>
      <c r="AI2458">
        <v>0</v>
      </c>
      <c r="AJ2458">
        <v>0</v>
      </c>
      <c r="AK2458">
        <v>0</v>
      </c>
      <c r="AL2458">
        <v>0</v>
      </c>
      <c r="AM2458">
        <v>0</v>
      </c>
      <c r="AN2458">
        <v>0</v>
      </c>
      <c r="AO2458">
        <v>0</v>
      </c>
      <c r="AP2458">
        <v>0</v>
      </c>
      <c r="AQ2458">
        <v>62.96</v>
      </c>
      <c r="AR2458">
        <v>0</v>
      </c>
      <c r="AS2458">
        <v>0</v>
      </c>
      <c r="AT2458">
        <v>0</v>
      </c>
      <c r="AU2458">
        <v>0</v>
      </c>
      <c r="AV2458">
        <v>0</v>
      </c>
      <c r="AW2458">
        <v>0</v>
      </c>
      <c r="AX2458">
        <v>0</v>
      </c>
      <c r="AY2458">
        <v>0</v>
      </c>
      <c r="AZ2458">
        <v>0</v>
      </c>
      <c r="BA2458">
        <v>0</v>
      </c>
      <c r="BB2458">
        <v>0</v>
      </c>
      <c r="BC2458">
        <v>0</v>
      </c>
      <c r="BD2458">
        <v>0</v>
      </c>
      <c r="BE2458">
        <v>0</v>
      </c>
      <c r="BF2458">
        <v>0</v>
      </c>
      <c r="BG2458">
        <v>0</v>
      </c>
      <c r="BH2458">
        <v>1</v>
      </c>
      <c r="BI2458">
        <v>6</v>
      </c>
      <c r="BJ2458">
        <v>2.4</v>
      </c>
      <c r="BK2458">
        <v>6</v>
      </c>
      <c r="BL2458">
        <v>201.38</v>
      </c>
      <c r="BM2458">
        <v>30.21</v>
      </c>
      <c r="BN2458">
        <v>231.59</v>
      </c>
      <c r="BO2458">
        <v>231.59</v>
      </c>
      <c r="BQ2458" t="s">
        <v>1138</v>
      </c>
      <c r="BR2458" t="s">
        <v>84</v>
      </c>
      <c r="BS2458" t="s">
        <v>96</v>
      </c>
      <c r="BY2458">
        <v>12236</v>
      </c>
      <c r="BZ2458" t="s">
        <v>35</v>
      </c>
      <c r="CC2458" t="s">
        <v>1136</v>
      </c>
      <c r="CD2458">
        <v>3760</v>
      </c>
      <c r="CE2458" t="s">
        <v>1164</v>
      </c>
      <c r="CI2458">
        <v>6</v>
      </c>
      <c r="CJ2458" t="s">
        <v>96</v>
      </c>
      <c r="CK2458">
        <v>43</v>
      </c>
      <c r="CL2458" t="s">
        <v>90</v>
      </c>
    </row>
    <row r="2459" spans="1:90" x14ac:dyDescent="0.3">
      <c r="A2459" t="s">
        <v>72</v>
      </c>
      <c r="B2459" t="s">
        <v>73</v>
      </c>
      <c r="C2459" t="s">
        <v>74</v>
      </c>
      <c r="E2459" t="str">
        <f>"080067292041"</f>
        <v>080067292041</v>
      </c>
      <c r="F2459" s="3">
        <v>45887</v>
      </c>
      <c r="G2459">
        <v>202605</v>
      </c>
      <c r="H2459" t="s">
        <v>75</v>
      </c>
      <c r="I2459" t="s">
        <v>76</v>
      </c>
      <c r="J2459" t="s">
        <v>77</v>
      </c>
      <c r="K2459" t="s">
        <v>78</v>
      </c>
      <c r="L2459" t="s">
        <v>162</v>
      </c>
      <c r="M2459" t="s">
        <v>163</v>
      </c>
      <c r="N2459" t="s">
        <v>2486</v>
      </c>
      <c r="O2459" t="s">
        <v>82</v>
      </c>
      <c r="P2459" t="str">
        <f>"4170055229                    "</f>
        <v xml:space="preserve">4170055229                    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0</v>
      </c>
      <c r="AI2459">
        <v>0</v>
      </c>
      <c r="AJ2459">
        <v>0</v>
      </c>
      <c r="AK2459">
        <v>0</v>
      </c>
      <c r="AL2459">
        <v>0</v>
      </c>
      <c r="AM2459">
        <v>0</v>
      </c>
      <c r="AN2459">
        <v>0</v>
      </c>
      <c r="AO2459">
        <v>0</v>
      </c>
      <c r="AP2459">
        <v>0</v>
      </c>
      <c r="AQ2459">
        <v>23.09</v>
      </c>
      <c r="AR2459">
        <v>0</v>
      </c>
      <c r="AS2459">
        <v>0</v>
      </c>
      <c r="AT2459">
        <v>0</v>
      </c>
      <c r="AU2459">
        <v>0</v>
      </c>
      <c r="AV2459">
        <v>0</v>
      </c>
      <c r="AW2459">
        <v>0</v>
      </c>
      <c r="AX2459">
        <v>0</v>
      </c>
      <c r="AY2459">
        <v>0</v>
      </c>
      <c r="AZ2459">
        <v>0</v>
      </c>
      <c r="BA2459">
        <v>0</v>
      </c>
      <c r="BB2459">
        <v>0</v>
      </c>
      <c r="BC2459">
        <v>0</v>
      </c>
      <c r="BD2459">
        <v>0</v>
      </c>
      <c r="BE2459">
        <v>0</v>
      </c>
      <c r="BF2459">
        <v>0</v>
      </c>
      <c r="BG2459">
        <v>0</v>
      </c>
      <c r="BH2459">
        <v>1</v>
      </c>
      <c r="BI2459">
        <v>2</v>
      </c>
      <c r="BJ2459">
        <v>1.4</v>
      </c>
      <c r="BK2459">
        <v>2</v>
      </c>
      <c r="BL2459">
        <v>71.69</v>
      </c>
      <c r="BM2459">
        <v>10.75</v>
      </c>
      <c r="BN2459">
        <v>82.44</v>
      </c>
      <c r="BO2459">
        <v>82.44</v>
      </c>
      <c r="BQ2459" t="s">
        <v>2487</v>
      </c>
      <c r="BR2459" t="s">
        <v>84</v>
      </c>
      <c r="BS2459" t="s">
        <v>96</v>
      </c>
      <c r="BY2459">
        <v>7056</v>
      </c>
      <c r="CC2459" t="s">
        <v>163</v>
      </c>
      <c r="CD2459">
        <v>3201</v>
      </c>
      <c r="CE2459" t="s">
        <v>117</v>
      </c>
      <c r="CI2459">
        <v>1</v>
      </c>
      <c r="CJ2459" t="s">
        <v>96</v>
      </c>
      <c r="CK2459">
        <v>21</v>
      </c>
      <c r="CL2459" t="s">
        <v>90</v>
      </c>
    </row>
    <row r="2460" spans="1:90" x14ac:dyDescent="0.3">
      <c r="A2460" t="s">
        <v>72</v>
      </c>
      <c r="B2460" t="s">
        <v>73</v>
      </c>
      <c r="C2460" t="s">
        <v>74</v>
      </c>
      <c r="E2460" t="str">
        <f>"080067292036"</f>
        <v>080067292036</v>
      </c>
      <c r="F2460" s="3">
        <v>45887</v>
      </c>
      <c r="G2460">
        <v>202605</v>
      </c>
      <c r="H2460" t="s">
        <v>75</v>
      </c>
      <c r="I2460" t="s">
        <v>76</v>
      </c>
      <c r="J2460" t="s">
        <v>77</v>
      </c>
      <c r="K2460" t="s">
        <v>78</v>
      </c>
      <c r="L2460" t="s">
        <v>193</v>
      </c>
      <c r="M2460" t="s">
        <v>194</v>
      </c>
      <c r="N2460" t="s">
        <v>551</v>
      </c>
      <c r="O2460" t="s">
        <v>82</v>
      </c>
      <c r="P2460" t="str">
        <f>"4170055251                    "</f>
        <v xml:space="preserve">4170055251                    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0</v>
      </c>
      <c r="AI2460">
        <v>0</v>
      </c>
      <c r="AJ2460">
        <v>0</v>
      </c>
      <c r="AK2460">
        <v>0</v>
      </c>
      <c r="AL2460">
        <v>0</v>
      </c>
      <c r="AM2460">
        <v>0</v>
      </c>
      <c r="AN2460">
        <v>0</v>
      </c>
      <c r="AO2460">
        <v>0</v>
      </c>
      <c r="AP2460">
        <v>0</v>
      </c>
      <c r="AQ2460">
        <v>44.73</v>
      </c>
      <c r="AR2460">
        <v>0</v>
      </c>
      <c r="AS2460">
        <v>0</v>
      </c>
      <c r="AT2460">
        <v>0</v>
      </c>
      <c r="AU2460">
        <v>0</v>
      </c>
      <c r="AV2460">
        <v>0</v>
      </c>
      <c r="AW2460">
        <v>0</v>
      </c>
      <c r="AX2460">
        <v>0</v>
      </c>
      <c r="AY2460">
        <v>0</v>
      </c>
      <c r="AZ2460">
        <v>0</v>
      </c>
      <c r="BA2460">
        <v>0</v>
      </c>
      <c r="BB2460">
        <v>0</v>
      </c>
      <c r="BC2460">
        <v>0</v>
      </c>
      <c r="BD2460">
        <v>0</v>
      </c>
      <c r="BE2460">
        <v>0</v>
      </c>
      <c r="BF2460">
        <v>0</v>
      </c>
      <c r="BG2460">
        <v>0</v>
      </c>
      <c r="BH2460">
        <v>1</v>
      </c>
      <c r="BI2460">
        <v>1</v>
      </c>
      <c r="BJ2460">
        <v>0.2</v>
      </c>
      <c r="BK2460">
        <v>1</v>
      </c>
      <c r="BL2460">
        <v>138.88999999999999</v>
      </c>
      <c r="BM2460">
        <v>20.83</v>
      </c>
      <c r="BN2460">
        <v>159.72</v>
      </c>
      <c r="BO2460">
        <v>159.72</v>
      </c>
      <c r="BQ2460" t="s">
        <v>552</v>
      </c>
      <c r="BR2460" t="s">
        <v>84</v>
      </c>
      <c r="BS2460" s="3">
        <v>45888</v>
      </c>
      <c r="BT2460" s="4">
        <v>0.3298611111111111</v>
      </c>
      <c r="BU2460" t="s">
        <v>553</v>
      </c>
      <c r="BV2460" t="s">
        <v>86</v>
      </c>
      <c r="BY2460">
        <v>1200</v>
      </c>
      <c r="CA2460" t="s">
        <v>554</v>
      </c>
      <c r="CC2460" t="s">
        <v>194</v>
      </c>
      <c r="CD2460">
        <v>1035</v>
      </c>
      <c r="CE2460" t="s">
        <v>109</v>
      </c>
      <c r="CI2460">
        <v>1</v>
      </c>
      <c r="CJ2460">
        <v>1</v>
      </c>
      <c r="CK2460">
        <v>23</v>
      </c>
      <c r="CL2460" t="s">
        <v>90</v>
      </c>
    </row>
    <row r="2461" spans="1:90" x14ac:dyDescent="0.3">
      <c r="A2461" t="s">
        <v>72</v>
      </c>
      <c r="B2461" t="s">
        <v>73</v>
      </c>
      <c r="C2461" t="s">
        <v>74</v>
      </c>
      <c r="E2461" t="str">
        <f>"080067292090"</f>
        <v>080067292090</v>
      </c>
      <c r="F2461" s="3">
        <v>45887</v>
      </c>
      <c r="G2461">
        <v>202605</v>
      </c>
      <c r="H2461" t="s">
        <v>75</v>
      </c>
      <c r="I2461" t="s">
        <v>76</v>
      </c>
      <c r="J2461" t="s">
        <v>77</v>
      </c>
      <c r="K2461" t="s">
        <v>78</v>
      </c>
      <c r="L2461" t="s">
        <v>1087</v>
      </c>
      <c r="M2461" t="s">
        <v>1088</v>
      </c>
      <c r="N2461" t="s">
        <v>1089</v>
      </c>
      <c r="O2461" t="s">
        <v>82</v>
      </c>
      <c r="P2461" t="str">
        <f>"4170055260                    "</f>
        <v xml:space="preserve">4170055260                    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0</v>
      </c>
      <c r="AI2461">
        <v>0</v>
      </c>
      <c r="AJ2461">
        <v>0</v>
      </c>
      <c r="AK2461">
        <v>0</v>
      </c>
      <c r="AL2461">
        <v>0</v>
      </c>
      <c r="AM2461">
        <v>0</v>
      </c>
      <c r="AN2461">
        <v>0</v>
      </c>
      <c r="AO2461">
        <v>0</v>
      </c>
      <c r="AP2461">
        <v>0</v>
      </c>
      <c r="AQ2461">
        <v>44.73</v>
      </c>
      <c r="AR2461">
        <v>0</v>
      </c>
      <c r="AS2461">
        <v>0</v>
      </c>
      <c r="AT2461">
        <v>0</v>
      </c>
      <c r="AU2461">
        <v>0</v>
      </c>
      <c r="AV2461">
        <v>0</v>
      </c>
      <c r="AW2461">
        <v>0</v>
      </c>
      <c r="AX2461">
        <v>0</v>
      </c>
      <c r="AY2461">
        <v>0</v>
      </c>
      <c r="AZ2461">
        <v>0</v>
      </c>
      <c r="BA2461">
        <v>0</v>
      </c>
      <c r="BB2461">
        <v>0</v>
      </c>
      <c r="BC2461">
        <v>0</v>
      </c>
      <c r="BD2461">
        <v>0</v>
      </c>
      <c r="BE2461">
        <v>0</v>
      </c>
      <c r="BF2461">
        <v>0</v>
      </c>
      <c r="BG2461">
        <v>0</v>
      </c>
      <c r="BH2461">
        <v>1</v>
      </c>
      <c r="BI2461">
        <v>1</v>
      </c>
      <c r="BJ2461">
        <v>0.2</v>
      </c>
      <c r="BK2461">
        <v>1</v>
      </c>
      <c r="BL2461">
        <v>138.88999999999999</v>
      </c>
      <c r="BM2461">
        <v>20.83</v>
      </c>
      <c r="BN2461">
        <v>159.72</v>
      </c>
      <c r="BO2461">
        <v>159.72</v>
      </c>
      <c r="BQ2461" t="s">
        <v>1090</v>
      </c>
      <c r="BR2461" t="s">
        <v>84</v>
      </c>
      <c r="BS2461" t="s">
        <v>96</v>
      </c>
      <c r="BY2461">
        <v>1200</v>
      </c>
      <c r="CC2461" t="s">
        <v>1088</v>
      </c>
      <c r="CD2461">
        <v>6500</v>
      </c>
      <c r="CE2461" t="s">
        <v>109</v>
      </c>
      <c r="CI2461">
        <v>1</v>
      </c>
      <c r="CJ2461" t="s">
        <v>96</v>
      </c>
      <c r="CK2461">
        <v>23</v>
      </c>
      <c r="CL2461" t="s">
        <v>90</v>
      </c>
    </row>
    <row r="2462" spans="1:90" x14ac:dyDescent="0.3">
      <c r="A2462" t="s">
        <v>72</v>
      </c>
      <c r="B2462" t="s">
        <v>73</v>
      </c>
      <c r="C2462" t="s">
        <v>74</v>
      </c>
      <c r="E2462" t="str">
        <f>"080067292096"</f>
        <v>080067292096</v>
      </c>
      <c r="F2462" s="3">
        <v>45887</v>
      </c>
      <c r="G2462">
        <v>202605</v>
      </c>
      <c r="H2462" t="s">
        <v>75</v>
      </c>
      <c r="I2462" t="s">
        <v>76</v>
      </c>
      <c r="J2462" t="s">
        <v>77</v>
      </c>
      <c r="K2462" t="s">
        <v>78</v>
      </c>
      <c r="L2462" t="s">
        <v>137</v>
      </c>
      <c r="M2462" t="s">
        <v>138</v>
      </c>
      <c r="N2462" t="s">
        <v>1760</v>
      </c>
      <c r="O2462" t="s">
        <v>82</v>
      </c>
      <c r="P2462" t="str">
        <f>"4170055222                    "</f>
        <v xml:space="preserve">4170055222                    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0</v>
      </c>
      <c r="AL2462">
        <v>0</v>
      </c>
      <c r="AM2462">
        <v>0</v>
      </c>
      <c r="AN2462">
        <v>0</v>
      </c>
      <c r="AO2462">
        <v>0</v>
      </c>
      <c r="AP2462">
        <v>0</v>
      </c>
      <c r="AQ2462">
        <v>40.380000000000003</v>
      </c>
      <c r="AR2462">
        <v>0</v>
      </c>
      <c r="AS2462">
        <v>0</v>
      </c>
      <c r="AT2462">
        <v>0</v>
      </c>
      <c r="AU2462">
        <v>0</v>
      </c>
      <c r="AV2462">
        <v>0</v>
      </c>
      <c r="AW2462">
        <v>0</v>
      </c>
      <c r="AX2462">
        <v>0</v>
      </c>
      <c r="AY2462">
        <v>0</v>
      </c>
      <c r="AZ2462">
        <v>0</v>
      </c>
      <c r="BA2462">
        <v>0</v>
      </c>
      <c r="BB2462">
        <v>0</v>
      </c>
      <c r="BC2462">
        <v>0</v>
      </c>
      <c r="BD2462">
        <v>0</v>
      </c>
      <c r="BE2462">
        <v>0</v>
      </c>
      <c r="BF2462">
        <v>0</v>
      </c>
      <c r="BG2462">
        <v>0</v>
      </c>
      <c r="BH2462">
        <v>1</v>
      </c>
      <c r="BI2462">
        <v>2</v>
      </c>
      <c r="BJ2462">
        <v>3.2</v>
      </c>
      <c r="BK2462">
        <v>3.5</v>
      </c>
      <c r="BL2462">
        <v>125.4</v>
      </c>
      <c r="BM2462">
        <v>18.809999999999999</v>
      </c>
      <c r="BN2462">
        <v>144.21</v>
      </c>
      <c r="BO2462">
        <v>144.21</v>
      </c>
      <c r="BQ2462" t="s">
        <v>1761</v>
      </c>
      <c r="BR2462" t="s">
        <v>84</v>
      </c>
      <c r="BS2462" t="s">
        <v>96</v>
      </c>
      <c r="BY2462">
        <v>15979</v>
      </c>
      <c r="CC2462" t="s">
        <v>138</v>
      </c>
      <c r="CD2462">
        <v>3610</v>
      </c>
      <c r="CE2462" t="s">
        <v>117</v>
      </c>
      <c r="CI2462">
        <v>1</v>
      </c>
      <c r="CJ2462" t="s">
        <v>96</v>
      </c>
      <c r="CK2462">
        <v>21</v>
      </c>
      <c r="CL2462" t="s">
        <v>90</v>
      </c>
    </row>
    <row r="2463" spans="1:90" x14ac:dyDescent="0.3">
      <c r="A2463" t="s">
        <v>72</v>
      </c>
      <c r="B2463" t="s">
        <v>73</v>
      </c>
      <c r="C2463" t="s">
        <v>74</v>
      </c>
      <c r="E2463" t="str">
        <f>"080067292117"</f>
        <v>080067292117</v>
      </c>
      <c r="F2463" s="3">
        <v>45887</v>
      </c>
      <c r="G2463">
        <v>202605</v>
      </c>
      <c r="H2463" t="s">
        <v>75</v>
      </c>
      <c r="I2463" t="s">
        <v>76</v>
      </c>
      <c r="J2463" t="s">
        <v>77</v>
      </c>
      <c r="K2463" t="s">
        <v>78</v>
      </c>
      <c r="L2463" t="s">
        <v>319</v>
      </c>
      <c r="M2463" t="s">
        <v>320</v>
      </c>
      <c r="N2463" t="s">
        <v>321</v>
      </c>
      <c r="O2463" t="s">
        <v>82</v>
      </c>
      <c r="P2463" t="str">
        <f>"4170055213                    "</f>
        <v xml:space="preserve">4170055213                    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0</v>
      </c>
      <c r="AI2463">
        <v>0</v>
      </c>
      <c r="AJ2463">
        <v>0</v>
      </c>
      <c r="AK2463">
        <v>0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>
        <v>44.73</v>
      </c>
      <c r="AR2463">
        <v>0</v>
      </c>
      <c r="AS2463">
        <v>0</v>
      </c>
      <c r="AT2463">
        <v>0</v>
      </c>
      <c r="AU2463">
        <v>0</v>
      </c>
      <c r="AV2463">
        <v>0</v>
      </c>
      <c r="AW2463">
        <v>0</v>
      </c>
      <c r="AX2463">
        <v>0</v>
      </c>
      <c r="AY2463">
        <v>0</v>
      </c>
      <c r="AZ2463">
        <v>0</v>
      </c>
      <c r="BA2463">
        <v>0</v>
      </c>
      <c r="BB2463">
        <v>0</v>
      </c>
      <c r="BC2463">
        <v>0</v>
      </c>
      <c r="BD2463">
        <v>0</v>
      </c>
      <c r="BE2463">
        <v>0</v>
      </c>
      <c r="BF2463">
        <v>0</v>
      </c>
      <c r="BG2463">
        <v>0</v>
      </c>
      <c r="BH2463">
        <v>1</v>
      </c>
      <c r="BI2463">
        <v>1</v>
      </c>
      <c r="BJ2463">
        <v>0.2</v>
      </c>
      <c r="BK2463">
        <v>1</v>
      </c>
      <c r="BL2463">
        <v>138.88999999999999</v>
      </c>
      <c r="BM2463">
        <v>20.83</v>
      </c>
      <c r="BN2463">
        <v>159.72</v>
      </c>
      <c r="BO2463">
        <v>159.72</v>
      </c>
      <c r="BQ2463" t="s">
        <v>322</v>
      </c>
      <c r="BR2463" t="s">
        <v>84</v>
      </c>
      <c r="BS2463" t="s">
        <v>96</v>
      </c>
      <c r="BY2463">
        <v>1200</v>
      </c>
      <c r="CC2463" t="s">
        <v>320</v>
      </c>
      <c r="CD2463">
        <v>2531</v>
      </c>
      <c r="CE2463" t="s">
        <v>109</v>
      </c>
      <c r="CI2463">
        <v>1</v>
      </c>
      <c r="CJ2463" t="s">
        <v>96</v>
      </c>
      <c r="CK2463">
        <v>23</v>
      </c>
      <c r="CL2463" t="s">
        <v>90</v>
      </c>
    </row>
    <row r="2464" spans="1:90" x14ac:dyDescent="0.3">
      <c r="A2464" t="s">
        <v>72</v>
      </c>
      <c r="B2464" t="s">
        <v>73</v>
      </c>
      <c r="C2464" t="s">
        <v>74</v>
      </c>
      <c r="E2464" t="str">
        <f>"080067292141"</f>
        <v>080067292141</v>
      </c>
      <c r="F2464" s="3">
        <v>45887</v>
      </c>
      <c r="G2464">
        <v>202605</v>
      </c>
      <c r="H2464" t="s">
        <v>75</v>
      </c>
      <c r="I2464" t="s">
        <v>76</v>
      </c>
      <c r="J2464" t="s">
        <v>77</v>
      </c>
      <c r="K2464" t="s">
        <v>78</v>
      </c>
      <c r="L2464" t="s">
        <v>162</v>
      </c>
      <c r="M2464" t="s">
        <v>163</v>
      </c>
      <c r="N2464" t="s">
        <v>2486</v>
      </c>
      <c r="O2464" t="s">
        <v>82</v>
      </c>
      <c r="P2464" t="str">
        <f>"4170055253                    "</f>
        <v xml:space="preserve">4170055253                    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  <c r="AL2464">
        <v>0</v>
      </c>
      <c r="AM2464">
        <v>0</v>
      </c>
      <c r="AN2464">
        <v>0</v>
      </c>
      <c r="AO2464">
        <v>0</v>
      </c>
      <c r="AP2464">
        <v>0</v>
      </c>
      <c r="AQ2464">
        <v>23.09</v>
      </c>
      <c r="AR2464">
        <v>0</v>
      </c>
      <c r="AS2464">
        <v>0</v>
      </c>
      <c r="AT2464">
        <v>0</v>
      </c>
      <c r="AU2464">
        <v>0</v>
      </c>
      <c r="AV2464">
        <v>0</v>
      </c>
      <c r="AW2464">
        <v>0</v>
      </c>
      <c r="AX2464">
        <v>0</v>
      </c>
      <c r="AY2464">
        <v>0</v>
      </c>
      <c r="AZ2464">
        <v>0</v>
      </c>
      <c r="BA2464">
        <v>0</v>
      </c>
      <c r="BB2464">
        <v>0</v>
      </c>
      <c r="BC2464">
        <v>0</v>
      </c>
      <c r="BD2464">
        <v>0</v>
      </c>
      <c r="BE2464">
        <v>0</v>
      </c>
      <c r="BF2464">
        <v>0</v>
      </c>
      <c r="BG2464">
        <v>0</v>
      </c>
      <c r="BH2464">
        <v>1</v>
      </c>
      <c r="BI2464">
        <v>2</v>
      </c>
      <c r="BJ2464">
        <v>0.9</v>
      </c>
      <c r="BK2464">
        <v>2</v>
      </c>
      <c r="BL2464">
        <v>71.69</v>
      </c>
      <c r="BM2464">
        <v>10.75</v>
      </c>
      <c r="BN2464">
        <v>82.44</v>
      </c>
      <c r="BO2464">
        <v>82.44</v>
      </c>
      <c r="BQ2464" t="s">
        <v>2487</v>
      </c>
      <c r="BR2464" t="s">
        <v>84</v>
      </c>
      <c r="BS2464" t="s">
        <v>96</v>
      </c>
      <c r="BY2464">
        <v>4256</v>
      </c>
      <c r="CC2464" t="s">
        <v>163</v>
      </c>
      <c r="CD2464">
        <v>3201</v>
      </c>
      <c r="CE2464" t="s">
        <v>147</v>
      </c>
      <c r="CI2464">
        <v>1</v>
      </c>
      <c r="CJ2464" t="s">
        <v>96</v>
      </c>
      <c r="CK2464">
        <v>21</v>
      </c>
      <c r="CL2464" t="s">
        <v>90</v>
      </c>
    </row>
    <row r="2465" spans="1:90" x14ac:dyDescent="0.3">
      <c r="A2465" t="s">
        <v>72</v>
      </c>
      <c r="B2465" t="s">
        <v>73</v>
      </c>
      <c r="C2465" t="s">
        <v>74</v>
      </c>
      <c r="E2465" t="str">
        <f>"080067292185"</f>
        <v>080067292185</v>
      </c>
      <c r="F2465" s="3">
        <v>45887</v>
      </c>
      <c r="G2465">
        <v>202605</v>
      </c>
      <c r="H2465" t="s">
        <v>75</v>
      </c>
      <c r="I2465" t="s">
        <v>76</v>
      </c>
      <c r="J2465" t="s">
        <v>77</v>
      </c>
      <c r="K2465" t="s">
        <v>78</v>
      </c>
      <c r="L2465" t="s">
        <v>217</v>
      </c>
      <c r="M2465" t="s">
        <v>218</v>
      </c>
      <c r="N2465" t="s">
        <v>1721</v>
      </c>
      <c r="O2465" t="s">
        <v>82</v>
      </c>
      <c r="P2465" t="str">
        <f>"4170055258                    "</f>
        <v xml:space="preserve">4170055258                    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0</v>
      </c>
      <c r="AI2465">
        <v>0</v>
      </c>
      <c r="AJ2465">
        <v>0</v>
      </c>
      <c r="AK2465">
        <v>0</v>
      </c>
      <c r="AL2465">
        <v>0</v>
      </c>
      <c r="AM2465">
        <v>0</v>
      </c>
      <c r="AN2465">
        <v>0</v>
      </c>
      <c r="AO2465">
        <v>0</v>
      </c>
      <c r="AP2465">
        <v>0</v>
      </c>
      <c r="AQ2465">
        <v>34.619999999999997</v>
      </c>
      <c r="AR2465">
        <v>0</v>
      </c>
      <c r="AS2465">
        <v>0</v>
      </c>
      <c r="AT2465">
        <v>0</v>
      </c>
      <c r="AU2465">
        <v>0</v>
      </c>
      <c r="AV2465">
        <v>0</v>
      </c>
      <c r="AW2465">
        <v>0</v>
      </c>
      <c r="AX2465">
        <v>0</v>
      </c>
      <c r="AY2465">
        <v>0</v>
      </c>
      <c r="AZ2465">
        <v>0</v>
      </c>
      <c r="BA2465">
        <v>0</v>
      </c>
      <c r="BB2465">
        <v>0</v>
      </c>
      <c r="BC2465">
        <v>0</v>
      </c>
      <c r="BD2465">
        <v>0</v>
      </c>
      <c r="BE2465">
        <v>0</v>
      </c>
      <c r="BF2465">
        <v>0</v>
      </c>
      <c r="BG2465">
        <v>0</v>
      </c>
      <c r="BH2465">
        <v>1</v>
      </c>
      <c r="BI2465">
        <v>3</v>
      </c>
      <c r="BJ2465">
        <v>2</v>
      </c>
      <c r="BK2465">
        <v>3</v>
      </c>
      <c r="BL2465">
        <v>107.5</v>
      </c>
      <c r="BM2465">
        <v>16.13</v>
      </c>
      <c r="BN2465">
        <v>123.63</v>
      </c>
      <c r="BO2465">
        <v>123.63</v>
      </c>
      <c r="BQ2465" t="s">
        <v>1722</v>
      </c>
      <c r="BR2465" t="s">
        <v>84</v>
      </c>
      <c r="BS2465" t="s">
        <v>96</v>
      </c>
      <c r="BY2465">
        <v>9918</v>
      </c>
      <c r="CC2465" t="s">
        <v>218</v>
      </c>
      <c r="CD2465">
        <v>4000</v>
      </c>
      <c r="CE2465" t="s">
        <v>147</v>
      </c>
      <c r="CI2465">
        <v>1</v>
      </c>
      <c r="CJ2465" t="s">
        <v>96</v>
      </c>
      <c r="CK2465">
        <v>21</v>
      </c>
      <c r="CL2465" t="s">
        <v>90</v>
      </c>
    </row>
    <row r="2466" spans="1:90" x14ac:dyDescent="0.3">
      <c r="A2466" t="s">
        <v>72</v>
      </c>
      <c r="B2466" t="s">
        <v>73</v>
      </c>
      <c r="C2466" t="s">
        <v>74</v>
      </c>
      <c r="E2466" t="str">
        <f>"080067293184"</f>
        <v>080067293184</v>
      </c>
      <c r="F2466" s="3">
        <v>45887</v>
      </c>
      <c r="G2466">
        <v>202605</v>
      </c>
      <c r="H2466" t="s">
        <v>75</v>
      </c>
      <c r="I2466" t="s">
        <v>76</v>
      </c>
      <c r="J2466" t="s">
        <v>77</v>
      </c>
      <c r="K2466" t="s">
        <v>78</v>
      </c>
      <c r="L2466" t="s">
        <v>303</v>
      </c>
      <c r="M2466" t="s">
        <v>304</v>
      </c>
      <c r="N2466" t="s">
        <v>840</v>
      </c>
      <c r="O2466" t="s">
        <v>82</v>
      </c>
      <c r="P2466" t="str">
        <f>"4170055276                    "</f>
        <v xml:space="preserve">4170055276                    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0</v>
      </c>
      <c r="AI2466">
        <v>0</v>
      </c>
      <c r="AJ2466">
        <v>0</v>
      </c>
      <c r="AK2466">
        <v>0</v>
      </c>
      <c r="AL2466">
        <v>0</v>
      </c>
      <c r="AM2466">
        <v>0</v>
      </c>
      <c r="AN2466">
        <v>0</v>
      </c>
      <c r="AO2466">
        <v>0</v>
      </c>
      <c r="AP2466">
        <v>0</v>
      </c>
      <c r="AQ2466">
        <v>44.73</v>
      </c>
      <c r="AR2466">
        <v>0</v>
      </c>
      <c r="AS2466">
        <v>0</v>
      </c>
      <c r="AT2466">
        <v>0</v>
      </c>
      <c r="AU2466">
        <v>0</v>
      </c>
      <c r="AV2466">
        <v>0</v>
      </c>
      <c r="AW2466">
        <v>0</v>
      </c>
      <c r="AX2466">
        <v>0</v>
      </c>
      <c r="AY2466">
        <v>0</v>
      </c>
      <c r="AZ2466">
        <v>0</v>
      </c>
      <c r="BA2466">
        <v>0</v>
      </c>
      <c r="BB2466">
        <v>0</v>
      </c>
      <c r="BC2466">
        <v>0</v>
      </c>
      <c r="BD2466">
        <v>0</v>
      </c>
      <c r="BE2466">
        <v>0</v>
      </c>
      <c r="BF2466">
        <v>0</v>
      </c>
      <c r="BG2466">
        <v>0</v>
      </c>
      <c r="BH2466">
        <v>1</v>
      </c>
      <c r="BI2466">
        <v>1</v>
      </c>
      <c r="BJ2466">
        <v>0.2</v>
      </c>
      <c r="BK2466">
        <v>1</v>
      </c>
      <c r="BL2466">
        <v>138.88999999999999</v>
      </c>
      <c r="BM2466">
        <v>20.83</v>
      </c>
      <c r="BN2466">
        <v>159.72</v>
      </c>
      <c r="BO2466">
        <v>159.72</v>
      </c>
      <c r="BQ2466" t="s">
        <v>841</v>
      </c>
      <c r="BR2466" t="s">
        <v>84</v>
      </c>
      <c r="BS2466" t="s">
        <v>96</v>
      </c>
      <c r="BY2466">
        <v>1200</v>
      </c>
      <c r="CC2466" t="s">
        <v>304</v>
      </c>
      <c r="CD2466">
        <v>7130</v>
      </c>
      <c r="CE2466" t="s">
        <v>109</v>
      </c>
      <c r="CI2466">
        <v>1</v>
      </c>
      <c r="CJ2466" t="s">
        <v>96</v>
      </c>
      <c r="CK2466">
        <v>23</v>
      </c>
      <c r="CL2466" t="s">
        <v>90</v>
      </c>
    </row>
    <row r="2467" spans="1:90" x14ac:dyDescent="0.3">
      <c r="A2467" t="s">
        <v>72</v>
      </c>
      <c r="B2467" t="s">
        <v>73</v>
      </c>
      <c r="C2467" t="s">
        <v>74</v>
      </c>
      <c r="E2467" t="str">
        <f>"080067293217"</f>
        <v>080067293217</v>
      </c>
      <c r="F2467" s="3">
        <v>45887</v>
      </c>
      <c r="G2467">
        <v>202605</v>
      </c>
      <c r="H2467" t="s">
        <v>75</v>
      </c>
      <c r="I2467" t="s">
        <v>76</v>
      </c>
      <c r="J2467" t="s">
        <v>77</v>
      </c>
      <c r="K2467" t="s">
        <v>78</v>
      </c>
      <c r="L2467" t="s">
        <v>198</v>
      </c>
      <c r="M2467" t="s">
        <v>199</v>
      </c>
      <c r="N2467" t="s">
        <v>667</v>
      </c>
      <c r="O2467" t="s">
        <v>82</v>
      </c>
      <c r="P2467" t="str">
        <f>"4170055280                    "</f>
        <v xml:space="preserve">4170055280                    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0</v>
      </c>
      <c r="AI2467">
        <v>0</v>
      </c>
      <c r="AJ2467">
        <v>0</v>
      </c>
      <c r="AK2467">
        <v>0</v>
      </c>
      <c r="AL2467">
        <v>0</v>
      </c>
      <c r="AM2467">
        <v>0</v>
      </c>
      <c r="AN2467">
        <v>0</v>
      </c>
      <c r="AO2467">
        <v>0</v>
      </c>
      <c r="AP2467">
        <v>0</v>
      </c>
      <c r="AQ2467">
        <v>23.09</v>
      </c>
      <c r="AR2467">
        <v>0</v>
      </c>
      <c r="AS2467">
        <v>0</v>
      </c>
      <c r="AT2467">
        <v>0</v>
      </c>
      <c r="AU2467">
        <v>0</v>
      </c>
      <c r="AV2467">
        <v>0</v>
      </c>
      <c r="AW2467">
        <v>0</v>
      </c>
      <c r="AX2467">
        <v>0</v>
      </c>
      <c r="AY2467">
        <v>0</v>
      </c>
      <c r="AZ2467">
        <v>0</v>
      </c>
      <c r="BA2467">
        <v>0</v>
      </c>
      <c r="BB2467">
        <v>0</v>
      </c>
      <c r="BC2467">
        <v>0</v>
      </c>
      <c r="BD2467">
        <v>0</v>
      </c>
      <c r="BE2467">
        <v>0</v>
      </c>
      <c r="BF2467">
        <v>0</v>
      </c>
      <c r="BG2467">
        <v>0</v>
      </c>
      <c r="BH2467">
        <v>1</v>
      </c>
      <c r="BI2467">
        <v>1</v>
      </c>
      <c r="BJ2467">
        <v>0.2</v>
      </c>
      <c r="BK2467">
        <v>1</v>
      </c>
      <c r="BL2467">
        <v>71.69</v>
      </c>
      <c r="BM2467">
        <v>10.75</v>
      </c>
      <c r="BN2467">
        <v>82.44</v>
      </c>
      <c r="BO2467">
        <v>82.44</v>
      </c>
      <c r="BQ2467" t="s">
        <v>668</v>
      </c>
      <c r="BR2467" t="s">
        <v>84</v>
      </c>
      <c r="BS2467" s="3">
        <v>45888</v>
      </c>
      <c r="BT2467" s="4">
        <v>0.32361111111111113</v>
      </c>
      <c r="BU2467" t="s">
        <v>2874</v>
      </c>
      <c r="BV2467" t="s">
        <v>86</v>
      </c>
      <c r="BY2467">
        <v>1200</v>
      </c>
      <c r="CA2467" t="s">
        <v>433</v>
      </c>
      <c r="CC2467" t="s">
        <v>199</v>
      </c>
      <c r="CD2467">
        <v>6001</v>
      </c>
      <c r="CE2467" t="s">
        <v>109</v>
      </c>
      <c r="CI2467">
        <v>1</v>
      </c>
      <c r="CJ2467">
        <v>1</v>
      </c>
      <c r="CK2467">
        <v>21</v>
      </c>
      <c r="CL2467" t="s">
        <v>90</v>
      </c>
    </row>
    <row r="2468" spans="1:90" x14ac:dyDescent="0.3">
      <c r="A2468" t="s">
        <v>72</v>
      </c>
      <c r="B2468" t="s">
        <v>73</v>
      </c>
      <c r="C2468" t="s">
        <v>74</v>
      </c>
      <c r="E2468" t="str">
        <f>"080067293253"</f>
        <v>080067293253</v>
      </c>
      <c r="F2468" s="3">
        <v>45887</v>
      </c>
      <c r="G2468">
        <v>202605</v>
      </c>
      <c r="H2468" t="s">
        <v>75</v>
      </c>
      <c r="I2468" t="s">
        <v>76</v>
      </c>
      <c r="J2468" t="s">
        <v>77</v>
      </c>
      <c r="K2468" t="s">
        <v>78</v>
      </c>
      <c r="L2468" t="s">
        <v>223</v>
      </c>
      <c r="M2468" t="s">
        <v>224</v>
      </c>
      <c r="N2468" t="s">
        <v>225</v>
      </c>
      <c r="O2468" t="s">
        <v>82</v>
      </c>
      <c r="P2468" t="str">
        <f>"4170055271                    "</f>
        <v xml:space="preserve">4170055271                    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0</v>
      </c>
      <c r="AI2468">
        <v>0</v>
      </c>
      <c r="AJ2468">
        <v>0</v>
      </c>
      <c r="AK2468">
        <v>0</v>
      </c>
      <c r="AL2468">
        <v>0</v>
      </c>
      <c r="AM2468">
        <v>0</v>
      </c>
      <c r="AN2468">
        <v>0</v>
      </c>
      <c r="AO2468">
        <v>0</v>
      </c>
      <c r="AP2468">
        <v>0</v>
      </c>
      <c r="AQ2468">
        <v>23.09</v>
      </c>
      <c r="AR2468">
        <v>0</v>
      </c>
      <c r="AS2468">
        <v>0</v>
      </c>
      <c r="AT2468">
        <v>0</v>
      </c>
      <c r="AU2468">
        <v>0</v>
      </c>
      <c r="AV2468">
        <v>0</v>
      </c>
      <c r="AW2468">
        <v>0</v>
      </c>
      <c r="AX2468">
        <v>0</v>
      </c>
      <c r="AY2468">
        <v>0</v>
      </c>
      <c r="AZ2468">
        <v>0</v>
      </c>
      <c r="BA2468">
        <v>0</v>
      </c>
      <c r="BB2468">
        <v>0</v>
      </c>
      <c r="BC2468">
        <v>0</v>
      </c>
      <c r="BD2468">
        <v>0</v>
      </c>
      <c r="BE2468">
        <v>0</v>
      </c>
      <c r="BF2468">
        <v>0</v>
      </c>
      <c r="BG2468">
        <v>0</v>
      </c>
      <c r="BH2468">
        <v>1</v>
      </c>
      <c r="BI2468">
        <v>1</v>
      </c>
      <c r="BJ2468">
        <v>0.2</v>
      </c>
      <c r="BK2468">
        <v>1</v>
      </c>
      <c r="BL2468">
        <v>71.69</v>
      </c>
      <c r="BM2468">
        <v>10.75</v>
      </c>
      <c r="BN2468">
        <v>82.44</v>
      </c>
      <c r="BO2468">
        <v>82.44</v>
      </c>
      <c r="BQ2468" t="s">
        <v>226</v>
      </c>
      <c r="BR2468" t="s">
        <v>84</v>
      </c>
      <c r="BS2468" t="s">
        <v>96</v>
      </c>
      <c r="BY2468">
        <v>1200</v>
      </c>
      <c r="CC2468" t="s">
        <v>224</v>
      </c>
      <c r="CD2468">
        <v>5200</v>
      </c>
      <c r="CE2468" t="s">
        <v>109</v>
      </c>
      <c r="CI2468">
        <v>1</v>
      </c>
      <c r="CJ2468" t="s">
        <v>96</v>
      </c>
      <c r="CK2468">
        <v>21</v>
      </c>
      <c r="CL2468" t="s">
        <v>90</v>
      </c>
    </row>
    <row r="2469" spans="1:90" x14ac:dyDescent="0.3">
      <c r="A2469" t="s">
        <v>72</v>
      </c>
      <c r="B2469" t="s">
        <v>73</v>
      </c>
      <c r="C2469" t="s">
        <v>74</v>
      </c>
      <c r="E2469" t="str">
        <f>"080067293324"</f>
        <v>080067293324</v>
      </c>
      <c r="F2469" s="3">
        <v>45887</v>
      </c>
      <c r="G2469">
        <v>202605</v>
      </c>
      <c r="H2469" t="s">
        <v>75</v>
      </c>
      <c r="I2469" t="s">
        <v>76</v>
      </c>
      <c r="J2469" t="s">
        <v>77</v>
      </c>
      <c r="K2469" t="s">
        <v>78</v>
      </c>
      <c r="L2469" t="s">
        <v>75</v>
      </c>
      <c r="M2469" t="s">
        <v>76</v>
      </c>
      <c r="N2469" t="s">
        <v>1973</v>
      </c>
      <c r="O2469" t="s">
        <v>82</v>
      </c>
      <c r="P2469" t="str">
        <f>"4170055269                    "</f>
        <v xml:space="preserve">4170055269                    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0</v>
      </c>
      <c r="AI2469">
        <v>0</v>
      </c>
      <c r="AJ2469">
        <v>0</v>
      </c>
      <c r="AK2469">
        <v>0</v>
      </c>
      <c r="AL2469">
        <v>0</v>
      </c>
      <c r="AM2469">
        <v>0</v>
      </c>
      <c r="AN2469">
        <v>0</v>
      </c>
      <c r="AO2469">
        <v>0</v>
      </c>
      <c r="AP2469">
        <v>0</v>
      </c>
      <c r="AQ2469">
        <v>18.03</v>
      </c>
      <c r="AR2469">
        <v>0</v>
      </c>
      <c r="AS2469">
        <v>0</v>
      </c>
      <c r="AT2469">
        <v>0</v>
      </c>
      <c r="AU2469">
        <v>0</v>
      </c>
      <c r="AV2469">
        <v>0</v>
      </c>
      <c r="AW2469">
        <v>0</v>
      </c>
      <c r="AX2469">
        <v>0</v>
      </c>
      <c r="AY2469">
        <v>0</v>
      </c>
      <c r="AZ2469">
        <v>0</v>
      </c>
      <c r="BA2469">
        <v>0</v>
      </c>
      <c r="BB2469">
        <v>0</v>
      </c>
      <c r="BC2469">
        <v>0</v>
      </c>
      <c r="BD2469">
        <v>0</v>
      </c>
      <c r="BE2469">
        <v>0</v>
      </c>
      <c r="BF2469">
        <v>0</v>
      </c>
      <c r="BG2469">
        <v>0</v>
      </c>
      <c r="BH2469">
        <v>1</v>
      </c>
      <c r="BI2469">
        <v>1</v>
      </c>
      <c r="BJ2469">
        <v>0.2</v>
      </c>
      <c r="BK2469">
        <v>1</v>
      </c>
      <c r="BL2469">
        <v>55.99</v>
      </c>
      <c r="BM2469">
        <v>8.4</v>
      </c>
      <c r="BN2469">
        <v>64.39</v>
      </c>
      <c r="BO2469">
        <v>64.39</v>
      </c>
      <c r="BQ2469" t="s">
        <v>1974</v>
      </c>
      <c r="BR2469" t="s">
        <v>84</v>
      </c>
      <c r="BS2469" t="s">
        <v>96</v>
      </c>
      <c r="BY2469">
        <v>1200</v>
      </c>
      <c r="CC2469" t="s">
        <v>76</v>
      </c>
      <c r="CD2469">
        <v>1625</v>
      </c>
      <c r="CE2469" t="s">
        <v>109</v>
      </c>
      <c r="CI2469">
        <v>1</v>
      </c>
      <c r="CJ2469" t="s">
        <v>96</v>
      </c>
      <c r="CK2469">
        <v>22</v>
      </c>
      <c r="CL2469" t="s">
        <v>90</v>
      </c>
    </row>
    <row r="2470" spans="1:90" x14ac:dyDescent="0.3">
      <c r="A2470" t="s">
        <v>72</v>
      </c>
      <c r="B2470" t="s">
        <v>73</v>
      </c>
      <c r="C2470" t="s">
        <v>74</v>
      </c>
      <c r="E2470" t="str">
        <f>"080067293385"</f>
        <v>080067293385</v>
      </c>
      <c r="F2470" s="3">
        <v>45887</v>
      </c>
      <c r="G2470">
        <v>202605</v>
      </c>
      <c r="H2470" t="s">
        <v>75</v>
      </c>
      <c r="I2470" t="s">
        <v>76</v>
      </c>
      <c r="J2470" t="s">
        <v>77</v>
      </c>
      <c r="K2470" t="s">
        <v>78</v>
      </c>
      <c r="L2470" t="s">
        <v>198</v>
      </c>
      <c r="M2470" t="s">
        <v>199</v>
      </c>
      <c r="N2470" t="s">
        <v>598</v>
      </c>
      <c r="O2470" t="s">
        <v>82</v>
      </c>
      <c r="P2470" t="str">
        <f>"4170055234                    "</f>
        <v xml:space="preserve">4170055234                    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0</v>
      </c>
      <c r="AI2470">
        <v>0</v>
      </c>
      <c r="AJ2470">
        <v>0</v>
      </c>
      <c r="AK2470">
        <v>0</v>
      </c>
      <c r="AL2470">
        <v>0</v>
      </c>
      <c r="AM2470">
        <v>0</v>
      </c>
      <c r="AN2470">
        <v>0</v>
      </c>
      <c r="AO2470">
        <v>0</v>
      </c>
      <c r="AP2470">
        <v>0</v>
      </c>
      <c r="AQ2470">
        <v>23.09</v>
      </c>
      <c r="AR2470">
        <v>0</v>
      </c>
      <c r="AS2470">
        <v>0</v>
      </c>
      <c r="AT2470">
        <v>0</v>
      </c>
      <c r="AU2470">
        <v>0</v>
      </c>
      <c r="AV2470">
        <v>0</v>
      </c>
      <c r="AW2470">
        <v>0</v>
      </c>
      <c r="AX2470">
        <v>0</v>
      </c>
      <c r="AY2470">
        <v>0</v>
      </c>
      <c r="AZ2470">
        <v>0</v>
      </c>
      <c r="BA2470">
        <v>0</v>
      </c>
      <c r="BB2470">
        <v>0</v>
      </c>
      <c r="BC2470">
        <v>0</v>
      </c>
      <c r="BD2470">
        <v>0</v>
      </c>
      <c r="BE2470">
        <v>0</v>
      </c>
      <c r="BF2470">
        <v>0</v>
      </c>
      <c r="BG2470">
        <v>0</v>
      </c>
      <c r="BH2470">
        <v>1</v>
      </c>
      <c r="BI2470">
        <v>2</v>
      </c>
      <c r="BJ2470">
        <v>1.1000000000000001</v>
      </c>
      <c r="BK2470">
        <v>2</v>
      </c>
      <c r="BL2470">
        <v>71.69</v>
      </c>
      <c r="BM2470">
        <v>10.75</v>
      </c>
      <c r="BN2470">
        <v>82.44</v>
      </c>
      <c r="BO2470">
        <v>82.44</v>
      </c>
      <c r="BQ2470" t="s">
        <v>599</v>
      </c>
      <c r="BR2470" t="s">
        <v>84</v>
      </c>
      <c r="BS2470" s="3">
        <v>45888</v>
      </c>
      <c r="BT2470" s="4">
        <v>0.36249999999999999</v>
      </c>
      <c r="BU2470" t="s">
        <v>600</v>
      </c>
      <c r="BV2470" t="s">
        <v>86</v>
      </c>
      <c r="BY2470">
        <v>5320</v>
      </c>
      <c r="CA2470" t="s">
        <v>601</v>
      </c>
      <c r="CC2470" t="s">
        <v>199</v>
      </c>
      <c r="CD2470">
        <v>6001</v>
      </c>
      <c r="CE2470" t="s">
        <v>147</v>
      </c>
      <c r="CI2470">
        <v>1</v>
      </c>
      <c r="CJ2470">
        <v>1</v>
      </c>
      <c r="CK2470">
        <v>21</v>
      </c>
      <c r="CL2470" t="s">
        <v>90</v>
      </c>
    </row>
    <row r="2471" spans="1:90" x14ac:dyDescent="0.3">
      <c r="A2471" t="s">
        <v>72</v>
      </c>
      <c r="B2471" t="s">
        <v>73</v>
      </c>
      <c r="C2471" t="s">
        <v>74</v>
      </c>
      <c r="E2471" t="str">
        <f>"080067293452"</f>
        <v>080067293452</v>
      </c>
      <c r="F2471" s="3">
        <v>45887</v>
      </c>
      <c r="G2471">
        <v>202605</v>
      </c>
      <c r="H2471" t="s">
        <v>75</v>
      </c>
      <c r="I2471" t="s">
        <v>76</v>
      </c>
      <c r="J2471" t="s">
        <v>77</v>
      </c>
      <c r="K2471" t="s">
        <v>78</v>
      </c>
      <c r="L2471" t="s">
        <v>520</v>
      </c>
      <c r="M2471" t="s">
        <v>521</v>
      </c>
      <c r="N2471" t="s">
        <v>2875</v>
      </c>
      <c r="O2471" t="s">
        <v>82</v>
      </c>
      <c r="P2471" t="str">
        <f>"4170055230                    "</f>
        <v xml:space="preserve">4170055230                    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0</v>
      </c>
      <c r="AI2471">
        <v>0</v>
      </c>
      <c r="AJ2471">
        <v>0</v>
      </c>
      <c r="AK2471">
        <v>0</v>
      </c>
      <c r="AL2471">
        <v>0</v>
      </c>
      <c r="AM2471">
        <v>0</v>
      </c>
      <c r="AN2471">
        <v>0</v>
      </c>
      <c r="AO2471">
        <v>0</v>
      </c>
      <c r="AP2471">
        <v>0</v>
      </c>
      <c r="AQ2471">
        <v>115.42</v>
      </c>
      <c r="AR2471">
        <v>0</v>
      </c>
      <c r="AS2471">
        <v>0</v>
      </c>
      <c r="AT2471">
        <v>0</v>
      </c>
      <c r="AU2471">
        <v>0</v>
      </c>
      <c r="AV2471">
        <v>0</v>
      </c>
      <c r="AW2471">
        <v>0</v>
      </c>
      <c r="AX2471">
        <v>0</v>
      </c>
      <c r="AY2471">
        <v>0</v>
      </c>
      <c r="AZ2471">
        <v>0</v>
      </c>
      <c r="BA2471">
        <v>0</v>
      </c>
      <c r="BB2471">
        <v>0</v>
      </c>
      <c r="BC2471">
        <v>0</v>
      </c>
      <c r="BD2471">
        <v>0</v>
      </c>
      <c r="BE2471">
        <v>0</v>
      </c>
      <c r="BF2471">
        <v>0</v>
      </c>
      <c r="BG2471">
        <v>0</v>
      </c>
      <c r="BH2471">
        <v>1</v>
      </c>
      <c r="BI2471">
        <v>4</v>
      </c>
      <c r="BJ2471">
        <v>5.0999999999999996</v>
      </c>
      <c r="BK2471">
        <v>5.5</v>
      </c>
      <c r="BL2471">
        <v>358.4</v>
      </c>
      <c r="BM2471">
        <v>53.76</v>
      </c>
      <c r="BN2471">
        <v>412.16</v>
      </c>
      <c r="BO2471">
        <v>412.16</v>
      </c>
      <c r="BQ2471" t="s">
        <v>2876</v>
      </c>
      <c r="BR2471" t="s">
        <v>84</v>
      </c>
      <c r="BS2471" t="s">
        <v>96</v>
      </c>
      <c r="BY2471">
        <v>25432</v>
      </c>
      <c r="CC2471" t="s">
        <v>521</v>
      </c>
      <c r="CD2471">
        <v>1960</v>
      </c>
      <c r="CE2471" t="s">
        <v>117</v>
      </c>
      <c r="CI2471">
        <v>1</v>
      </c>
      <c r="CJ2471" t="s">
        <v>96</v>
      </c>
      <c r="CK2471">
        <v>23</v>
      </c>
      <c r="CL2471" t="s">
        <v>90</v>
      </c>
    </row>
    <row r="2472" spans="1:90" x14ac:dyDescent="0.3">
      <c r="A2472" t="s">
        <v>72</v>
      </c>
      <c r="B2472" t="s">
        <v>73</v>
      </c>
      <c r="C2472" t="s">
        <v>74</v>
      </c>
      <c r="E2472" t="str">
        <f>"080067293527"</f>
        <v>080067293527</v>
      </c>
      <c r="F2472" s="3">
        <v>45887</v>
      </c>
      <c r="G2472">
        <v>202605</v>
      </c>
      <c r="H2472" t="s">
        <v>75</v>
      </c>
      <c r="I2472" t="s">
        <v>76</v>
      </c>
      <c r="J2472" t="s">
        <v>77</v>
      </c>
      <c r="K2472" t="s">
        <v>78</v>
      </c>
      <c r="L2472" t="s">
        <v>75</v>
      </c>
      <c r="M2472" t="s">
        <v>76</v>
      </c>
      <c r="N2472" t="s">
        <v>152</v>
      </c>
      <c r="O2472" t="s">
        <v>82</v>
      </c>
      <c r="P2472" t="str">
        <f>"4170055215                    "</f>
        <v xml:space="preserve">4170055215                    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0</v>
      </c>
      <c r="AI2472">
        <v>0</v>
      </c>
      <c r="AJ2472">
        <v>0</v>
      </c>
      <c r="AK2472">
        <v>0</v>
      </c>
      <c r="AL2472">
        <v>0</v>
      </c>
      <c r="AM2472">
        <v>0</v>
      </c>
      <c r="AN2472">
        <v>0</v>
      </c>
      <c r="AO2472">
        <v>0</v>
      </c>
      <c r="AP2472">
        <v>0</v>
      </c>
      <c r="AQ2472">
        <v>18.03</v>
      </c>
      <c r="AR2472">
        <v>0</v>
      </c>
      <c r="AS2472">
        <v>0</v>
      </c>
      <c r="AT2472">
        <v>0</v>
      </c>
      <c r="AU2472">
        <v>0</v>
      </c>
      <c r="AV2472">
        <v>0</v>
      </c>
      <c r="AW2472">
        <v>0</v>
      </c>
      <c r="AX2472">
        <v>0</v>
      </c>
      <c r="AY2472">
        <v>0</v>
      </c>
      <c r="AZ2472">
        <v>0</v>
      </c>
      <c r="BA2472">
        <v>0</v>
      </c>
      <c r="BB2472">
        <v>0</v>
      </c>
      <c r="BC2472">
        <v>0</v>
      </c>
      <c r="BD2472">
        <v>0</v>
      </c>
      <c r="BE2472">
        <v>0</v>
      </c>
      <c r="BF2472">
        <v>0</v>
      </c>
      <c r="BG2472">
        <v>0</v>
      </c>
      <c r="BH2472">
        <v>1</v>
      </c>
      <c r="BI2472">
        <v>3</v>
      </c>
      <c r="BJ2472">
        <v>5.3</v>
      </c>
      <c r="BK2472">
        <v>6</v>
      </c>
      <c r="BL2472">
        <v>55.99</v>
      </c>
      <c r="BM2472">
        <v>8.4</v>
      </c>
      <c r="BN2472">
        <v>64.39</v>
      </c>
      <c r="BO2472">
        <v>64.39</v>
      </c>
      <c r="BQ2472" t="s">
        <v>153</v>
      </c>
      <c r="BR2472" t="s">
        <v>84</v>
      </c>
      <c r="BS2472" s="3">
        <v>45888</v>
      </c>
      <c r="BT2472" s="4">
        <v>0.3125</v>
      </c>
      <c r="BU2472" t="s">
        <v>995</v>
      </c>
      <c r="BV2472" t="s">
        <v>86</v>
      </c>
      <c r="BY2472">
        <v>26508</v>
      </c>
      <c r="CA2472" t="s">
        <v>155</v>
      </c>
      <c r="CC2472" t="s">
        <v>76</v>
      </c>
      <c r="CD2472">
        <v>1600</v>
      </c>
      <c r="CE2472" t="s">
        <v>970</v>
      </c>
      <c r="CI2472">
        <v>1</v>
      </c>
      <c r="CJ2472">
        <v>1</v>
      </c>
      <c r="CK2472">
        <v>22</v>
      </c>
      <c r="CL2472" t="s">
        <v>90</v>
      </c>
    </row>
    <row r="2473" spans="1:90" x14ac:dyDescent="0.3">
      <c r="A2473" t="s">
        <v>72</v>
      </c>
      <c r="B2473" t="s">
        <v>73</v>
      </c>
      <c r="C2473" t="s">
        <v>74</v>
      </c>
      <c r="E2473" t="str">
        <f>"080067293725"</f>
        <v>080067293725</v>
      </c>
      <c r="F2473" s="3">
        <v>45887</v>
      </c>
      <c r="G2473">
        <v>202605</v>
      </c>
      <c r="H2473" t="s">
        <v>75</v>
      </c>
      <c r="I2473" t="s">
        <v>76</v>
      </c>
      <c r="J2473" t="s">
        <v>77</v>
      </c>
      <c r="K2473" t="s">
        <v>78</v>
      </c>
      <c r="L2473" t="s">
        <v>75</v>
      </c>
      <c r="M2473" t="s">
        <v>76</v>
      </c>
      <c r="N2473" t="s">
        <v>2264</v>
      </c>
      <c r="O2473" t="s">
        <v>95</v>
      </c>
      <c r="P2473" t="str">
        <f>"4170055199                    "</f>
        <v xml:space="preserve">4170055199                    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0</v>
      </c>
      <c r="AP2473">
        <v>0</v>
      </c>
      <c r="AQ2473">
        <v>42.5</v>
      </c>
      <c r="AR2473">
        <v>0</v>
      </c>
      <c r="AS2473">
        <v>0</v>
      </c>
      <c r="AT2473">
        <v>0</v>
      </c>
      <c r="AU2473">
        <v>0</v>
      </c>
      <c r="AV2473">
        <v>0</v>
      </c>
      <c r="AW2473">
        <v>0</v>
      </c>
      <c r="AX2473">
        <v>0</v>
      </c>
      <c r="AY2473">
        <v>0</v>
      </c>
      <c r="AZ2473">
        <v>0</v>
      </c>
      <c r="BA2473">
        <v>0</v>
      </c>
      <c r="BB2473">
        <v>0</v>
      </c>
      <c r="BC2473">
        <v>0</v>
      </c>
      <c r="BD2473">
        <v>0</v>
      </c>
      <c r="BE2473">
        <v>0</v>
      </c>
      <c r="BF2473">
        <v>0</v>
      </c>
      <c r="BG2473">
        <v>0</v>
      </c>
      <c r="BH2473">
        <v>1</v>
      </c>
      <c r="BI2473">
        <v>23</v>
      </c>
      <c r="BJ2473">
        <v>16.399999999999999</v>
      </c>
      <c r="BK2473">
        <v>23</v>
      </c>
      <c r="BL2473">
        <v>137.85</v>
      </c>
      <c r="BM2473">
        <v>20.68</v>
      </c>
      <c r="BN2473">
        <v>158.53</v>
      </c>
      <c r="BO2473">
        <v>158.53</v>
      </c>
      <c r="BQ2473" t="s">
        <v>2265</v>
      </c>
      <c r="BR2473" t="s">
        <v>84</v>
      </c>
      <c r="BS2473" t="s">
        <v>96</v>
      </c>
      <c r="BY2473">
        <v>82212</v>
      </c>
      <c r="CC2473" t="s">
        <v>76</v>
      </c>
      <c r="CD2473">
        <v>1609</v>
      </c>
      <c r="CE2473" t="s">
        <v>117</v>
      </c>
      <c r="CI2473">
        <v>1</v>
      </c>
      <c r="CJ2473" t="s">
        <v>96</v>
      </c>
      <c r="CK2473">
        <v>42</v>
      </c>
      <c r="CL2473" t="s">
        <v>90</v>
      </c>
    </row>
    <row r="2474" spans="1:90" x14ac:dyDescent="0.3">
      <c r="A2474" t="s">
        <v>72</v>
      </c>
      <c r="B2474" t="s">
        <v>73</v>
      </c>
      <c r="C2474" t="s">
        <v>74</v>
      </c>
      <c r="E2474" t="str">
        <f>"080067293792"</f>
        <v>080067293792</v>
      </c>
      <c r="F2474" s="3">
        <v>45887</v>
      </c>
      <c r="G2474">
        <v>202605</v>
      </c>
      <c r="H2474" t="s">
        <v>75</v>
      </c>
      <c r="I2474" t="s">
        <v>76</v>
      </c>
      <c r="J2474" t="s">
        <v>77</v>
      </c>
      <c r="K2474" t="s">
        <v>78</v>
      </c>
      <c r="L2474" t="s">
        <v>162</v>
      </c>
      <c r="M2474" t="s">
        <v>163</v>
      </c>
      <c r="N2474" t="s">
        <v>1835</v>
      </c>
      <c r="O2474" t="s">
        <v>95</v>
      </c>
      <c r="P2474" t="str">
        <f>"4170055241                    "</f>
        <v xml:space="preserve">4170055241                    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0</v>
      </c>
      <c r="AI2474">
        <v>0</v>
      </c>
      <c r="AJ2474">
        <v>0</v>
      </c>
      <c r="AK2474">
        <v>0</v>
      </c>
      <c r="AL2474">
        <v>0</v>
      </c>
      <c r="AM2474">
        <v>0</v>
      </c>
      <c r="AN2474">
        <v>0</v>
      </c>
      <c r="AO2474">
        <v>0</v>
      </c>
      <c r="AP2474">
        <v>0</v>
      </c>
      <c r="AQ2474">
        <v>57.54</v>
      </c>
      <c r="AR2474">
        <v>0</v>
      </c>
      <c r="AS2474">
        <v>0</v>
      </c>
      <c r="AT2474">
        <v>0</v>
      </c>
      <c r="AU2474">
        <v>0</v>
      </c>
      <c r="AV2474">
        <v>0</v>
      </c>
      <c r="AW2474">
        <v>0</v>
      </c>
      <c r="AX2474">
        <v>0</v>
      </c>
      <c r="AY2474">
        <v>0</v>
      </c>
      <c r="AZ2474">
        <v>0</v>
      </c>
      <c r="BA2474">
        <v>0</v>
      </c>
      <c r="BB2474">
        <v>0</v>
      </c>
      <c r="BC2474">
        <v>0</v>
      </c>
      <c r="BD2474">
        <v>0</v>
      </c>
      <c r="BE2474">
        <v>0</v>
      </c>
      <c r="BF2474">
        <v>0</v>
      </c>
      <c r="BG2474">
        <v>0</v>
      </c>
      <c r="BH2474">
        <v>2</v>
      </c>
      <c r="BI2474">
        <v>22</v>
      </c>
      <c r="BJ2474">
        <v>18.7</v>
      </c>
      <c r="BK2474">
        <v>22</v>
      </c>
      <c r="BL2474">
        <v>184.55</v>
      </c>
      <c r="BM2474">
        <v>27.68</v>
      </c>
      <c r="BN2474">
        <v>212.23</v>
      </c>
      <c r="BO2474">
        <v>212.23</v>
      </c>
      <c r="BQ2474" t="s">
        <v>1836</v>
      </c>
      <c r="BR2474" t="s">
        <v>84</v>
      </c>
      <c r="BS2474" t="s">
        <v>96</v>
      </c>
      <c r="BY2474">
        <v>46656</v>
      </c>
      <c r="CC2474" t="s">
        <v>163</v>
      </c>
      <c r="CD2474">
        <v>3201</v>
      </c>
      <c r="CE2474" t="s">
        <v>2107</v>
      </c>
      <c r="CI2474">
        <v>2</v>
      </c>
      <c r="CJ2474" t="s">
        <v>96</v>
      </c>
      <c r="CK2474">
        <v>41</v>
      </c>
      <c r="CL2474" t="s">
        <v>90</v>
      </c>
    </row>
    <row r="2475" spans="1:90" x14ac:dyDescent="0.3">
      <c r="A2475" t="s">
        <v>72</v>
      </c>
      <c r="B2475" t="s">
        <v>73</v>
      </c>
      <c r="C2475" t="s">
        <v>74</v>
      </c>
      <c r="E2475" t="str">
        <f>"080067293860"</f>
        <v>080067293860</v>
      </c>
      <c r="F2475" s="3">
        <v>45887</v>
      </c>
      <c r="G2475">
        <v>202605</v>
      </c>
      <c r="H2475" t="s">
        <v>75</v>
      </c>
      <c r="I2475" t="s">
        <v>76</v>
      </c>
      <c r="J2475" t="s">
        <v>77</v>
      </c>
      <c r="K2475" t="s">
        <v>78</v>
      </c>
      <c r="L2475" t="s">
        <v>303</v>
      </c>
      <c r="M2475" t="s">
        <v>304</v>
      </c>
      <c r="N2475" t="s">
        <v>840</v>
      </c>
      <c r="O2475" t="s">
        <v>82</v>
      </c>
      <c r="P2475" t="str">
        <f>"4170055268                    "</f>
        <v xml:space="preserve">4170055268                    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0</v>
      </c>
      <c r="AI2475">
        <v>0</v>
      </c>
      <c r="AJ2475">
        <v>0</v>
      </c>
      <c r="AK2475">
        <v>0</v>
      </c>
      <c r="AL2475">
        <v>0</v>
      </c>
      <c r="AM2475">
        <v>0</v>
      </c>
      <c r="AN2475">
        <v>0</v>
      </c>
      <c r="AO2475">
        <v>0</v>
      </c>
      <c r="AP2475">
        <v>0</v>
      </c>
      <c r="AQ2475">
        <v>44.73</v>
      </c>
      <c r="AR2475">
        <v>0</v>
      </c>
      <c r="AS2475">
        <v>0</v>
      </c>
      <c r="AT2475">
        <v>0</v>
      </c>
      <c r="AU2475">
        <v>0</v>
      </c>
      <c r="AV2475">
        <v>0</v>
      </c>
      <c r="AW2475">
        <v>0</v>
      </c>
      <c r="AX2475">
        <v>0</v>
      </c>
      <c r="AY2475">
        <v>0</v>
      </c>
      <c r="AZ2475">
        <v>0</v>
      </c>
      <c r="BA2475">
        <v>0</v>
      </c>
      <c r="BB2475">
        <v>0</v>
      </c>
      <c r="BC2475">
        <v>0</v>
      </c>
      <c r="BD2475">
        <v>0</v>
      </c>
      <c r="BE2475">
        <v>0</v>
      </c>
      <c r="BF2475">
        <v>0</v>
      </c>
      <c r="BG2475">
        <v>0</v>
      </c>
      <c r="BH2475">
        <v>1</v>
      </c>
      <c r="BI2475">
        <v>1</v>
      </c>
      <c r="BJ2475">
        <v>1.1000000000000001</v>
      </c>
      <c r="BK2475">
        <v>1.5</v>
      </c>
      <c r="BL2475">
        <v>138.88999999999999</v>
      </c>
      <c r="BM2475">
        <v>20.83</v>
      </c>
      <c r="BN2475">
        <v>159.72</v>
      </c>
      <c r="BO2475">
        <v>159.72</v>
      </c>
      <c r="BQ2475" t="s">
        <v>841</v>
      </c>
      <c r="BR2475" t="s">
        <v>84</v>
      </c>
      <c r="BS2475" t="s">
        <v>96</v>
      </c>
      <c r="BY2475">
        <v>5320</v>
      </c>
      <c r="BZ2475" t="s">
        <v>330</v>
      </c>
      <c r="CC2475" t="s">
        <v>304</v>
      </c>
      <c r="CD2475">
        <v>7130</v>
      </c>
      <c r="CE2475" t="s">
        <v>89</v>
      </c>
      <c r="CI2475">
        <v>1</v>
      </c>
      <c r="CJ2475" t="s">
        <v>96</v>
      </c>
      <c r="CK2475">
        <v>23</v>
      </c>
      <c r="CL2475" t="s">
        <v>90</v>
      </c>
    </row>
    <row r="2476" spans="1:90" x14ac:dyDescent="0.3">
      <c r="A2476" t="s">
        <v>72</v>
      </c>
      <c r="B2476" t="s">
        <v>73</v>
      </c>
      <c r="C2476" t="s">
        <v>74</v>
      </c>
      <c r="E2476" t="str">
        <f>"080067293931"</f>
        <v>080067293931</v>
      </c>
      <c r="F2476" s="3">
        <v>45887</v>
      </c>
      <c r="G2476">
        <v>202605</v>
      </c>
      <c r="H2476" t="s">
        <v>75</v>
      </c>
      <c r="I2476" t="s">
        <v>76</v>
      </c>
      <c r="J2476" t="s">
        <v>77</v>
      </c>
      <c r="K2476" t="s">
        <v>78</v>
      </c>
      <c r="L2476" t="s">
        <v>123</v>
      </c>
      <c r="M2476" t="s">
        <v>124</v>
      </c>
      <c r="N2476" t="s">
        <v>125</v>
      </c>
      <c r="O2476" t="s">
        <v>82</v>
      </c>
      <c r="P2476" t="str">
        <f>"4170055273                    "</f>
        <v xml:space="preserve">4170055273                    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0</v>
      </c>
      <c r="AI2476">
        <v>0</v>
      </c>
      <c r="AJ2476">
        <v>0</v>
      </c>
      <c r="AK2476">
        <v>0</v>
      </c>
      <c r="AL2476">
        <v>0</v>
      </c>
      <c r="AM2476">
        <v>0</v>
      </c>
      <c r="AN2476">
        <v>0</v>
      </c>
      <c r="AO2476">
        <v>0</v>
      </c>
      <c r="AP2476">
        <v>0</v>
      </c>
      <c r="AQ2476">
        <v>23.09</v>
      </c>
      <c r="AR2476">
        <v>0</v>
      </c>
      <c r="AS2476">
        <v>0</v>
      </c>
      <c r="AT2476">
        <v>0</v>
      </c>
      <c r="AU2476">
        <v>0</v>
      </c>
      <c r="AV2476">
        <v>0</v>
      </c>
      <c r="AW2476">
        <v>0</v>
      </c>
      <c r="AX2476">
        <v>0</v>
      </c>
      <c r="AY2476">
        <v>0</v>
      </c>
      <c r="AZ2476">
        <v>0</v>
      </c>
      <c r="BA2476">
        <v>0</v>
      </c>
      <c r="BB2476">
        <v>0</v>
      </c>
      <c r="BC2476">
        <v>0</v>
      </c>
      <c r="BD2476">
        <v>0</v>
      </c>
      <c r="BE2476">
        <v>0</v>
      </c>
      <c r="BF2476">
        <v>0</v>
      </c>
      <c r="BG2476">
        <v>0</v>
      </c>
      <c r="BH2476">
        <v>1</v>
      </c>
      <c r="BI2476">
        <v>1</v>
      </c>
      <c r="BJ2476">
        <v>0.2</v>
      </c>
      <c r="BK2476">
        <v>1</v>
      </c>
      <c r="BL2476">
        <v>71.69</v>
      </c>
      <c r="BM2476">
        <v>10.75</v>
      </c>
      <c r="BN2476">
        <v>82.44</v>
      </c>
      <c r="BO2476">
        <v>82.44</v>
      </c>
      <c r="BQ2476" t="s">
        <v>126</v>
      </c>
      <c r="BR2476" t="s">
        <v>84</v>
      </c>
      <c r="BS2476" s="3">
        <v>45888</v>
      </c>
      <c r="BT2476" s="4">
        <v>0.32569444444444445</v>
      </c>
      <c r="BU2476" t="s">
        <v>2798</v>
      </c>
      <c r="BV2476" t="s">
        <v>86</v>
      </c>
      <c r="BY2476">
        <v>1200</v>
      </c>
      <c r="BZ2476" t="s">
        <v>330</v>
      </c>
      <c r="CA2476" t="s">
        <v>128</v>
      </c>
      <c r="CC2476" t="s">
        <v>124</v>
      </c>
      <c r="CD2476">
        <v>7530</v>
      </c>
      <c r="CE2476" t="s">
        <v>597</v>
      </c>
      <c r="CI2476">
        <v>1</v>
      </c>
      <c r="CJ2476">
        <v>1</v>
      </c>
      <c r="CK2476">
        <v>21</v>
      </c>
      <c r="CL2476" t="s">
        <v>90</v>
      </c>
    </row>
    <row r="2477" spans="1:90" x14ac:dyDescent="0.3">
      <c r="A2477" t="s">
        <v>72</v>
      </c>
      <c r="B2477" t="s">
        <v>73</v>
      </c>
      <c r="C2477" t="s">
        <v>74</v>
      </c>
      <c r="E2477" t="str">
        <f>"080067293952"</f>
        <v>080067293952</v>
      </c>
      <c r="F2477" s="3">
        <v>45887</v>
      </c>
      <c r="G2477">
        <v>202605</v>
      </c>
      <c r="H2477" t="s">
        <v>75</v>
      </c>
      <c r="I2477" t="s">
        <v>76</v>
      </c>
      <c r="J2477" t="s">
        <v>77</v>
      </c>
      <c r="K2477" t="s">
        <v>78</v>
      </c>
      <c r="L2477" t="s">
        <v>217</v>
      </c>
      <c r="M2477" t="s">
        <v>218</v>
      </c>
      <c r="N2477" t="s">
        <v>219</v>
      </c>
      <c r="O2477" t="s">
        <v>82</v>
      </c>
      <c r="P2477" t="str">
        <f>"4170055267                    "</f>
        <v xml:space="preserve">4170055267                    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0</v>
      </c>
      <c r="AI2477">
        <v>0</v>
      </c>
      <c r="AJ2477">
        <v>0</v>
      </c>
      <c r="AK2477">
        <v>0</v>
      </c>
      <c r="AL2477">
        <v>0</v>
      </c>
      <c r="AM2477">
        <v>0</v>
      </c>
      <c r="AN2477">
        <v>0</v>
      </c>
      <c r="AO2477">
        <v>0</v>
      </c>
      <c r="AP2477">
        <v>0</v>
      </c>
      <c r="AQ2477">
        <v>23.09</v>
      </c>
      <c r="AR2477">
        <v>0</v>
      </c>
      <c r="AS2477">
        <v>0</v>
      </c>
      <c r="AT2477">
        <v>0</v>
      </c>
      <c r="AU2477">
        <v>0</v>
      </c>
      <c r="AV2477">
        <v>0</v>
      </c>
      <c r="AW2477">
        <v>0</v>
      </c>
      <c r="AX2477">
        <v>0</v>
      </c>
      <c r="AY2477">
        <v>0</v>
      </c>
      <c r="AZ2477">
        <v>0</v>
      </c>
      <c r="BA2477">
        <v>0</v>
      </c>
      <c r="BB2477">
        <v>0</v>
      </c>
      <c r="BC2477">
        <v>0</v>
      </c>
      <c r="BD2477">
        <v>0</v>
      </c>
      <c r="BE2477">
        <v>0</v>
      </c>
      <c r="BF2477">
        <v>0</v>
      </c>
      <c r="BG2477">
        <v>0</v>
      </c>
      <c r="BH2477">
        <v>1</v>
      </c>
      <c r="BI2477">
        <v>1</v>
      </c>
      <c r="BJ2477">
        <v>0.2</v>
      </c>
      <c r="BK2477">
        <v>1</v>
      </c>
      <c r="BL2477">
        <v>71.69</v>
      </c>
      <c r="BM2477">
        <v>10.75</v>
      </c>
      <c r="BN2477">
        <v>82.44</v>
      </c>
      <c r="BO2477">
        <v>82.44</v>
      </c>
      <c r="BQ2477" t="s">
        <v>220</v>
      </c>
      <c r="BR2477" t="s">
        <v>84</v>
      </c>
      <c r="BS2477" s="3">
        <v>45888</v>
      </c>
      <c r="BT2477" s="4">
        <v>0.32916666666666666</v>
      </c>
      <c r="BU2477" t="s">
        <v>2366</v>
      </c>
      <c r="BV2477" t="s">
        <v>86</v>
      </c>
      <c r="BY2477">
        <v>1200</v>
      </c>
      <c r="BZ2477" t="s">
        <v>330</v>
      </c>
      <c r="CA2477" t="s">
        <v>566</v>
      </c>
      <c r="CC2477" t="s">
        <v>218</v>
      </c>
      <c r="CD2477">
        <v>4051</v>
      </c>
      <c r="CE2477" t="s">
        <v>597</v>
      </c>
      <c r="CI2477">
        <v>1</v>
      </c>
      <c r="CJ2477">
        <v>1</v>
      </c>
      <c r="CK2477">
        <v>21</v>
      </c>
      <c r="CL2477" t="s">
        <v>90</v>
      </c>
    </row>
    <row r="2478" spans="1:90" x14ac:dyDescent="0.3">
      <c r="A2478" t="s">
        <v>72</v>
      </c>
      <c r="B2478" t="s">
        <v>73</v>
      </c>
      <c r="C2478" t="s">
        <v>74</v>
      </c>
      <c r="E2478" t="str">
        <f>"080067294408"</f>
        <v>080067294408</v>
      </c>
      <c r="F2478" s="3">
        <v>45887</v>
      </c>
      <c r="G2478">
        <v>202605</v>
      </c>
      <c r="H2478" t="s">
        <v>75</v>
      </c>
      <c r="I2478" t="s">
        <v>76</v>
      </c>
      <c r="J2478" t="s">
        <v>77</v>
      </c>
      <c r="K2478" t="s">
        <v>78</v>
      </c>
      <c r="L2478" t="s">
        <v>123</v>
      </c>
      <c r="M2478" t="s">
        <v>124</v>
      </c>
      <c r="N2478" t="s">
        <v>406</v>
      </c>
      <c r="O2478" t="s">
        <v>82</v>
      </c>
      <c r="P2478" t="str">
        <f>"4170055212                    "</f>
        <v xml:space="preserve">4170055212                    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0</v>
      </c>
      <c r="AI2478">
        <v>0</v>
      </c>
      <c r="AJ2478">
        <v>0</v>
      </c>
      <c r="AK2478">
        <v>0</v>
      </c>
      <c r="AL2478">
        <v>0</v>
      </c>
      <c r="AM2478">
        <v>0</v>
      </c>
      <c r="AN2478">
        <v>0</v>
      </c>
      <c r="AO2478">
        <v>0</v>
      </c>
      <c r="AP2478">
        <v>0</v>
      </c>
      <c r="AQ2478">
        <v>23.09</v>
      </c>
      <c r="AR2478">
        <v>0</v>
      </c>
      <c r="AS2478">
        <v>0</v>
      </c>
      <c r="AT2478">
        <v>0</v>
      </c>
      <c r="AU2478">
        <v>0</v>
      </c>
      <c r="AV2478">
        <v>0</v>
      </c>
      <c r="AW2478">
        <v>0</v>
      </c>
      <c r="AX2478">
        <v>0</v>
      </c>
      <c r="AY2478">
        <v>0</v>
      </c>
      <c r="AZ2478">
        <v>0</v>
      </c>
      <c r="BA2478">
        <v>0</v>
      </c>
      <c r="BB2478">
        <v>0</v>
      </c>
      <c r="BC2478">
        <v>0</v>
      </c>
      <c r="BD2478">
        <v>0</v>
      </c>
      <c r="BE2478">
        <v>0</v>
      </c>
      <c r="BF2478">
        <v>0</v>
      </c>
      <c r="BG2478">
        <v>0</v>
      </c>
      <c r="BH2478">
        <v>1</v>
      </c>
      <c r="BI2478">
        <v>1</v>
      </c>
      <c r="BJ2478">
        <v>0.2</v>
      </c>
      <c r="BK2478">
        <v>1</v>
      </c>
      <c r="BL2478">
        <v>71.69</v>
      </c>
      <c r="BM2478">
        <v>10.75</v>
      </c>
      <c r="BN2478">
        <v>82.44</v>
      </c>
      <c r="BO2478">
        <v>82.44</v>
      </c>
      <c r="BQ2478" t="s">
        <v>407</v>
      </c>
      <c r="BR2478" t="s">
        <v>84</v>
      </c>
      <c r="BS2478" t="s">
        <v>96</v>
      </c>
      <c r="BY2478">
        <v>1200</v>
      </c>
      <c r="CC2478" t="s">
        <v>124</v>
      </c>
      <c r="CD2478">
        <v>7441</v>
      </c>
      <c r="CE2478" t="s">
        <v>109</v>
      </c>
      <c r="CI2478">
        <v>1</v>
      </c>
      <c r="CJ2478" t="s">
        <v>96</v>
      </c>
      <c r="CK2478">
        <v>21</v>
      </c>
      <c r="CL2478" t="s">
        <v>90</v>
      </c>
    </row>
    <row r="2479" spans="1:90" x14ac:dyDescent="0.3">
      <c r="A2479" t="s">
        <v>72</v>
      </c>
      <c r="B2479" t="s">
        <v>73</v>
      </c>
      <c r="C2479" t="s">
        <v>74</v>
      </c>
      <c r="E2479" t="str">
        <f>"080067294615"</f>
        <v>080067294615</v>
      </c>
      <c r="F2479" s="3">
        <v>45887</v>
      </c>
      <c r="G2479">
        <v>202605</v>
      </c>
      <c r="H2479" t="s">
        <v>75</v>
      </c>
      <c r="I2479" t="s">
        <v>76</v>
      </c>
      <c r="J2479" t="s">
        <v>77</v>
      </c>
      <c r="K2479" t="s">
        <v>78</v>
      </c>
      <c r="L2479" t="s">
        <v>217</v>
      </c>
      <c r="M2479" t="s">
        <v>218</v>
      </c>
      <c r="N2479" t="s">
        <v>219</v>
      </c>
      <c r="O2479" t="s">
        <v>82</v>
      </c>
      <c r="P2479" t="str">
        <f>"4170055279                    "</f>
        <v xml:space="preserve">4170055279                    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0</v>
      </c>
      <c r="AI2479">
        <v>0</v>
      </c>
      <c r="AJ2479">
        <v>0</v>
      </c>
      <c r="AK2479">
        <v>0</v>
      </c>
      <c r="AL2479">
        <v>0</v>
      </c>
      <c r="AM2479">
        <v>0</v>
      </c>
      <c r="AN2479">
        <v>0</v>
      </c>
      <c r="AO2479">
        <v>0</v>
      </c>
      <c r="AP2479">
        <v>0</v>
      </c>
      <c r="AQ2479">
        <v>34.619999999999997</v>
      </c>
      <c r="AR2479">
        <v>0</v>
      </c>
      <c r="AS2479">
        <v>0</v>
      </c>
      <c r="AT2479">
        <v>0</v>
      </c>
      <c r="AU2479">
        <v>0</v>
      </c>
      <c r="AV2479">
        <v>0</v>
      </c>
      <c r="AW2479">
        <v>0</v>
      </c>
      <c r="AX2479">
        <v>0</v>
      </c>
      <c r="AY2479">
        <v>0</v>
      </c>
      <c r="AZ2479">
        <v>0</v>
      </c>
      <c r="BA2479">
        <v>0</v>
      </c>
      <c r="BB2479">
        <v>0</v>
      </c>
      <c r="BC2479">
        <v>0</v>
      </c>
      <c r="BD2479">
        <v>0</v>
      </c>
      <c r="BE2479">
        <v>0</v>
      </c>
      <c r="BF2479">
        <v>0</v>
      </c>
      <c r="BG2479">
        <v>0</v>
      </c>
      <c r="BH2479">
        <v>1</v>
      </c>
      <c r="BI2479">
        <v>3</v>
      </c>
      <c r="BJ2479">
        <v>1.1000000000000001</v>
      </c>
      <c r="BK2479">
        <v>3</v>
      </c>
      <c r="BL2479">
        <v>107.5</v>
      </c>
      <c r="BM2479">
        <v>16.13</v>
      </c>
      <c r="BN2479">
        <v>123.63</v>
      </c>
      <c r="BO2479">
        <v>123.63</v>
      </c>
      <c r="BQ2479" t="s">
        <v>220</v>
      </c>
      <c r="BR2479" t="s">
        <v>84</v>
      </c>
      <c r="BS2479" s="3">
        <v>45888</v>
      </c>
      <c r="BT2479" s="4">
        <v>0.32916666666666666</v>
      </c>
      <c r="BU2479" t="s">
        <v>2366</v>
      </c>
      <c r="BV2479" t="s">
        <v>86</v>
      </c>
      <c r="BY2479">
        <v>5320</v>
      </c>
      <c r="CA2479" t="s">
        <v>566</v>
      </c>
      <c r="CC2479" t="s">
        <v>218</v>
      </c>
      <c r="CD2479">
        <v>4051</v>
      </c>
      <c r="CE2479" t="s">
        <v>147</v>
      </c>
      <c r="CI2479">
        <v>1</v>
      </c>
      <c r="CJ2479">
        <v>1</v>
      </c>
      <c r="CK2479">
        <v>21</v>
      </c>
      <c r="CL2479" t="s">
        <v>90</v>
      </c>
    </row>
    <row r="2480" spans="1:90" x14ac:dyDescent="0.3">
      <c r="A2480" t="s">
        <v>72</v>
      </c>
      <c r="B2480" t="s">
        <v>73</v>
      </c>
      <c r="C2480" t="s">
        <v>74</v>
      </c>
      <c r="E2480" t="str">
        <f>"080067294641"</f>
        <v>080067294641</v>
      </c>
      <c r="F2480" s="3">
        <v>45887</v>
      </c>
      <c r="G2480">
        <v>202605</v>
      </c>
      <c r="H2480" t="s">
        <v>75</v>
      </c>
      <c r="I2480" t="s">
        <v>76</v>
      </c>
      <c r="J2480" t="s">
        <v>77</v>
      </c>
      <c r="K2480" t="s">
        <v>78</v>
      </c>
      <c r="L2480" t="s">
        <v>672</v>
      </c>
      <c r="M2480" t="s">
        <v>673</v>
      </c>
      <c r="N2480" t="s">
        <v>674</v>
      </c>
      <c r="O2480" t="s">
        <v>82</v>
      </c>
      <c r="P2480" t="str">
        <f>"4170055259                    "</f>
        <v xml:space="preserve">4170055259                    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0</v>
      </c>
      <c r="AI2480">
        <v>0</v>
      </c>
      <c r="AJ2480">
        <v>0</v>
      </c>
      <c r="AK2480">
        <v>0</v>
      </c>
      <c r="AL2480">
        <v>0</v>
      </c>
      <c r="AM2480">
        <v>0</v>
      </c>
      <c r="AN2480">
        <v>0</v>
      </c>
      <c r="AO2480">
        <v>0</v>
      </c>
      <c r="AP2480">
        <v>0</v>
      </c>
      <c r="AQ2480">
        <v>327.48</v>
      </c>
      <c r="AR2480">
        <v>0</v>
      </c>
      <c r="AS2480">
        <v>0</v>
      </c>
      <c r="AT2480">
        <v>0</v>
      </c>
      <c r="AU2480">
        <v>0</v>
      </c>
      <c r="AV2480">
        <v>0</v>
      </c>
      <c r="AW2480">
        <v>0</v>
      </c>
      <c r="AX2480">
        <v>0</v>
      </c>
      <c r="AY2480">
        <v>0</v>
      </c>
      <c r="AZ2480">
        <v>0</v>
      </c>
      <c r="BA2480">
        <v>0</v>
      </c>
      <c r="BB2480">
        <v>0</v>
      </c>
      <c r="BC2480">
        <v>0</v>
      </c>
      <c r="BD2480">
        <v>0</v>
      </c>
      <c r="BE2480">
        <v>0</v>
      </c>
      <c r="BF2480">
        <v>0</v>
      </c>
      <c r="BG2480">
        <v>0</v>
      </c>
      <c r="BH2480">
        <v>1</v>
      </c>
      <c r="BI2480">
        <v>16</v>
      </c>
      <c r="BJ2480">
        <v>8.9</v>
      </c>
      <c r="BK2480">
        <v>16</v>
      </c>
      <c r="BL2480">
        <v>1016.92</v>
      </c>
      <c r="BM2480">
        <v>152.54</v>
      </c>
      <c r="BN2480">
        <v>1169.46</v>
      </c>
      <c r="BO2480">
        <v>1169.46</v>
      </c>
      <c r="BQ2480" t="s">
        <v>675</v>
      </c>
      <c r="BR2480" t="s">
        <v>84</v>
      </c>
      <c r="BS2480" t="s">
        <v>96</v>
      </c>
      <c r="BY2480">
        <v>44640</v>
      </c>
      <c r="CC2480" t="s">
        <v>673</v>
      </c>
      <c r="CD2480">
        <v>3370</v>
      </c>
      <c r="CE2480" t="s">
        <v>147</v>
      </c>
      <c r="CI2480">
        <v>2</v>
      </c>
      <c r="CJ2480" t="s">
        <v>96</v>
      </c>
      <c r="CK2480">
        <v>23</v>
      </c>
      <c r="CL2480" t="s">
        <v>90</v>
      </c>
    </row>
    <row r="2481" spans="1:90" x14ac:dyDescent="0.3">
      <c r="A2481" t="s">
        <v>72</v>
      </c>
      <c r="B2481" t="s">
        <v>73</v>
      </c>
      <c r="C2481" t="s">
        <v>74</v>
      </c>
      <c r="E2481" t="str">
        <f>"080067294691"</f>
        <v>080067294691</v>
      </c>
      <c r="F2481" s="3">
        <v>45887</v>
      </c>
      <c r="G2481">
        <v>202605</v>
      </c>
      <c r="H2481" t="s">
        <v>75</v>
      </c>
      <c r="I2481" t="s">
        <v>76</v>
      </c>
      <c r="J2481" t="s">
        <v>77</v>
      </c>
      <c r="K2481" t="s">
        <v>78</v>
      </c>
      <c r="L2481" t="s">
        <v>217</v>
      </c>
      <c r="M2481" t="s">
        <v>218</v>
      </c>
      <c r="N2481" t="s">
        <v>219</v>
      </c>
      <c r="O2481" t="s">
        <v>82</v>
      </c>
      <c r="P2481" t="str">
        <f>"4170055281                    "</f>
        <v xml:space="preserve">4170055281                    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0</v>
      </c>
      <c r="AI2481">
        <v>0</v>
      </c>
      <c r="AJ2481"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>
        <v>0</v>
      </c>
      <c r="AQ2481">
        <v>23.09</v>
      </c>
      <c r="AR2481">
        <v>0</v>
      </c>
      <c r="AS2481">
        <v>0</v>
      </c>
      <c r="AT2481">
        <v>0</v>
      </c>
      <c r="AU2481">
        <v>0</v>
      </c>
      <c r="AV2481">
        <v>0</v>
      </c>
      <c r="AW2481">
        <v>0</v>
      </c>
      <c r="AX2481">
        <v>0</v>
      </c>
      <c r="AY2481">
        <v>0</v>
      </c>
      <c r="AZ2481">
        <v>0</v>
      </c>
      <c r="BA2481">
        <v>0</v>
      </c>
      <c r="BB2481">
        <v>0</v>
      </c>
      <c r="BC2481">
        <v>0</v>
      </c>
      <c r="BD2481">
        <v>0</v>
      </c>
      <c r="BE2481">
        <v>0</v>
      </c>
      <c r="BF2481">
        <v>0</v>
      </c>
      <c r="BG2481">
        <v>0</v>
      </c>
      <c r="BH2481">
        <v>1</v>
      </c>
      <c r="BI2481">
        <v>2</v>
      </c>
      <c r="BJ2481">
        <v>1.1000000000000001</v>
      </c>
      <c r="BK2481">
        <v>2</v>
      </c>
      <c r="BL2481">
        <v>71.69</v>
      </c>
      <c r="BM2481">
        <v>10.75</v>
      </c>
      <c r="BN2481">
        <v>82.44</v>
      </c>
      <c r="BO2481">
        <v>82.44</v>
      </c>
      <c r="BQ2481" t="s">
        <v>220</v>
      </c>
      <c r="BR2481" t="s">
        <v>84</v>
      </c>
      <c r="BS2481" s="3">
        <v>45888</v>
      </c>
      <c r="BT2481" s="4">
        <v>0.32916666666666666</v>
      </c>
      <c r="BU2481" t="s">
        <v>2366</v>
      </c>
      <c r="BV2481" t="s">
        <v>86</v>
      </c>
      <c r="BY2481">
        <v>5320</v>
      </c>
      <c r="CA2481" t="s">
        <v>566</v>
      </c>
      <c r="CC2481" t="s">
        <v>218</v>
      </c>
      <c r="CD2481">
        <v>4051</v>
      </c>
      <c r="CE2481" t="s">
        <v>147</v>
      </c>
      <c r="CI2481">
        <v>1</v>
      </c>
      <c r="CJ2481">
        <v>1</v>
      </c>
      <c r="CK2481">
        <v>21</v>
      </c>
      <c r="CL2481" t="s">
        <v>90</v>
      </c>
    </row>
    <row r="2482" spans="1:90" x14ac:dyDescent="0.3">
      <c r="A2482" t="s">
        <v>72</v>
      </c>
      <c r="B2482" t="s">
        <v>73</v>
      </c>
      <c r="C2482" t="s">
        <v>74</v>
      </c>
      <c r="E2482" t="str">
        <f>"080067294740"</f>
        <v>080067294740</v>
      </c>
      <c r="F2482" s="3">
        <v>45887</v>
      </c>
      <c r="G2482">
        <v>202605</v>
      </c>
      <c r="H2482" t="s">
        <v>75</v>
      </c>
      <c r="I2482" t="s">
        <v>76</v>
      </c>
      <c r="J2482" t="s">
        <v>77</v>
      </c>
      <c r="K2482" t="s">
        <v>78</v>
      </c>
      <c r="L2482" t="s">
        <v>75</v>
      </c>
      <c r="M2482" t="s">
        <v>76</v>
      </c>
      <c r="N2482" t="s">
        <v>537</v>
      </c>
      <c r="O2482" t="s">
        <v>113</v>
      </c>
      <c r="P2482" t="str">
        <f>"4170055272                    "</f>
        <v xml:space="preserve">4170055272                    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Q2482">
        <v>26.13</v>
      </c>
      <c r="AR2482">
        <v>0</v>
      </c>
      <c r="AS2482">
        <v>0</v>
      </c>
      <c r="AT2482">
        <v>0</v>
      </c>
      <c r="AU2482">
        <v>0</v>
      </c>
      <c r="AV2482">
        <v>0</v>
      </c>
      <c r="AW2482">
        <v>0</v>
      </c>
      <c r="AX2482">
        <v>0</v>
      </c>
      <c r="AY2482">
        <v>0</v>
      </c>
      <c r="AZ2482">
        <v>0</v>
      </c>
      <c r="BA2482">
        <v>0</v>
      </c>
      <c r="BB2482">
        <v>0</v>
      </c>
      <c r="BC2482">
        <v>0</v>
      </c>
      <c r="BD2482">
        <v>0</v>
      </c>
      <c r="BE2482">
        <v>0</v>
      </c>
      <c r="BF2482">
        <v>0</v>
      </c>
      <c r="BG2482">
        <v>0</v>
      </c>
      <c r="BH2482">
        <v>1</v>
      </c>
      <c r="BI2482">
        <v>5</v>
      </c>
      <c r="BJ2482">
        <v>12</v>
      </c>
      <c r="BK2482">
        <v>12</v>
      </c>
      <c r="BL2482">
        <v>81.14</v>
      </c>
      <c r="BM2482">
        <v>12.17</v>
      </c>
      <c r="BN2482">
        <v>93.31</v>
      </c>
      <c r="BO2482">
        <v>93.31</v>
      </c>
      <c r="BQ2482" t="s">
        <v>538</v>
      </c>
      <c r="BR2482" t="s">
        <v>84</v>
      </c>
      <c r="BS2482" t="s">
        <v>96</v>
      </c>
      <c r="BY2482">
        <v>60000</v>
      </c>
      <c r="CC2482" t="s">
        <v>76</v>
      </c>
      <c r="CD2482">
        <v>1619</v>
      </c>
      <c r="CE2482" t="s">
        <v>117</v>
      </c>
      <c r="CI2482">
        <v>1</v>
      </c>
      <c r="CJ2482" t="s">
        <v>96</v>
      </c>
      <c r="CK2482">
        <v>32</v>
      </c>
      <c r="CL2482" t="s">
        <v>90</v>
      </c>
    </row>
    <row r="2483" spans="1:90" x14ac:dyDescent="0.3">
      <c r="A2483" t="s">
        <v>72</v>
      </c>
      <c r="B2483" t="s">
        <v>73</v>
      </c>
      <c r="C2483" t="s">
        <v>74</v>
      </c>
      <c r="E2483" t="str">
        <f>"080067294999"</f>
        <v>080067294999</v>
      </c>
      <c r="F2483" s="3">
        <v>45887</v>
      </c>
      <c r="G2483">
        <v>202605</v>
      </c>
      <c r="H2483" t="s">
        <v>75</v>
      </c>
      <c r="I2483" t="s">
        <v>76</v>
      </c>
      <c r="J2483" t="s">
        <v>77</v>
      </c>
      <c r="K2483" t="s">
        <v>78</v>
      </c>
      <c r="L2483" t="s">
        <v>400</v>
      </c>
      <c r="M2483" t="s">
        <v>401</v>
      </c>
      <c r="N2483" t="s">
        <v>788</v>
      </c>
      <c r="O2483" t="s">
        <v>95</v>
      </c>
      <c r="P2483" t="str">
        <f>"4170055278                    "</f>
        <v xml:space="preserve">4170055278                    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0</v>
      </c>
      <c r="AI2483">
        <v>0</v>
      </c>
      <c r="AJ2483"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>
        <v>0</v>
      </c>
      <c r="AQ2483">
        <v>44.64</v>
      </c>
      <c r="AR2483">
        <v>0</v>
      </c>
      <c r="AS2483">
        <v>0</v>
      </c>
      <c r="AT2483">
        <v>0</v>
      </c>
      <c r="AU2483">
        <v>0</v>
      </c>
      <c r="AV2483">
        <v>0</v>
      </c>
      <c r="AW2483">
        <v>0</v>
      </c>
      <c r="AX2483">
        <v>0</v>
      </c>
      <c r="AY2483">
        <v>0</v>
      </c>
      <c r="AZ2483">
        <v>0</v>
      </c>
      <c r="BA2483">
        <v>0</v>
      </c>
      <c r="BB2483">
        <v>0</v>
      </c>
      <c r="BC2483">
        <v>0</v>
      </c>
      <c r="BD2483">
        <v>0</v>
      </c>
      <c r="BE2483">
        <v>0</v>
      </c>
      <c r="BF2483">
        <v>0</v>
      </c>
      <c r="BG2483">
        <v>0</v>
      </c>
      <c r="BH2483">
        <v>1</v>
      </c>
      <c r="BI2483">
        <v>2</v>
      </c>
      <c r="BJ2483">
        <v>1.3</v>
      </c>
      <c r="BK2483">
        <v>2</v>
      </c>
      <c r="BL2483">
        <v>144.49</v>
      </c>
      <c r="BM2483">
        <v>21.67</v>
      </c>
      <c r="BN2483">
        <v>166.16</v>
      </c>
      <c r="BO2483">
        <v>166.16</v>
      </c>
      <c r="BQ2483" t="s">
        <v>789</v>
      </c>
      <c r="BR2483" t="s">
        <v>84</v>
      </c>
      <c r="BS2483" t="s">
        <v>96</v>
      </c>
      <c r="BY2483">
        <v>6555</v>
      </c>
      <c r="CC2483" t="s">
        <v>401</v>
      </c>
      <c r="CD2483">
        <v>6230</v>
      </c>
      <c r="CE2483" t="s">
        <v>2877</v>
      </c>
      <c r="CI2483">
        <v>3</v>
      </c>
      <c r="CJ2483" t="s">
        <v>96</v>
      </c>
      <c r="CK2483">
        <v>41</v>
      </c>
      <c r="CL2483" t="s">
        <v>90</v>
      </c>
    </row>
    <row r="2484" spans="1:90" x14ac:dyDescent="0.3">
      <c r="A2484" t="s">
        <v>72</v>
      </c>
      <c r="B2484" t="s">
        <v>73</v>
      </c>
      <c r="C2484" t="s">
        <v>74</v>
      </c>
      <c r="E2484" t="str">
        <f>"080067295337"</f>
        <v>080067295337</v>
      </c>
      <c r="F2484" s="3">
        <v>45887</v>
      </c>
      <c r="G2484">
        <v>202605</v>
      </c>
      <c r="H2484" t="s">
        <v>75</v>
      </c>
      <c r="I2484" t="s">
        <v>76</v>
      </c>
      <c r="J2484" t="s">
        <v>77</v>
      </c>
      <c r="K2484" t="s">
        <v>78</v>
      </c>
      <c r="L2484" t="s">
        <v>234</v>
      </c>
      <c r="M2484" t="s">
        <v>235</v>
      </c>
      <c r="N2484" t="s">
        <v>2799</v>
      </c>
      <c r="O2484" t="s">
        <v>82</v>
      </c>
      <c r="P2484" t="str">
        <f>"4170055283                    "</f>
        <v xml:space="preserve">4170055283                    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0</v>
      </c>
      <c r="AI2484">
        <v>0</v>
      </c>
      <c r="AJ2484">
        <v>0</v>
      </c>
      <c r="AK2484">
        <v>0</v>
      </c>
      <c r="AL2484">
        <v>0</v>
      </c>
      <c r="AM2484">
        <v>0</v>
      </c>
      <c r="AN2484">
        <v>0</v>
      </c>
      <c r="AO2484">
        <v>0</v>
      </c>
      <c r="AP2484">
        <v>0</v>
      </c>
      <c r="AQ2484">
        <v>23.09</v>
      </c>
      <c r="AR2484">
        <v>0</v>
      </c>
      <c r="AS2484">
        <v>0</v>
      </c>
      <c r="AT2484">
        <v>0</v>
      </c>
      <c r="AU2484">
        <v>0</v>
      </c>
      <c r="AV2484">
        <v>0</v>
      </c>
      <c r="AW2484">
        <v>0</v>
      </c>
      <c r="AX2484">
        <v>0</v>
      </c>
      <c r="AY2484">
        <v>0</v>
      </c>
      <c r="AZ2484">
        <v>0</v>
      </c>
      <c r="BA2484">
        <v>0</v>
      </c>
      <c r="BB2484">
        <v>0</v>
      </c>
      <c r="BC2484">
        <v>0</v>
      </c>
      <c r="BD2484">
        <v>0</v>
      </c>
      <c r="BE2484">
        <v>0</v>
      </c>
      <c r="BF2484">
        <v>0</v>
      </c>
      <c r="BG2484">
        <v>0</v>
      </c>
      <c r="BH2484">
        <v>1</v>
      </c>
      <c r="BI2484">
        <v>1</v>
      </c>
      <c r="BJ2484">
        <v>0.2</v>
      </c>
      <c r="BK2484">
        <v>1</v>
      </c>
      <c r="BL2484">
        <v>71.69</v>
      </c>
      <c r="BM2484">
        <v>10.75</v>
      </c>
      <c r="BN2484">
        <v>82.44</v>
      </c>
      <c r="BO2484">
        <v>82.44</v>
      </c>
      <c r="BQ2484" t="s">
        <v>2800</v>
      </c>
      <c r="BR2484" t="s">
        <v>84</v>
      </c>
      <c r="BS2484" s="3">
        <v>45888</v>
      </c>
      <c r="BT2484" s="4">
        <v>0.3263888888888889</v>
      </c>
      <c r="BU2484" t="s">
        <v>2878</v>
      </c>
      <c r="BV2484" t="s">
        <v>86</v>
      </c>
      <c r="BY2484">
        <v>1200</v>
      </c>
      <c r="CA2484" t="s">
        <v>824</v>
      </c>
      <c r="CC2484" t="s">
        <v>235</v>
      </c>
      <c r="CD2484" s="5" t="s">
        <v>240</v>
      </c>
      <c r="CE2484" t="s">
        <v>109</v>
      </c>
      <c r="CI2484">
        <v>1</v>
      </c>
      <c r="CJ2484">
        <v>1</v>
      </c>
      <c r="CK2484">
        <v>21</v>
      </c>
      <c r="CL2484" t="s">
        <v>90</v>
      </c>
    </row>
    <row r="2485" spans="1:90" x14ac:dyDescent="0.3">
      <c r="A2485" t="s">
        <v>72</v>
      </c>
      <c r="B2485" t="s">
        <v>73</v>
      </c>
      <c r="C2485" t="s">
        <v>74</v>
      </c>
      <c r="E2485" t="str">
        <f>"080067295381"</f>
        <v>080067295381</v>
      </c>
      <c r="F2485" s="3">
        <v>45887</v>
      </c>
      <c r="G2485">
        <v>202605</v>
      </c>
      <c r="H2485" t="s">
        <v>75</v>
      </c>
      <c r="I2485" t="s">
        <v>76</v>
      </c>
      <c r="J2485" t="s">
        <v>77</v>
      </c>
      <c r="K2485" t="s">
        <v>78</v>
      </c>
      <c r="L2485" t="s">
        <v>137</v>
      </c>
      <c r="M2485" t="s">
        <v>138</v>
      </c>
      <c r="N2485" t="s">
        <v>1760</v>
      </c>
      <c r="O2485" t="s">
        <v>82</v>
      </c>
      <c r="P2485" t="str">
        <f>"4170055301                    "</f>
        <v xml:space="preserve">4170055301                    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0</v>
      </c>
      <c r="AI2485">
        <v>0</v>
      </c>
      <c r="AJ2485">
        <v>0</v>
      </c>
      <c r="AK2485">
        <v>0</v>
      </c>
      <c r="AL2485">
        <v>0</v>
      </c>
      <c r="AM2485">
        <v>0</v>
      </c>
      <c r="AN2485">
        <v>0</v>
      </c>
      <c r="AO2485">
        <v>0</v>
      </c>
      <c r="AP2485">
        <v>0</v>
      </c>
      <c r="AQ2485">
        <v>23.09</v>
      </c>
      <c r="AR2485">
        <v>0</v>
      </c>
      <c r="AS2485">
        <v>0</v>
      </c>
      <c r="AT2485">
        <v>0</v>
      </c>
      <c r="AU2485">
        <v>0</v>
      </c>
      <c r="AV2485">
        <v>0</v>
      </c>
      <c r="AW2485">
        <v>0</v>
      </c>
      <c r="AX2485">
        <v>0</v>
      </c>
      <c r="AY2485">
        <v>0</v>
      </c>
      <c r="AZ2485">
        <v>0</v>
      </c>
      <c r="BA2485">
        <v>0</v>
      </c>
      <c r="BB2485">
        <v>0</v>
      </c>
      <c r="BC2485">
        <v>0</v>
      </c>
      <c r="BD2485">
        <v>0</v>
      </c>
      <c r="BE2485">
        <v>0</v>
      </c>
      <c r="BF2485">
        <v>0</v>
      </c>
      <c r="BG2485">
        <v>0</v>
      </c>
      <c r="BH2485">
        <v>1</v>
      </c>
      <c r="BI2485">
        <v>1</v>
      </c>
      <c r="BJ2485">
        <v>0.2</v>
      </c>
      <c r="BK2485">
        <v>1</v>
      </c>
      <c r="BL2485">
        <v>71.69</v>
      </c>
      <c r="BM2485">
        <v>10.75</v>
      </c>
      <c r="BN2485">
        <v>82.44</v>
      </c>
      <c r="BO2485">
        <v>82.44</v>
      </c>
      <c r="BQ2485" t="s">
        <v>1761</v>
      </c>
      <c r="BR2485" t="s">
        <v>84</v>
      </c>
      <c r="BS2485" t="s">
        <v>96</v>
      </c>
      <c r="BY2485">
        <v>1200</v>
      </c>
      <c r="CC2485" t="s">
        <v>138</v>
      </c>
      <c r="CD2485">
        <v>3610</v>
      </c>
      <c r="CE2485" t="s">
        <v>109</v>
      </c>
      <c r="CI2485">
        <v>1</v>
      </c>
      <c r="CJ2485" t="s">
        <v>96</v>
      </c>
      <c r="CK2485">
        <v>21</v>
      </c>
      <c r="CL2485" t="s">
        <v>90</v>
      </c>
    </row>
    <row r="2486" spans="1:90" x14ac:dyDescent="0.3">
      <c r="A2486" t="s">
        <v>72</v>
      </c>
      <c r="B2486" t="s">
        <v>73</v>
      </c>
      <c r="C2486" t="s">
        <v>74</v>
      </c>
      <c r="E2486" t="str">
        <f>"080067295435"</f>
        <v>080067295435</v>
      </c>
      <c r="F2486" s="3">
        <v>45887</v>
      </c>
      <c r="G2486">
        <v>202605</v>
      </c>
      <c r="H2486" t="s">
        <v>75</v>
      </c>
      <c r="I2486" t="s">
        <v>76</v>
      </c>
      <c r="J2486" t="s">
        <v>77</v>
      </c>
      <c r="K2486" t="s">
        <v>78</v>
      </c>
      <c r="L2486" t="s">
        <v>513</v>
      </c>
      <c r="M2486" t="s">
        <v>514</v>
      </c>
      <c r="N2486" t="s">
        <v>1017</v>
      </c>
      <c r="O2486" t="s">
        <v>82</v>
      </c>
      <c r="P2486" t="str">
        <f>"4170055297                    "</f>
        <v xml:space="preserve">4170055297                    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0</v>
      </c>
      <c r="AI2486">
        <v>0</v>
      </c>
      <c r="AJ2486">
        <v>0</v>
      </c>
      <c r="AK2486">
        <v>0</v>
      </c>
      <c r="AL2486">
        <v>0</v>
      </c>
      <c r="AM2486">
        <v>0</v>
      </c>
      <c r="AN2486">
        <v>0</v>
      </c>
      <c r="AO2486">
        <v>0</v>
      </c>
      <c r="AP2486">
        <v>0</v>
      </c>
      <c r="AQ2486">
        <v>44.73</v>
      </c>
      <c r="AR2486">
        <v>0</v>
      </c>
      <c r="AS2486">
        <v>0</v>
      </c>
      <c r="AT2486">
        <v>0</v>
      </c>
      <c r="AU2486">
        <v>0</v>
      </c>
      <c r="AV2486">
        <v>0</v>
      </c>
      <c r="AW2486">
        <v>0</v>
      </c>
      <c r="AX2486">
        <v>0</v>
      </c>
      <c r="AY2486">
        <v>0</v>
      </c>
      <c r="AZ2486">
        <v>0</v>
      </c>
      <c r="BA2486">
        <v>0</v>
      </c>
      <c r="BB2486">
        <v>0</v>
      </c>
      <c r="BC2486">
        <v>0</v>
      </c>
      <c r="BD2486">
        <v>0</v>
      </c>
      <c r="BE2486">
        <v>0</v>
      </c>
      <c r="BF2486">
        <v>0</v>
      </c>
      <c r="BG2486">
        <v>0</v>
      </c>
      <c r="BH2486">
        <v>1</v>
      </c>
      <c r="BI2486">
        <v>1</v>
      </c>
      <c r="BJ2486">
        <v>0.2</v>
      </c>
      <c r="BK2486">
        <v>1</v>
      </c>
      <c r="BL2486">
        <v>138.88999999999999</v>
      </c>
      <c r="BM2486">
        <v>20.83</v>
      </c>
      <c r="BN2486">
        <v>159.72</v>
      </c>
      <c r="BO2486">
        <v>159.72</v>
      </c>
      <c r="BQ2486" t="s">
        <v>1018</v>
      </c>
      <c r="BR2486" t="s">
        <v>84</v>
      </c>
      <c r="BS2486" t="s">
        <v>96</v>
      </c>
      <c r="BY2486">
        <v>1200</v>
      </c>
      <c r="CC2486" t="s">
        <v>514</v>
      </c>
      <c r="CD2486" s="5" t="s">
        <v>519</v>
      </c>
      <c r="CE2486" t="s">
        <v>109</v>
      </c>
      <c r="CI2486">
        <v>1</v>
      </c>
      <c r="CJ2486" t="s">
        <v>96</v>
      </c>
      <c r="CK2486">
        <v>23</v>
      </c>
      <c r="CL2486" t="s">
        <v>90</v>
      </c>
    </row>
    <row r="2487" spans="1:90" x14ac:dyDescent="0.3">
      <c r="A2487" t="s">
        <v>72</v>
      </c>
      <c r="B2487" t="s">
        <v>73</v>
      </c>
      <c r="C2487" t="s">
        <v>74</v>
      </c>
      <c r="E2487" t="str">
        <f>"080067295462"</f>
        <v>080067295462</v>
      </c>
      <c r="F2487" s="3">
        <v>45887</v>
      </c>
      <c r="G2487">
        <v>202605</v>
      </c>
      <c r="H2487" t="s">
        <v>75</v>
      </c>
      <c r="I2487" t="s">
        <v>76</v>
      </c>
      <c r="J2487" t="s">
        <v>77</v>
      </c>
      <c r="K2487" t="s">
        <v>78</v>
      </c>
      <c r="L2487" t="s">
        <v>162</v>
      </c>
      <c r="M2487" t="s">
        <v>163</v>
      </c>
      <c r="N2487" t="s">
        <v>164</v>
      </c>
      <c r="O2487" t="s">
        <v>82</v>
      </c>
      <c r="P2487" t="str">
        <f>"4170055300                    "</f>
        <v xml:space="preserve">4170055300                    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0</v>
      </c>
      <c r="AI2487">
        <v>0</v>
      </c>
      <c r="AJ2487">
        <v>0</v>
      </c>
      <c r="AK2487">
        <v>0</v>
      </c>
      <c r="AL2487">
        <v>0</v>
      </c>
      <c r="AM2487">
        <v>0</v>
      </c>
      <c r="AN2487">
        <v>0</v>
      </c>
      <c r="AO2487">
        <v>0</v>
      </c>
      <c r="AP2487">
        <v>0</v>
      </c>
      <c r="AQ2487">
        <v>23.09</v>
      </c>
      <c r="AR2487">
        <v>0</v>
      </c>
      <c r="AS2487">
        <v>0</v>
      </c>
      <c r="AT2487">
        <v>0</v>
      </c>
      <c r="AU2487">
        <v>0</v>
      </c>
      <c r="AV2487">
        <v>0</v>
      </c>
      <c r="AW2487">
        <v>0</v>
      </c>
      <c r="AX2487">
        <v>0</v>
      </c>
      <c r="AY2487">
        <v>0</v>
      </c>
      <c r="AZ2487">
        <v>0</v>
      </c>
      <c r="BA2487">
        <v>0</v>
      </c>
      <c r="BB2487">
        <v>0</v>
      </c>
      <c r="BC2487">
        <v>0</v>
      </c>
      <c r="BD2487">
        <v>0</v>
      </c>
      <c r="BE2487">
        <v>0</v>
      </c>
      <c r="BF2487">
        <v>0</v>
      </c>
      <c r="BG2487">
        <v>0</v>
      </c>
      <c r="BH2487">
        <v>1</v>
      </c>
      <c r="BI2487">
        <v>1</v>
      </c>
      <c r="BJ2487">
        <v>0.2</v>
      </c>
      <c r="BK2487">
        <v>1</v>
      </c>
      <c r="BL2487">
        <v>71.69</v>
      </c>
      <c r="BM2487">
        <v>10.75</v>
      </c>
      <c r="BN2487">
        <v>82.44</v>
      </c>
      <c r="BO2487">
        <v>82.44</v>
      </c>
      <c r="BQ2487" t="s">
        <v>165</v>
      </c>
      <c r="BR2487" t="s">
        <v>84</v>
      </c>
      <c r="BS2487" t="s">
        <v>96</v>
      </c>
      <c r="BY2487">
        <v>1200</v>
      </c>
      <c r="CC2487" t="s">
        <v>163</v>
      </c>
      <c r="CD2487">
        <v>3212</v>
      </c>
      <c r="CE2487" t="s">
        <v>109</v>
      </c>
      <c r="CI2487">
        <v>2</v>
      </c>
      <c r="CJ2487" t="s">
        <v>96</v>
      </c>
      <c r="CK2487">
        <v>21</v>
      </c>
      <c r="CL2487" t="s">
        <v>90</v>
      </c>
    </row>
    <row r="2488" spans="1:90" x14ac:dyDescent="0.3">
      <c r="A2488" t="s">
        <v>72</v>
      </c>
      <c r="B2488" t="s">
        <v>73</v>
      </c>
      <c r="C2488" t="s">
        <v>74</v>
      </c>
      <c r="E2488" t="str">
        <f>"080067295561"</f>
        <v>080067295561</v>
      </c>
      <c r="F2488" s="3">
        <v>45887</v>
      </c>
      <c r="G2488">
        <v>202605</v>
      </c>
      <c r="H2488" t="s">
        <v>75</v>
      </c>
      <c r="I2488" t="s">
        <v>76</v>
      </c>
      <c r="J2488" t="s">
        <v>77</v>
      </c>
      <c r="K2488" t="s">
        <v>78</v>
      </c>
      <c r="L2488" t="s">
        <v>513</v>
      </c>
      <c r="M2488" t="s">
        <v>514</v>
      </c>
      <c r="N2488" t="s">
        <v>1017</v>
      </c>
      <c r="O2488" t="s">
        <v>82</v>
      </c>
      <c r="P2488" t="str">
        <f>"4170055298                    "</f>
        <v xml:space="preserve">4170055298                    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0</v>
      </c>
      <c r="AI2488">
        <v>0</v>
      </c>
      <c r="AJ2488">
        <v>0</v>
      </c>
      <c r="AK2488">
        <v>0</v>
      </c>
      <c r="AL2488">
        <v>0</v>
      </c>
      <c r="AM2488">
        <v>0</v>
      </c>
      <c r="AN2488">
        <v>0</v>
      </c>
      <c r="AO2488">
        <v>0</v>
      </c>
      <c r="AP2488">
        <v>0</v>
      </c>
      <c r="AQ2488">
        <v>44.73</v>
      </c>
      <c r="AR2488">
        <v>0</v>
      </c>
      <c r="AS2488">
        <v>0</v>
      </c>
      <c r="AT2488">
        <v>0</v>
      </c>
      <c r="AU2488">
        <v>0</v>
      </c>
      <c r="AV2488">
        <v>0</v>
      </c>
      <c r="AW2488">
        <v>0</v>
      </c>
      <c r="AX2488">
        <v>0</v>
      </c>
      <c r="AY2488">
        <v>0</v>
      </c>
      <c r="AZ2488">
        <v>0</v>
      </c>
      <c r="BA2488">
        <v>0</v>
      </c>
      <c r="BB2488">
        <v>0</v>
      </c>
      <c r="BC2488">
        <v>0</v>
      </c>
      <c r="BD2488">
        <v>0</v>
      </c>
      <c r="BE2488">
        <v>0</v>
      </c>
      <c r="BF2488">
        <v>0</v>
      </c>
      <c r="BG2488">
        <v>0</v>
      </c>
      <c r="BH2488">
        <v>1</v>
      </c>
      <c r="BI2488">
        <v>1</v>
      </c>
      <c r="BJ2488">
        <v>0.2</v>
      </c>
      <c r="BK2488">
        <v>1</v>
      </c>
      <c r="BL2488">
        <v>138.88999999999999</v>
      </c>
      <c r="BM2488">
        <v>20.83</v>
      </c>
      <c r="BN2488">
        <v>159.72</v>
      </c>
      <c r="BO2488">
        <v>159.72</v>
      </c>
      <c r="BQ2488" t="s">
        <v>1018</v>
      </c>
      <c r="BR2488" t="s">
        <v>84</v>
      </c>
      <c r="BS2488" t="s">
        <v>96</v>
      </c>
      <c r="BY2488">
        <v>1200</v>
      </c>
      <c r="CC2488" t="s">
        <v>514</v>
      </c>
      <c r="CD2488" s="5" t="s">
        <v>519</v>
      </c>
      <c r="CE2488" t="s">
        <v>109</v>
      </c>
      <c r="CI2488">
        <v>1</v>
      </c>
      <c r="CJ2488" t="s">
        <v>96</v>
      </c>
      <c r="CK2488">
        <v>23</v>
      </c>
      <c r="CL2488" t="s">
        <v>90</v>
      </c>
    </row>
    <row r="2489" spans="1:90" x14ac:dyDescent="0.3">
      <c r="A2489" t="s">
        <v>72</v>
      </c>
      <c r="B2489" t="s">
        <v>73</v>
      </c>
      <c r="C2489" t="s">
        <v>74</v>
      </c>
      <c r="E2489" t="str">
        <f>"080067295612"</f>
        <v>080067295612</v>
      </c>
      <c r="F2489" s="3">
        <v>45887</v>
      </c>
      <c r="G2489">
        <v>202605</v>
      </c>
      <c r="H2489" t="s">
        <v>75</v>
      </c>
      <c r="I2489" t="s">
        <v>76</v>
      </c>
      <c r="J2489" t="s">
        <v>77</v>
      </c>
      <c r="K2489" t="s">
        <v>78</v>
      </c>
      <c r="L2489" t="s">
        <v>513</v>
      </c>
      <c r="M2489" t="s">
        <v>514</v>
      </c>
      <c r="N2489" t="s">
        <v>1017</v>
      </c>
      <c r="O2489" t="s">
        <v>82</v>
      </c>
      <c r="P2489" t="str">
        <f>"4170055293                    "</f>
        <v xml:space="preserve">4170055293                    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0</v>
      </c>
      <c r="AI2489">
        <v>0</v>
      </c>
      <c r="AJ2489"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>
        <v>0</v>
      </c>
      <c r="AQ2489">
        <v>44.73</v>
      </c>
      <c r="AR2489">
        <v>0</v>
      </c>
      <c r="AS2489">
        <v>0</v>
      </c>
      <c r="AT2489">
        <v>0</v>
      </c>
      <c r="AU2489">
        <v>0</v>
      </c>
      <c r="AV2489">
        <v>0</v>
      </c>
      <c r="AW2489">
        <v>0</v>
      </c>
      <c r="AX2489">
        <v>0</v>
      </c>
      <c r="AY2489">
        <v>0</v>
      </c>
      <c r="AZ2489">
        <v>0</v>
      </c>
      <c r="BA2489">
        <v>0</v>
      </c>
      <c r="BB2489">
        <v>0</v>
      </c>
      <c r="BC2489">
        <v>0</v>
      </c>
      <c r="BD2489">
        <v>0</v>
      </c>
      <c r="BE2489">
        <v>0</v>
      </c>
      <c r="BF2489">
        <v>0</v>
      </c>
      <c r="BG2489">
        <v>0</v>
      </c>
      <c r="BH2489">
        <v>1</v>
      </c>
      <c r="BI2489">
        <v>1</v>
      </c>
      <c r="BJ2489">
        <v>0.2</v>
      </c>
      <c r="BK2489">
        <v>1</v>
      </c>
      <c r="BL2489">
        <v>138.88999999999999</v>
      </c>
      <c r="BM2489">
        <v>20.83</v>
      </c>
      <c r="BN2489">
        <v>159.72</v>
      </c>
      <c r="BO2489">
        <v>159.72</v>
      </c>
      <c r="BQ2489" t="s">
        <v>1018</v>
      </c>
      <c r="BR2489" t="s">
        <v>84</v>
      </c>
      <c r="BS2489" t="s">
        <v>96</v>
      </c>
      <c r="BY2489">
        <v>1200</v>
      </c>
      <c r="CC2489" t="s">
        <v>514</v>
      </c>
      <c r="CD2489" s="5" t="s">
        <v>519</v>
      </c>
      <c r="CE2489" t="s">
        <v>109</v>
      </c>
      <c r="CI2489">
        <v>1</v>
      </c>
      <c r="CJ2489" t="s">
        <v>96</v>
      </c>
      <c r="CK2489">
        <v>23</v>
      </c>
      <c r="CL2489" t="s">
        <v>90</v>
      </c>
    </row>
    <row r="2490" spans="1:90" x14ac:dyDescent="0.3">
      <c r="A2490" t="s">
        <v>72</v>
      </c>
      <c r="B2490" t="s">
        <v>73</v>
      </c>
      <c r="C2490" t="s">
        <v>74</v>
      </c>
      <c r="E2490" t="str">
        <f>"080067295656"</f>
        <v>080067295656</v>
      </c>
      <c r="F2490" s="3">
        <v>45887</v>
      </c>
      <c r="G2490">
        <v>202605</v>
      </c>
      <c r="H2490" t="s">
        <v>75</v>
      </c>
      <c r="I2490" t="s">
        <v>76</v>
      </c>
      <c r="J2490" t="s">
        <v>77</v>
      </c>
      <c r="K2490" t="s">
        <v>78</v>
      </c>
      <c r="L2490" t="s">
        <v>123</v>
      </c>
      <c r="M2490" t="s">
        <v>124</v>
      </c>
      <c r="N2490" t="s">
        <v>406</v>
      </c>
      <c r="O2490" t="s">
        <v>82</v>
      </c>
      <c r="P2490" t="str">
        <f>"4170055292                    "</f>
        <v xml:space="preserve">4170055292                    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0</v>
      </c>
      <c r="AI2490">
        <v>0</v>
      </c>
      <c r="AJ2490"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>
        <v>0</v>
      </c>
      <c r="AQ2490">
        <v>23.09</v>
      </c>
      <c r="AR2490">
        <v>0</v>
      </c>
      <c r="AS2490">
        <v>0</v>
      </c>
      <c r="AT2490">
        <v>0</v>
      </c>
      <c r="AU2490">
        <v>0</v>
      </c>
      <c r="AV2490">
        <v>0</v>
      </c>
      <c r="AW2490">
        <v>0</v>
      </c>
      <c r="AX2490">
        <v>0</v>
      </c>
      <c r="AY2490">
        <v>0</v>
      </c>
      <c r="AZ2490">
        <v>0</v>
      </c>
      <c r="BA2490">
        <v>0</v>
      </c>
      <c r="BB2490">
        <v>0</v>
      </c>
      <c r="BC2490">
        <v>0</v>
      </c>
      <c r="BD2490">
        <v>0</v>
      </c>
      <c r="BE2490">
        <v>0</v>
      </c>
      <c r="BF2490">
        <v>0</v>
      </c>
      <c r="BG2490">
        <v>0</v>
      </c>
      <c r="BH2490">
        <v>1</v>
      </c>
      <c r="BI2490">
        <v>1</v>
      </c>
      <c r="BJ2490">
        <v>0.2</v>
      </c>
      <c r="BK2490">
        <v>1</v>
      </c>
      <c r="BL2490">
        <v>71.69</v>
      </c>
      <c r="BM2490">
        <v>10.75</v>
      </c>
      <c r="BN2490">
        <v>82.44</v>
      </c>
      <c r="BO2490">
        <v>82.44</v>
      </c>
      <c r="BQ2490" t="s">
        <v>407</v>
      </c>
      <c r="BR2490" t="s">
        <v>84</v>
      </c>
      <c r="BS2490" t="s">
        <v>96</v>
      </c>
      <c r="BY2490">
        <v>1200</v>
      </c>
      <c r="CC2490" t="s">
        <v>124</v>
      </c>
      <c r="CD2490">
        <v>7441</v>
      </c>
      <c r="CE2490" t="s">
        <v>109</v>
      </c>
      <c r="CI2490">
        <v>1</v>
      </c>
      <c r="CJ2490" t="s">
        <v>96</v>
      </c>
      <c r="CK2490">
        <v>21</v>
      </c>
      <c r="CL2490" t="s">
        <v>90</v>
      </c>
    </row>
    <row r="2491" spans="1:90" x14ac:dyDescent="0.3">
      <c r="A2491" t="s">
        <v>72</v>
      </c>
      <c r="B2491" t="s">
        <v>73</v>
      </c>
      <c r="C2491" t="s">
        <v>74</v>
      </c>
      <c r="E2491" t="str">
        <f>"080067295666"</f>
        <v>080067295666</v>
      </c>
      <c r="F2491" s="3">
        <v>45887</v>
      </c>
      <c r="G2491">
        <v>202605</v>
      </c>
      <c r="H2491" t="s">
        <v>75</v>
      </c>
      <c r="I2491" t="s">
        <v>76</v>
      </c>
      <c r="J2491" t="s">
        <v>77</v>
      </c>
      <c r="K2491" t="s">
        <v>78</v>
      </c>
      <c r="L2491" t="s">
        <v>110</v>
      </c>
      <c r="M2491" t="s">
        <v>111</v>
      </c>
      <c r="N2491" t="s">
        <v>2879</v>
      </c>
      <c r="O2491" t="s">
        <v>82</v>
      </c>
      <c r="P2491" t="str">
        <f>"4170055282                    "</f>
        <v xml:space="preserve">4170055282                    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0</v>
      </c>
      <c r="AI2491">
        <v>0</v>
      </c>
      <c r="AJ2491">
        <v>0</v>
      </c>
      <c r="AK2491">
        <v>0</v>
      </c>
      <c r="AL2491">
        <v>0</v>
      </c>
      <c r="AM2491">
        <v>0</v>
      </c>
      <c r="AN2491">
        <v>0</v>
      </c>
      <c r="AO2491">
        <v>0</v>
      </c>
      <c r="AP2491">
        <v>0</v>
      </c>
      <c r="AQ2491">
        <v>18.03</v>
      </c>
      <c r="AR2491">
        <v>0</v>
      </c>
      <c r="AS2491">
        <v>0</v>
      </c>
      <c r="AT2491">
        <v>0</v>
      </c>
      <c r="AU2491">
        <v>0</v>
      </c>
      <c r="AV2491">
        <v>0</v>
      </c>
      <c r="AW2491">
        <v>0</v>
      </c>
      <c r="AX2491">
        <v>0</v>
      </c>
      <c r="AY2491">
        <v>0</v>
      </c>
      <c r="AZ2491">
        <v>0</v>
      </c>
      <c r="BA2491">
        <v>0</v>
      </c>
      <c r="BB2491">
        <v>0</v>
      </c>
      <c r="BC2491">
        <v>0</v>
      </c>
      <c r="BD2491">
        <v>0</v>
      </c>
      <c r="BE2491">
        <v>0</v>
      </c>
      <c r="BF2491">
        <v>0</v>
      </c>
      <c r="BG2491">
        <v>0</v>
      </c>
      <c r="BH2491">
        <v>1</v>
      </c>
      <c r="BI2491">
        <v>1</v>
      </c>
      <c r="BJ2491">
        <v>1.9</v>
      </c>
      <c r="BK2491">
        <v>2</v>
      </c>
      <c r="BL2491">
        <v>55.99</v>
      </c>
      <c r="BM2491">
        <v>8.4</v>
      </c>
      <c r="BN2491">
        <v>64.39</v>
      </c>
      <c r="BO2491">
        <v>64.39</v>
      </c>
      <c r="BQ2491" t="s">
        <v>2880</v>
      </c>
      <c r="BR2491" t="s">
        <v>84</v>
      </c>
      <c r="BS2491" t="s">
        <v>96</v>
      </c>
      <c r="BY2491">
        <v>9600</v>
      </c>
      <c r="CC2491" t="s">
        <v>111</v>
      </c>
      <c r="CD2491">
        <v>2158</v>
      </c>
      <c r="CE2491" t="s">
        <v>147</v>
      </c>
      <c r="CI2491">
        <v>1</v>
      </c>
      <c r="CJ2491" t="s">
        <v>96</v>
      </c>
      <c r="CK2491">
        <v>22</v>
      </c>
      <c r="CL2491" t="s">
        <v>90</v>
      </c>
    </row>
    <row r="2492" spans="1:90" x14ac:dyDescent="0.3">
      <c r="A2492" t="s">
        <v>72</v>
      </c>
      <c r="B2492" t="s">
        <v>73</v>
      </c>
      <c r="C2492" t="s">
        <v>74</v>
      </c>
      <c r="E2492" t="str">
        <f>"080067295709"</f>
        <v>080067295709</v>
      </c>
      <c r="F2492" s="3">
        <v>45887</v>
      </c>
      <c r="G2492">
        <v>202605</v>
      </c>
      <c r="H2492" t="s">
        <v>75</v>
      </c>
      <c r="I2492" t="s">
        <v>76</v>
      </c>
      <c r="J2492" t="s">
        <v>77</v>
      </c>
      <c r="K2492" t="s">
        <v>78</v>
      </c>
      <c r="L2492" t="s">
        <v>162</v>
      </c>
      <c r="M2492" t="s">
        <v>163</v>
      </c>
      <c r="N2492" t="s">
        <v>164</v>
      </c>
      <c r="O2492" t="s">
        <v>82</v>
      </c>
      <c r="P2492" t="str">
        <f>"4170055290                    "</f>
        <v xml:space="preserve">4170055290                    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0</v>
      </c>
      <c r="AI2492">
        <v>0</v>
      </c>
      <c r="AJ2492">
        <v>0</v>
      </c>
      <c r="AK2492">
        <v>0</v>
      </c>
      <c r="AL2492">
        <v>0</v>
      </c>
      <c r="AM2492">
        <v>0</v>
      </c>
      <c r="AN2492">
        <v>0</v>
      </c>
      <c r="AO2492">
        <v>0</v>
      </c>
      <c r="AP2492">
        <v>0</v>
      </c>
      <c r="AQ2492">
        <v>69.22</v>
      </c>
      <c r="AR2492">
        <v>0</v>
      </c>
      <c r="AS2492">
        <v>0</v>
      </c>
      <c r="AT2492">
        <v>0</v>
      </c>
      <c r="AU2492">
        <v>0</v>
      </c>
      <c r="AV2492">
        <v>0</v>
      </c>
      <c r="AW2492">
        <v>0</v>
      </c>
      <c r="AX2492">
        <v>0</v>
      </c>
      <c r="AY2492">
        <v>0</v>
      </c>
      <c r="AZ2492">
        <v>0</v>
      </c>
      <c r="BA2492">
        <v>0</v>
      </c>
      <c r="BB2492">
        <v>0</v>
      </c>
      <c r="BC2492">
        <v>0</v>
      </c>
      <c r="BD2492">
        <v>0</v>
      </c>
      <c r="BE2492">
        <v>0</v>
      </c>
      <c r="BF2492">
        <v>0</v>
      </c>
      <c r="BG2492">
        <v>0</v>
      </c>
      <c r="BH2492">
        <v>1</v>
      </c>
      <c r="BI2492">
        <v>6</v>
      </c>
      <c r="BJ2492">
        <v>2.1</v>
      </c>
      <c r="BK2492">
        <v>6</v>
      </c>
      <c r="BL2492">
        <v>214.94</v>
      </c>
      <c r="BM2492">
        <v>32.24</v>
      </c>
      <c r="BN2492">
        <v>247.18</v>
      </c>
      <c r="BO2492">
        <v>247.18</v>
      </c>
      <c r="BQ2492" t="s">
        <v>165</v>
      </c>
      <c r="BR2492" t="s">
        <v>84</v>
      </c>
      <c r="BS2492" t="s">
        <v>96</v>
      </c>
      <c r="BY2492">
        <v>10640</v>
      </c>
      <c r="CC2492" t="s">
        <v>163</v>
      </c>
      <c r="CD2492">
        <v>3212</v>
      </c>
      <c r="CE2492" t="s">
        <v>147</v>
      </c>
      <c r="CI2492">
        <v>2</v>
      </c>
      <c r="CJ2492" t="s">
        <v>96</v>
      </c>
      <c r="CK2492">
        <v>21</v>
      </c>
      <c r="CL2492" t="s">
        <v>90</v>
      </c>
    </row>
    <row r="2493" spans="1:90" x14ac:dyDescent="0.3">
      <c r="A2493" t="s">
        <v>72</v>
      </c>
      <c r="B2493" t="s">
        <v>73</v>
      </c>
      <c r="C2493" t="s">
        <v>74</v>
      </c>
      <c r="E2493" t="str">
        <f>"080067296089"</f>
        <v>080067296089</v>
      </c>
      <c r="F2493" s="3">
        <v>45887</v>
      </c>
      <c r="G2493">
        <v>202605</v>
      </c>
      <c r="H2493" t="s">
        <v>75</v>
      </c>
      <c r="I2493" t="s">
        <v>76</v>
      </c>
      <c r="J2493" t="s">
        <v>77</v>
      </c>
      <c r="K2493" t="s">
        <v>78</v>
      </c>
      <c r="L2493" t="s">
        <v>137</v>
      </c>
      <c r="M2493" t="s">
        <v>138</v>
      </c>
      <c r="N2493" t="s">
        <v>2881</v>
      </c>
      <c r="O2493" t="s">
        <v>82</v>
      </c>
      <c r="P2493" t="str">
        <f>"4170055302                    "</f>
        <v xml:space="preserve">4170055302                    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0</v>
      </c>
      <c r="AI2493">
        <v>0</v>
      </c>
      <c r="AJ2493">
        <v>0</v>
      </c>
      <c r="AK2493">
        <v>0</v>
      </c>
      <c r="AL2493">
        <v>0</v>
      </c>
      <c r="AM2493">
        <v>0</v>
      </c>
      <c r="AN2493">
        <v>0</v>
      </c>
      <c r="AO2493">
        <v>0</v>
      </c>
      <c r="AP2493">
        <v>0</v>
      </c>
      <c r="AQ2493">
        <v>23.09</v>
      </c>
      <c r="AR2493">
        <v>0</v>
      </c>
      <c r="AS2493">
        <v>0</v>
      </c>
      <c r="AT2493">
        <v>0</v>
      </c>
      <c r="AU2493">
        <v>0</v>
      </c>
      <c r="AV2493">
        <v>0</v>
      </c>
      <c r="AW2493">
        <v>0</v>
      </c>
      <c r="AX2493">
        <v>0</v>
      </c>
      <c r="AY2493">
        <v>0</v>
      </c>
      <c r="AZ2493">
        <v>0</v>
      </c>
      <c r="BA2493">
        <v>0</v>
      </c>
      <c r="BB2493">
        <v>0</v>
      </c>
      <c r="BC2493">
        <v>0</v>
      </c>
      <c r="BD2493">
        <v>0</v>
      </c>
      <c r="BE2493">
        <v>0</v>
      </c>
      <c r="BF2493">
        <v>0</v>
      </c>
      <c r="BG2493">
        <v>0</v>
      </c>
      <c r="BH2493">
        <v>1</v>
      </c>
      <c r="BI2493">
        <v>2</v>
      </c>
      <c r="BJ2493">
        <v>1.5</v>
      </c>
      <c r="BK2493">
        <v>2</v>
      </c>
      <c r="BL2493">
        <v>71.69</v>
      </c>
      <c r="BM2493">
        <v>10.75</v>
      </c>
      <c r="BN2493">
        <v>82.44</v>
      </c>
      <c r="BO2493">
        <v>82.44</v>
      </c>
      <c r="BQ2493" t="s">
        <v>2882</v>
      </c>
      <c r="BR2493" t="s">
        <v>84</v>
      </c>
      <c r="BS2493" t="s">
        <v>96</v>
      </c>
      <c r="BY2493">
        <v>7680</v>
      </c>
      <c r="CC2493" t="s">
        <v>138</v>
      </c>
      <c r="CD2493">
        <v>3610</v>
      </c>
      <c r="CE2493" t="s">
        <v>117</v>
      </c>
      <c r="CI2493">
        <v>1</v>
      </c>
      <c r="CJ2493" t="s">
        <v>96</v>
      </c>
      <c r="CK2493">
        <v>21</v>
      </c>
      <c r="CL2493" t="s">
        <v>90</v>
      </c>
    </row>
    <row r="2494" spans="1:90" x14ac:dyDescent="0.3">
      <c r="A2494" t="s">
        <v>72</v>
      </c>
      <c r="B2494" t="s">
        <v>73</v>
      </c>
      <c r="C2494" t="s">
        <v>74</v>
      </c>
      <c r="E2494" t="str">
        <f>"080067296134"</f>
        <v>080067296134</v>
      </c>
      <c r="F2494" s="3">
        <v>45887</v>
      </c>
      <c r="G2494">
        <v>202605</v>
      </c>
      <c r="H2494" t="s">
        <v>75</v>
      </c>
      <c r="I2494" t="s">
        <v>76</v>
      </c>
      <c r="J2494" t="s">
        <v>77</v>
      </c>
      <c r="K2494" t="s">
        <v>78</v>
      </c>
      <c r="L2494" t="s">
        <v>234</v>
      </c>
      <c r="M2494" t="s">
        <v>235</v>
      </c>
      <c r="N2494" t="s">
        <v>236</v>
      </c>
      <c r="O2494" t="s">
        <v>82</v>
      </c>
      <c r="P2494" t="str">
        <f>"4170055303                    "</f>
        <v xml:space="preserve">4170055303                    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0</v>
      </c>
      <c r="AI2494">
        <v>0</v>
      </c>
      <c r="AJ2494">
        <v>0</v>
      </c>
      <c r="AK2494">
        <v>0</v>
      </c>
      <c r="AL2494">
        <v>0</v>
      </c>
      <c r="AM2494">
        <v>0</v>
      </c>
      <c r="AN2494">
        <v>0</v>
      </c>
      <c r="AO2494">
        <v>0</v>
      </c>
      <c r="AP2494">
        <v>0</v>
      </c>
      <c r="AQ2494">
        <v>23.09</v>
      </c>
      <c r="AR2494">
        <v>0</v>
      </c>
      <c r="AS2494">
        <v>0</v>
      </c>
      <c r="AT2494">
        <v>0</v>
      </c>
      <c r="AU2494">
        <v>0</v>
      </c>
      <c r="AV2494">
        <v>0</v>
      </c>
      <c r="AW2494">
        <v>0</v>
      </c>
      <c r="AX2494">
        <v>0</v>
      </c>
      <c r="AY2494">
        <v>0</v>
      </c>
      <c r="AZ2494">
        <v>0</v>
      </c>
      <c r="BA2494">
        <v>0</v>
      </c>
      <c r="BB2494">
        <v>0</v>
      </c>
      <c r="BC2494">
        <v>0</v>
      </c>
      <c r="BD2494">
        <v>0</v>
      </c>
      <c r="BE2494">
        <v>0</v>
      </c>
      <c r="BF2494">
        <v>0</v>
      </c>
      <c r="BG2494">
        <v>0</v>
      </c>
      <c r="BH2494">
        <v>1</v>
      </c>
      <c r="BI2494">
        <v>1</v>
      </c>
      <c r="BJ2494">
        <v>1.1000000000000001</v>
      </c>
      <c r="BK2494">
        <v>1.5</v>
      </c>
      <c r="BL2494">
        <v>71.69</v>
      </c>
      <c r="BM2494">
        <v>10.75</v>
      </c>
      <c r="BN2494">
        <v>82.44</v>
      </c>
      <c r="BO2494">
        <v>82.44</v>
      </c>
      <c r="BQ2494" t="s">
        <v>237</v>
      </c>
      <c r="BR2494" t="s">
        <v>84</v>
      </c>
      <c r="BS2494" s="3">
        <v>45888</v>
      </c>
      <c r="BT2494" s="4">
        <v>0.34930555555555554</v>
      </c>
      <c r="BU2494" t="s">
        <v>650</v>
      </c>
      <c r="BV2494" t="s">
        <v>86</v>
      </c>
      <c r="BY2494">
        <v>5320</v>
      </c>
      <c r="CA2494" t="s">
        <v>239</v>
      </c>
      <c r="CC2494" t="s">
        <v>235</v>
      </c>
      <c r="CD2494" s="5" t="s">
        <v>240</v>
      </c>
      <c r="CE2494" t="s">
        <v>147</v>
      </c>
      <c r="CI2494">
        <v>1</v>
      </c>
      <c r="CJ2494">
        <v>1</v>
      </c>
      <c r="CK2494">
        <v>21</v>
      </c>
      <c r="CL2494" t="s">
        <v>90</v>
      </c>
    </row>
    <row r="2495" spans="1:90" x14ac:dyDescent="0.3">
      <c r="A2495" t="s">
        <v>72</v>
      </c>
      <c r="B2495" t="s">
        <v>73</v>
      </c>
      <c r="C2495" t="s">
        <v>74</v>
      </c>
      <c r="E2495" t="str">
        <f>"080067296160"</f>
        <v>080067296160</v>
      </c>
      <c r="F2495" s="3">
        <v>45887</v>
      </c>
      <c r="G2495">
        <v>202605</v>
      </c>
      <c r="H2495" t="s">
        <v>75</v>
      </c>
      <c r="I2495" t="s">
        <v>76</v>
      </c>
      <c r="J2495" t="s">
        <v>77</v>
      </c>
      <c r="K2495" t="s">
        <v>78</v>
      </c>
      <c r="L2495" t="s">
        <v>137</v>
      </c>
      <c r="M2495" t="s">
        <v>138</v>
      </c>
      <c r="N2495" t="s">
        <v>1404</v>
      </c>
      <c r="O2495" t="s">
        <v>82</v>
      </c>
      <c r="P2495" t="str">
        <f>"4170055299                    "</f>
        <v xml:space="preserve">4170055299                    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0</v>
      </c>
      <c r="AI2495">
        <v>0</v>
      </c>
      <c r="AJ2495">
        <v>0</v>
      </c>
      <c r="AK2495">
        <v>0</v>
      </c>
      <c r="AL2495">
        <v>0</v>
      </c>
      <c r="AM2495">
        <v>0</v>
      </c>
      <c r="AN2495">
        <v>0</v>
      </c>
      <c r="AO2495">
        <v>0</v>
      </c>
      <c r="AP2495">
        <v>0</v>
      </c>
      <c r="AQ2495">
        <v>23.09</v>
      </c>
      <c r="AR2495">
        <v>0</v>
      </c>
      <c r="AS2495">
        <v>0</v>
      </c>
      <c r="AT2495">
        <v>0</v>
      </c>
      <c r="AU2495">
        <v>0</v>
      </c>
      <c r="AV2495">
        <v>0</v>
      </c>
      <c r="AW2495">
        <v>0</v>
      </c>
      <c r="AX2495">
        <v>0</v>
      </c>
      <c r="AY2495">
        <v>0</v>
      </c>
      <c r="AZ2495">
        <v>0</v>
      </c>
      <c r="BA2495">
        <v>0</v>
      </c>
      <c r="BB2495">
        <v>0</v>
      </c>
      <c r="BC2495">
        <v>0</v>
      </c>
      <c r="BD2495">
        <v>0</v>
      </c>
      <c r="BE2495">
        <v>0</v>
      </c>
      <c r="BF2495">
        <v>0</v>
      </c>
      <c r="BG2495">
        <v>0</v>
      </c>
      <c r="BH2495">
        <v>1</v>
      </c>
      <c r="BI2495">
        <v>1</v>
      </c>
      <c r="BJ2495">
        <v>0.2</v>
      </c>
      <c r="BK2495">
        <v>1</v>
      </c>
      <c r="BL2495">
        <v>71.69</v>
      </c>
      <c r="BM2495">
        <v>10.75</v>
      </c>
      <c r="BN2495">
        <v>82.44</v>
      </c>
      <c r="BO2495">
        <v>82.44</v>
      </c>
      <c r="BQ2495" t="s">
        <v>1405</v>
      </c>
      <c r="BR2495" t="s">
        <v>84</v>
      </c>
      <c r="BS2495" t="s">
        <v>96</v>
      </c>
      <c r="BY2495">
        <v>1200</v>
      </c>
      <c r="CC2495" t="s">
        <v>138</v>
      </c>
      <c r="CD2495">
        <v>3610</v>
      </c>
      <c r="CE2495" t="s">
        <v>109</v>
      </c>
      <c r="CI2495">
        <v>1</v>
      </c>
      <c r="CJ2495" t="s">
        <v>96</v>
      </c>
      <c r="CK2495">
        <v>21</v>
      </c>
      <c r="CL2495" t="s">
        <v>90</v>
      </c>
    </row>
    <row r="2496" spans="1:90" x14ac:dyDescent="0.3">
      <c r="A2496" t="s">
        <v>72</v>
      </c>
      <c r="B2496" t="s">
        <v>73</v>
      </c>
      <c r="C2496" t="s">
        <v>74</v>
      </c>
      <c r="E2496" t="str">
        <f>"080067296568"</f>
        <v>080067296568</v>
      </c>
      <c r="F2496" s="3">
        <v>45887</v>
      </c>
      <c r="G2496">
        <v>202605</v>
      </c>
      <c r="H2496" t="s">
        <v>75</v>
      </c>
      <c r="I2496" t="s">
        <v>76</v>
      </c>
      <c r="J2496" t="s">
        <v>77</v>
      </c>
      <c r="K2496" t="s">
        <v>78</v>
      </c>
      <c r="L2496" t="s">
        <v>75</v>
      </c>
      <c r="M2496" t="s">
        <v>76</v>
      </c>
      <c r="N2496" t="s">
        <v>1023</v>
      </c>
      <c r="O2496" t="s">
        <v>82</v>
      </c>
      <c r="P2496" t="str">
        <f>"4170055314                    "</f>
        <v xml:space="preserve">4170055314                    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0</v>
      </c>
      <c r="AI2496">
        <v>0</v>
      </c>
      <c r="AJ2496">
        <v>0</v>
      </c>
      <c r="AK2496">
        <v>0</v>
      </c>
      <c r="AL2496">
        <v>0</v>
      </c>
      <c r="AM2496">
        <v>0</v>
      </c>
      <c r="AN2496">
        <v>0</v>
      </c>
      <c r="AO2496">
        <v>0</v>
      </c>
      <c r="AP2496">
        <v>0</v>
      </c>
      <c r="AQ2496">
        <v>18.03</v>
      </c>
      <c r="AR2496">
        <v>0</v>
      </c>
      <c r="AS2496">
        <v>0</v>
      </c>
      <c r="AT2496">
        <v>0</v>
      </c>
      <c r="AU2496">
        <v>0</v>
      </c>
      <c r="AV2496">
        <v>0</v>
      </c>
      <c r="AW2496">
        <v>0</v>
      </c>
      <c r="AX2496">
        <v>0</v>
      </c>
      <c r="AY2496">
        <v>0</v>
      </c>
      <c r="AZ2496">
        <v>0</v>
      </c>
      <c r="BA2496">
        <v>0</v>
      </c>
      <c r="BB2496">
        <v>0</v>
      </c>
      <c r="BC2496">
        <v>0</v>
      </c>
      <c r="BD2496">
        <v>0</v>
      </c>
      <c r="BE2496">
        <v>0</v>
      </c>
      <c r="BF2496">
        <v>0</v>
      </c>
      <c r="BG2496">
        <v>0</v>
      </c>
      <c r="BH2496">
        <v>1</v>
      </c>
      <c r="BI2496">
        <v>3</v>
      </c>
      <c r="BJ2496">
        <v>1.4</v>
      </c>
      <c r="BK2496">
        <v>3</v>
      </c>
      <c r="BL2496">
        <v>55.99</v>
      </c>
      <c r="BM2496">
        <v>8.4</v>
      </c>
      <c r="BN2496">
        <v>64.39</v>
      </c>
      <c r="BO2496">
        <v>64.39</v>
      </c>
      <c r="BQ2496" t="s">
        <v>1024</v>
      </c>
      <c r="BR2496" t="s">
        <v>84</v>
      </c>
      <c r="BS2496" s="3">
        <v>45888</v>
      </c>
      <c r="BT2496" s="4">
        <v>0.38333333333333336</v>
      </c>
      <c r="BU2496" t="s">
        <v>1025</v>
      </c>
      <c r="BV2496" t="s">
        <v>86</v>
      </c>
      <c r="BY2496">
        <v>7000</v>
      </c>
      <c r="CA2496" t="s">
        <v>1026</v>
      </c>
      <c r="CC2496" t="s">
        <v>76</v>
      </c>
      <c r="CD2496">
        <v>1614</v>
      </c>
      <c r="CE2496" t="s">
        <v>147</v>
      </c>
      <c r="CI2496">
        <v>1</v>
      </c>
      <c r="CJ2496">
        <v>1</v>
      </c>
      <c r="CK2496">
        <v>22</v>
      </c>
      <c r="CL2496" t="s">
        <v>90</v>
      </c>
    </row>
    <row r="2497" spans="1:90" x14ac:dyDescent="0.3">
      <c r="A2497" t="s">
        <v>72</v>
      </c>
      <c r="B2497" t="s">
        <v>73</v>
      </c>
      <c r="C2497" t="s">
        <v>74</v>
      </c>
      <c r="E2497" t="str">
        <f>"080067296607"</f>
        <v>080067296607</v>
      </c>
      <c r="F2497" s="3">
        <v>45887</v>
      </c>
      <c r="G2497">
        <v>202605</v>
      </c>
      <c r="H2497" t="s">
        <v>75</v>
      </c>
      <c r="I2497" t="s">
        <v>76</v>
      </c>
      <c r="J2497" t="s">
        <v>77</v>
      </c>
      <c r="K2497" t="s">
        <v>78</v>
      </c>
      <c r="L2497" t="s">
        <v>162</v>
      </c>
      <c r="M2497" t="s">
        <v>163</v>
      </c>
      <c r="N2497" t="s">
        <v>246</v>
      </c>
      <c r="O2497" t="s">
        <v>82</v>
      </c>
      <c r="P2497" t="str">
        <f>"4170055296                    "</f>
        <v xml:space="preserve">4170055296                    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0</v>
      </c>
      <c r="AI2497">
        <v>0</v>
      </c>
      <c r="AJ2497"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>
        <v>0</v>
      </c>
      <c r="AQ2497">
        <v>23.09</v>
      </c>
      <c r="AR2497">
        <v>0</v>
      </c>
      <c r="AS2497">
        <v>0</v>
      </c>
      <c r="AT2497">
        <v>0</v>
      </c>
      <c r="AU2497">
        <v>0</v>
      </c>
      <c r="AV2497">
        <v>0</v>
      </c>
      <c r="AW2497">
        <v>0</v>
      </c>
      <c r="AX2497">
        <v>0</v>
      </c>
      <c r="AY2497">
        <v>0</v>
      </c>
      <c r="AZ2497">
        <v>0</v>
      </c>
      <c r="BA2497">
        <v>0</v>
      </c>
      <c r="BB2497">
        <v>0</v>
      </c>
      <c r="BC2497">
        <v>0</v>
      </c>
      <c r="BD2497">
        <v>0</v>
      </c>
      <c r="BE2497">
        <v>0</v>
      </c>
      <c r="BF2497">
        <v>0</v>
      </c>
      <c r="BG2497">
        <v>0</v>
      </c>
      <c r="BH2497">
        <v>1</v>
      </c>
      <c r="BI2497">
        <v>1</v>
      </c>
      <c r="BJ2497">
        <v>1.4</v>
      </c>
      <c r="BK2497">
        <v>1.5</v>
      </c>
      <c r="BL2497">
        <v>71.69</v>
      </c>
      <c r="BM2497">
        <v>10.75</v>
      </c>
      <c r="BN2497">
        <v>82.44</v>
      </c>
      <c r="BO2497">
        <v>82.44</v>
      </c>
      <c r="BQ2497" t="s">
        <v>247</v>
      </c>
      <c r="BR2497" t="s">
        <v>84</v>
      </c>
      <c r="BS2497" t="s">
        <v>96</v>
      </c>
      <c r="BY2497">
        <v>7000</v>
      </c>
      <c r="CC2497" t="s">
        <v>163</v>
      </c>
      <c r="CD2497">
        <v>3201</v>
      </c>
      <c r="CE2497" t="s">
        <v>147</v>
      </c>
      <c r="CI2497">
        <v>1</v>
      </c>
      <c r="CJ2497" t="s">
        <v>96</v>
      </c>
      <c r="CK2497">
        <v>21</v>
      </c>
      <c r="CL2497" t="s">
        <v>90</v>
      </c>
    </row>
    <row r="2498" spans="1:90" x14ac:dyDescent="0.3">
      <c r="A2498" t="s">
        <v>72</v>
      </c>
      <c r="B2498" t="s">
        <v>73</v>
      </c>
      <c r="C2498" t="s">
        <v>74</v>
      </c>
      <c r="E2498" t="str">
        <f>"080067296648"</f>
        <v>080067296648</v>
      </c>
      <c r="F2498" s="3">
        <v>45887</v>
      </c>
      <c r="G2498">
        <v>202605</v>
      </c>
      <c r="H2498" t="s">
        <v>75</v>
      </c>
      <c r="I2498" t="s">
        <v>76</v>
      </c>
      <c r="J2498" t="s">
        <v>77</v>
      </c>
      <c r="K2498" t="s">
        <v>78</v>
      </c>
      <c r="L2498" t="s">
        <v>1254</v>
      </c>
      <c r="M2498" t="s">
        <v>1255</v>
      </c>
      <c r="N2498" t="s">
        <v>2883</v>
      </c>
      <c r="O2498" t="s">
        <v>82</v>
      </c>
      <c r="P2498" t="str">
        <f>"4170055294                    "</f>
        <v xml:space="preserve">4170055294                    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0</v>
      </c>
      <c r="AI2498">
        <v>0</v>
      </c>
      <c r="AJ2498"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>
        <v>0</v>
      </c>
      <c r="AQ2498">
        <v>44.73</v>
      </c>
      <c r="AR2498">
        <v>0</v>
      </c>
      <c r="AS2498">
        <v>0</v>
      </c>
      <c r="AT2498">
        <v>0</v>
      </c>
      <c r="AU2498">
        <v>0</v>
      </c>
      <c r="AV2498">
        <v>0</v>
      </c>
      <c r="AW2498">
        <v>0</v>
      </c>
      <c r="AX2498">
        <v>0</v>
      </c>
      <c r="AY2498">
        <v>0</v>
      </c>
      <c r="AZ2498">
        <v>0</v>
      </c>
      <c r="BA2498">
        <v>0</v>
      </c>
      <c r="BB2498">
        <v>0</v>
      </c>
      <c r="BC2498">
        <v>0</v>
      </c>
      <c r="BD2498">
        <v>0</v>
      </c>
      <c r="BE2498">
        <v>0</v>
      </c>
      <c r="BF2498">
        <v>0</v>
      </c>
      <c r="BG2498">
        <v>0</v>
      </c>
      <c r="BH2498">
        <v>1</v>
      </c>
      <c r="BI2498">
        <v>1</v>
      </c>
      <c r="BJ2498">
        <v>1.1000000000000001</v>
      </c>
      <c r="BK2498">
        <v>1.5</v>
      </c>
      <c r="BL2498">
        <v>138.88999999999999</v>
      </c>
      <c r="BM2498">
        <v>20.83</v>
      </c>
      <c r="BN2498">
        <v>159.72</v>
      </c>
      <c r="BO2498">
        <v>159.72</v>
      </c>
      <c r="BQ2498" t="s">
        <v>2884</v>
      </c>
      <c r="BR2498" t="s">
        <v>84</v>
      </c>
      <c r="BS2498" t="s">
        <v>96</v>
      </c>
      <c r="BY2498">
        <v>5320</v>
      </c>
      <c r="CC2498" t="s">
        <v>1255</v>
      </c>
      <c r="CD2498">
        <v>3290</v>
      </c>
      <c r="CE2498" t="s">
        <v>147</v>
      </c>
      <c r="CI2498">
        <v>1</v>
      </c>
      <c r="CJ2498" t="s">
        <v>96</v>
      </c>
      <c r="CK2498">
        <v>23</v>
      </c>
      <c r="CL2498" t="s">
        <v>90</v>
      </c>
    </row>
    <row r="2499" spans="1:90" x14ac:dyDescent="0.3">
      <c r="A2499" t="s">
        <v>72</v>
      </c>
      <c r="B2499" t="s">
        <v>73</v>
      </c>
      <c r="C2499" t="s">
        <v>74</v>
      </c>
      <c r="E2499" t="str">
        <f>"080067296686"</f>
        <v>080067296686</v>
      </c>
      <c r="F2499" s="3">
        <v>45887</v>
      </c>
      <c r="G2499">
        <v>202605</v>
      </c>
      <c r="H2499" t="s">
        <v>75</v>
      </c>
      <c r="I2499" t="s">
        <v>76</v>
      </c>
      <c r="J2499" t="s">
        <v>77</v>
      </c>
      <c r="K2499" t="s">
        <v>78</v>
      </c>
      <c r="L2499" t="s">
        <v>123</v>
      </c>
      <c r="M2499" t="s">
        <v>124</v>
      </c>
      <c r="N2499" t="s">
        <v>189</v>
      </c>
      <c r="O2499" t="s">
        <v>82</v>
      </c>
      <c r="P2499" t="str">
        <f>"4170055285                    "</f>
        <v xml:space="preserve">4170055285                    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0</v>
      </c>
      <c r="AI2499">
        <v>0</v>
      </c>
      <c r="AJ2499">
        <v>0</v>
      </c>
      <c r="AK2499">
        <v>0</v>
      </c>
      <c r="AL2499">
        <v>0</v>
      </c>
      <c r="AM2499">
        <v>0</v>
      </c>
      <c r="AN2499">
        <v>0</v>
      </c>
      <c r="AO2499">
        <v>0</v>
      </c>
      <c r="AP2499">
        <v>0</v>
      </c>
      <c r="AQ2499">
        <v>57.68</v>
      </c>
      <c r="AR2499">
        <v>0</v>
      </c>
      <c r="AS2499">
        <v>0</v>
      </c>
      <c r="AT2499">
        <v>0</v>
      </c>
      <c r="AU2499">
        <v>0</v>
      </c>
      <c r="AV2499">
        <v>0</v>
      </c>
      <c r="AW2499">
        <v>0</v>
      </c>
      <c r="AX2499">
        <v>0</v>
      </c>
      <c r="AY2499">
        <v>0</v>
      </c>
      <c r="AZ2499">
        <v>0</v>
      </c>
      <c r="BA2499">
        <v>0</v>
      </c>
      <c r="BB2499">
        <v>0</v>
      </c>
      <c r="BC2499">
        <v>0</v>
      </c>
      <c r="BD2499">
        <v>0</v>
      </c>
      <c r="BE2499">
        <v>0</v>
      </c>
      <c r="BF2499">
        <v>0</v>
      </c>
      <c r="BG2499">
        <v>0</v>
      </c>
      <c r="BH2499">
        <v>1</v>
      </c>
      <c r="BI2499">
        <v>5</v>
      </c>
      <c r="BJ2499">
        <v>3.4</v>
      </c>
      <c r="BK2499">
        <v>5</v>
      </c>
      <c r="BL2499">
        <v>179.12</v>
      </c>
      <c r="BM2499">
        <v>26.87</v>
      </c>
      <c r="BN2499">
        <v>205.99</v>
      </c>
      <c r="BO2499">
        <v>205.99</v>
      </c>
      <c r="BQ2499" t="s">
        <v>190</v>
      </c>
      <c r="BR2499" t="s">
        <v>84</v>
      </c>
      <c r="BS2499" t="s">
        <v>96</v>
      </c>
      <c r="BY2499">
        <v>16965</v>
      </c>
      <c r="CC2499" t="s">
        <v>124</v>
      </c>
      <c r="CD2499">
        <v>8001</v>
      </c>
      <c r="CE2499" t="s">
        <v>178</v>
      </c>
      <c r="CI2499">
        <v>1</v>
      </c>
      <c r="CJ2499" t="s">
        <v>96</v>
      </c>
      <c r="CK2499">
        <v>21</v>
      </c>
      <c r="CL2499" t="s">
        <v>90</v>
      </c>
    </row>
    <row r="2500" spans="1:90" x14ac:dyDescent="0.3">
      <c r="A2500" t="s">
        <v>72</v>
      </c>
      <c r="B2500" t="s">
        <v>73</v>
      </c>
      <c r="C2500" t="s">
        <v>74</v>
      </c>
      <c r="E2500" t="str">
        <f>"080067296769"</f>
        <v>080067296769</v>
      </c>
      <c r="F2500" s="3">
        <v>45887</v>
      </c>
      <c r="G2500">
        <v>202605</v>
      </c>
      <c r="H2500" t="s">
        <v>75</v>
      </c>
      <c r="I2500" t="s">
        <v>76</v>
      </c>
      <c r="J2500" t="s">
        <v>77</v>
      </c>
      <c r="K2500" t="s">
        <v>78</v>
      </c>
      <c r="L2500" t="s">
        <v>129</v>
      </c>
      <c r="M2500" t="s">
        <v>130</v>
      </c>
      <c r="N2500" t="s">
        <v>131</v>
      </c>
      <c r="O2500" t="s">
        <v>82</v>
      </c>
      <c r="P2500" t="str">
        <f>"4170055306                    "</f>
        <v xml:space="preserve">4170055306                    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0</v>
      </c>
      <c r="AI2500">
        <v>0</v>
      </c>
      <c r="AJ2500">
        <v>0</v>
      </c>
      <c r="AK2500">
        <v>0</v>
      </c>
      <c r="AL2500">
        <v>0</v>
      </c>
      <c r="AM2500">
        <v>0</v>
      </c>
      <c r="AN2500">
        <v>0</v>
      </c>
      <c r="AO2500">
        <v>0</v>
      </c>
      <c r="AP2500">
        <v>0</v>
      </c>
      <c r="AQ2500">
        <v>23.09</v>
      </c>
      <c r="AR2500">
        <v>0</v>
      </c>
      <c r="AS2500">
        <v>0</v>
      </c>
      <c r="AT2500">
        <v>0</v>
      </c>
      <c r="AU2500">
        <v>0</v>
      </c>
      <c r="AV2500">
        <v>0</v>
      </c>
      <c r="AW2500">
        <v>0</v>
      </c>
      <c r="AX2500">
        <v>0</v>
      </c>
      <c r="AY2500">
        <v>0</v>
      </c>
      <c r="AZ2500">
        <v>0</v>
      </c>
      <c r="BA2500">
        <v>0</v>
      </c>
      <c r="BB2500">
        <v>0</v>
      </c>
      <c r="BC2500">
        <v>0</v>
      </c>
      <c r="BD2500">
        <v>0</v>
      </c>
      <c r="BE2500">
        <v>0</v>
      </c>
      <c r="BF2500">
        <v>0</v>
      </c>
      <c r="BG2500">
        <v>0</v>
      </c>
      <c r="BH2500">
        <v>1</v>
      </c>
      <c r="BI2500">
        <v>1</v>
      </c>
      <c r="BJ2500">
        <v>2</v>
      </c>
      <c r="BK2500">
        <v>2</v>
      </c>
      <c r="BL2500">
        <v>71.69</v>
      </c>
      <c r="BM2500">
        <v>10.75</v>
      </c>
      <c r="BN2500">
        <v>82.44</v>
      </c>
      <c r="BO2500">
        <v>82.44</v>
      </c>
      <c r="BQ2500" t="s">
        <v>132</v>
      </c>
      <c r="BR2500" t="s">
        <v>84</v>
      </c>
      <c r="BS2500" t="s">
        <v>96</v>
      </c>
      <c r="BY2500">
        <v>10080</v>
      </c>
      <c r="CC2500" t="s">
        <v>130</v>
      </c>
      <c r="CD2500">
        <v>4133</v>
      </c>
      <c r="CE2500" t="s">
        <v>178</v>
      </c>
      <c r="CI2500">
        <v>1</v>
      </c>
      <c r="CJ2500" t="s">
        <v>96</v>
      </c>
      <c r="CK2500">
        <v>21</v>
      </c>
      <c r="CL2500" t="s">
        <v>90</v>
      </c>
    </row>
    <row r="2501" spans="1:90" x14ac:dyDescent="0.3">
      <c r="A2501" t="s">
        <v>72</v>
      </c>
      <c r="B2501" t="s">
        <v>73</v>
      </c>
      <c r="C2501" t="s">
        <v>74</v>
      </c>
      <c r="E2501" t="str">
        <f>"080067296822"</f>
        <v>080067296822</v>
      </c>
      <c r="F2501" s="3">
        <v>45887</v>
      </c>
      <c r="G2501">
        <v>202605</v>
      </c>
      <c r="H2501" t="s">
        <v>75</v>
      </c>
      <c r="I2501" t="s">
        <v>76</v>
      </c>
      <c r="J2501" t="s">
        <v>77</v>
      </c>
      <c r="K2501" t="s">
        <v>78</v>
      </c>
      <c r="L2501" t="s">
        <v>162</v>
      </c>
      <c r="M2501" t="s">
        <v>163</v>
      </c>
      <c r="N2501" t="s">
        <v>164</v>
      </c>
      <c r="O2501" t="s">
        <v>82</v>
      </c>
      <c r="P2501" t="str">
        <f>"4170055284                    "</f>
        <v xml:space="preserve">4170055284                    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0</v>
      </c>
      <c r="AI2501">
        <v>0</v>
      </c>
      <c r="AJ2501">
        <v>0</v>
      </c>
      <c r="AK2501">
        <v>0</v>
      </c>
      <c r="AL2501">
        <v>0</v>
      </c>
      <c r="AM2501">
        <v>0</v>
      </c>
      <c r="AN2501">
        <v>0</v>
      </c>
      <c r="AO2501">
        <v>0</v>
      </c>
      <c r="AP2501">
        <v>0</v>
      </c>
      <c r="AQ2501">
        <v>115.35</v>
      </c>
      <c r="AR2501">
        <v>0</v>
      </c>
      <c r="AS2501">
        <v>0</v>
      </c>
      <c r="AT2501">
        <v>0</v>
      </c>
      <c r="AU2501">
        <v>0</v>
      </c>
      <c r="AV2501">
        <v>0</v>
      </c>
      <c r="AW2501">
        <v>0</v>
      </c>
      <c r="AX2501">
        <v>0</v>
      </c>
      <c r="AY2501">
        <v>0</v>
      </c>
      <c r="AZ2501">
        <v>0</v>
      </c>
      <c r="BA2501">
        <v>0</v>
      </c>
      <c r="BB2501">
        <v>0</v>
      </c>
      <c r="BC2501">
        <v>0</v>
      </c>
      <c r="BD2501">
        <v>0</v>
      </c>
      <c r="BE2501">
        <v>0</v>
      </c>
      <c r="BF2501">
        <v>0</v>
      </c>
      <c r="BG2501">
        <v>0</v>
      </c>
      <c r="BH2501">
        <v>1</v>
      </c>
      <c r="BI2501">
        <v>10</v>
      </c>
      <c r="BJ2501">
        <v>3.4</v>
      </c>
      <c r="BK2501">
        <v>10</v>
      </c>
      <c r="BL2501">
        <v>358.19</v>
      </c>
      <c r="BM2501">
        <v>53.73</v>
      </c>
      <c r="BN2501">
        <v>411.92</v>
      </c>
      <c r="BO2501">
        <v>411.92</v>
      </c>
      <c r="BQ2501" t="s">
        <v>165</v>
      </c>
      <c r="BR2501" t="s">
        <v>84</v>
      </c>
      <c r="BS2501" t="s">
        <v>96</v>
      </c>
      <c r="BY2501">
        <v>16965</v>
      </c>
      <c r="CC2501" t="s">
        <v>163</v>
      </c>
      <c r="CD2501">
        <v>3212</v>
      </c>
      <c r="CE2501" t="s">
        <v>178</v>
      </c>
      <c r="CI2501">
        <v>2</v>
      </c>
      <c r="CJ2501" t="s">
        <v>96</v>
      </c>
      <c r="CK2501">
        <v>21</v>
      </c>
      <c r="CL2501" t="s">
        <v>90</v>
      </c>
    </row>
    <row r="2502" spans="1:90" x14ac:dyDescent="0.3">
      <c r="A2502" t="s">
        <v>72</v>
      </c>
      <c r="B2502" t="s">
        <v>73</v>
      </c>
      <c r="C2502" t="s">
        <v>74</v>
      </c>
      <c r="E2502" t="str">
        <f>"080067296865"</f>
        <v>080067296865</v>
      </c>
      <c r="F2502" s="3">
        <v>45887</v>
      </c>
      <c r="G2502">
        <v>202605</v>
      </c>
      <c r="H2502" t="s">
        <v>75</v>
      </c>
      <c r="I2502" t="s">
        <v>76</v>
      </c>
      <c r="J2502" t="s">
        <v>77</v>
      </c>
      <c r="K2502" t="s">
        <v>78</v>
      </c>
      <c r="L2502" t="s">
        <v>129</v>
      </c>
      <c r="M2502" t="s">
        <v>130</v>
      </c>
      <c r="N2502" t="s">
        <v>2885</v>
      </c>
      <c r="O2502" t="s">
        <v>82</v>
      </c>
      <c r="P2502" t="str">
        <f>"4170055312                    "</f>
        <v xml:space="preserve">4170055312                    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0</v>
      </c>
      <c r="AI2502">
        <v>0</v>
      </c>
      <c r="AJ2502">
        <v>0</v>
      </c>
      <c r="AK2502">
        <v>0</v>
      </c>
      <c r="AL2502">
        <v>0</v>
      </c>
      <c r="AM2502">
        <v>0</v>
      </c>
      <c r="AN2502">
        <v>0</v>
      </c>
      <c r="AO2502">
        <v>0</v>
      </c>
      <c r="AP2502">
        <v>0</v>
      </c>
      <c r="AQ2502">
        <v>23.09</v>
      </c>
      <c r="AR2502">
        <v>0</v>
      </c>
      <c r="AS2502">
        <v>0</v>
      </c>
      <c r="AT2502">
        <v>0</v>
      </c>
      <c r="AU2502">
        <v>0</v>
      </c>
      <c r="AV2502">
        <v>0</v>
      </c>
      <c r="AW2502">
        <v>0</v>
      </c>
      <c r="AX2502">
        <v>0</v>
      </c>
      <c r="AY2502">
        <v>0</v>
      </c>
      <c r="AZ2502">
        <v>0</v>
      </c>
      <c r="BA2502">
        <v>0</v>
      </c>
      <c r="BB2502">
        <v>0</v>
      </c>
      <c r="BC2502">
        <v>0</v>
      </c>
      <c r="BD2502">
        <v>0</v>
      </c>
      <c r="BE2502">
        <v>0</v>
      </c>
      <c r="BF2502">
        <v>0</v>
      </c>
      <c r="BG2502">
        <v>0</v>
      </c>
      <c r="BH2502">
        <v>1</v>
      </c>
      <c r="BI2502">
        <v>1</v>
      </c>
      <c r="BJ2502">
        <v>0.2</v>
      </c>
      <c r="BK2502">
        <v>1</v>
      </c>
      <c r="BL2502">
        <v>71.69</v>
      </c>
      <c r="BM2502">
        <v>10.75</v>
      </c>
      <c r="BN2502">
        <v>82.44</v>
      </c>
      <c r="BO2502">
        <v>82.44</v>
      </c>
      <c r="BQ2502" t="s">
        <v>2886</v>
      </c>
      <c r="BR2502" t="s">
        <v>84</v>
      </c>
      <c r="BS2502" t="s">
        <v>96</v>
      </c>
      <c r="BY2502">
        <v>1200</v>
      </c>
      <c r="CC2502" t="s">
        <v>130</v>
      </c>
      <c r="CD2502">
        <v>4113</v>
      </c>
      <c r="CE2502" t="s">
        <v>178</v>
      </c>
      <c r="CI2502">
        <v>1</v>
      </c>
      <c r="CJ2502" t="s">
        <v>96</v>
      </c>
      <c r="CK2502">
        <v>21</v>
      </c>
      <c r="CL2502" t="s">
        <v>90</v>
      </c>
    </row>
    <row r="2503" spans="1:90" x14ac:dyDescent="0.3">
      <c r="A2503" t="s">
        <v>72</v>
      </c>
      <c r="B2503" t="s">
        <v>73</v>
      </c>
      <c r="C2503" t="s">
        <v>74</v>
      </c>
      <c r="E2503" t="str">
        <f>"080067296874"</f>
        <v>080067296874</v>
      </c>
      <c r="F2503" s="3">
        <v>45887</v>
      </c>
      <c r="G2503">
        <v>202605</v>
      </c>
      <c r="H2503" t="s">
        <v>75</v>
      </c>
      <c r="I2503" t="s">
        <v>76</v>
      </c>
      <c r="J2503" t="s">
        <v>77</v>
      </c>
      <c r="K2503" t="s">
        <v>78</v>
      </c>
      <c r="L2503" t="s">
        <v>172</v>
      </c>
      <c r="M2503" t="s">
        <v>173</v>
      </c>
      <c r="N2503" t="s">
        <v>1776</v>
      </c>
      <c r="O2503" t="s">
        <v>95</v>
      </c>
      <c r="P2503" t="str">
        <f>"4170055247                    "</f>
        <v xml:space="preserve">4170055247                    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0</v>
      </c>
      <c r="AI2503">
        <v>0</v>
      </c>
      <c r="AJ2503"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>
        <v>0</v>
      </c>
      <c r="AQ2503">
        <v>103.62</v>
      </c>
      <c r="AR2503">
        <v>0</v>
      </c>
      <c r="AS2503">
        <v>0</v>
      </c>
      <c r="AT2503">
        <v>0</v>
      </c>
      <c r="AU2503">
        <v>0</v>
      </c>
      <c r="AV2503">
        <v>0</v>
      </c>
      <c r="AW2503">
        <v>0</v>
      </c>
      <c r="AX2503">
        <v>0</v>
      </c>
      <c r="AY2503">
        <v>0</v>
      </c>
      <c r="AZ2503">
        <v>0</v>
      </c>
      <c r="BA2503">
        <v>0</v>
      </c>
      <c r="BB2503">
        <v>0</v>
      </c>
      <c r="BC2503">
        <v>0</v>
      </c>
      <c r="BD2503">
        <v>0</v>
      </c>
      <c r="BE2503">
        <v>0</v>
      </c>
      <c r="BF2503">
        <v>0</v>
      </c>
      <c r="BG2503">
        <v>0</v>
      </c>
      <c r="BH2503">
        <v>1</v>
      </c>
      <c r="BI2503">
        <v>27</v>
      </c>
      <c r="BJ2503">
        <v>46.9</v>
      </c>
      <c r="BK2503">
        <v>47</v>
      </c>
      <c r="BL2503">
        <v>327.63</v>
      </c>
      <c r="BM2503">
        <v>49.14</v>
      </c>
      <c r="BN2503">
        <v>376.77</v>
      </c>
      <c r="BO2503">
        <v>376.77</v>
      </c>
      <c r="BQ2503" t="s">
        <v>1777</v>
      </c>
      <c r="BR2503" t="s">
        <v>84</v>
      </c>
      <c r="BS2503" t="s">
        <v>96</v>
      </c>
      <c r="BY2503">
        <v>234738</v>
      </c>
      <c r="CC2503" t="s">
        <v>173</v>
      </c>
      <c r="CD2503">
        <v>7600</v>
      </c>
      <c r="CE2503" t="s">
        <v>708</v>
      </c>
      <c r="CI2503">
        <v>3</v>
      </c>
      <c r="CJ2503" t="s">
        <v>96</v>
      </c>
      <c r="CK2503">
        <v>41</v>
      </c>
      <c r="CL2503" t="s">
        <v>90</v>
      </c>
    </row>
    <row r="2504" spans="1:90" x14ac:dyDescent="0.3">
      <c r="A2504" t="s">
        <v>72</v>
      </c>
      <c r="B2504" t="s">
        <v>73</v>
      </c>
      <c r="C2504" t="s">
        <v>74</v>
      </c>
      <c r="E2504" t="str">
        <f>"080067296920"</f>
        <v>080067296920</v>
      </c>
      <c r="F2504" s="3">
        <v>45887</v>
      </c>
      <c r="G2504">
        <v>202605</v>
      </c>
      <c r="H2504" t="s">
        <v>75</v>
      </c>
      <c r="I2504" t="s">
        <v>76</v>
      </c>
      <c r="J2504" t="s">
        <v>77</v>
      </c>
      <c r="K2504" t="s">
        <v>78</v>
      </c>
      <c r="L2504" t="s">
        <v>1275</v>
      </c>
      <c r="M2504" t="s">
        <v>1276</v>
      </c>
      <c r="N2504" t="s">
        <v>2560</v>
      </c>
      <c r="O2504" t="s">
        <v>82</v>
      </c>
      <c r="P2504" t="str">
        <f>"4170055305                    "</f>
        <v xml:space="preserve">4170055305                    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0</v>
      </c>
      <c r="AI2504">
        <v>0</v>
      </c>
      <c r="AJ2504"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>
        <v>0</v>
      </c>
      <c r="AQ2504">
        <v>44.73</v>
      </c>
      <c r="AR2504">
        <v>0</v>
      </c>
      <c r="AS2504">
        <v>0</v>
      </c>
      <c r="AT2504">
        <v>0</v>
      </c>
      <c r="AU2504">
        <v>0</v>
      </c>
      <c r="AV2504">
        <v>0</v>
      </c>
      <c r="AW2504">
        <v>0</v>
      </c>
      <c r="AX2504">
        <v>0</v>
      </c>
      <c r="AY2504">
        <v>0</v>
      </c>
      <c r="AZ2504">
        <v>0</v>
      </c>
      <c r="BA2504">
        <v>0</v>
      </c>
      <c r="BB2504">
        <v>0</v>
      </c>
      <c r="BC2504">
        <v>0</v>
      </c>
      <c r="BD2504">
        <v>0</v>
      </c>
      <c r="BE2504">
        <v>0</v>
      </c>
      <c r="BF2504">
        <v>0</v>
      </c>
      <c r="BG2504">
        <v>0</v>
      </c>
      <c r="BH2504">
        <v>1</v>
      </c>
      <c r="BI2504">
        <v>2</v>
      </c>
      <c r="BJ2504">
        <v>1.1000000000000001</v>
      </c>
      <c r="BK2504">
        <v>2</v>
      </c>
      <c r="BL2504">
        <v>138.88999999999999</v>
      </c>
      <c r="BM2504">
        <v>20.83</v>
      </c>
      <c r="BN2504">
        <v>159.72</v>
      </c>
      <c r="BO2504">
        <v>159.72</v>
      </c>
      <c r="BQ2504" t="s">
        <v>2561</v>
      </c>
      <c r="BR2504" t="s">
        <v>84</v>
      </c>
      <c r="BS2504" t="s">
        <v>96</v>
      </c>
      <c r="BY2504">
        <v>5320</v>
      </c>
      <c r="CC2504" t="s">
        <v>1276</v>
      </c>
      <c r="CD2504">
        <v>1911</v>
      </c>
      <c r="CE2504" t="s">
        <v>147</v>
      </c>
      <c r="CI2504">
        <v>1</v>
      </c>
      <c r="CJ2504" t="s">
        <v>96</v>
      </c>
      <c r="CK2504">
        <v>23</v>
      </c>
      <c r="CL2504" t="s">
        <v>90</v>
      </c>
    </row>
    <row r="2505" spans="1:90" x14ac:dyDescent="0.3">
      <c r="A2505" t="s">
        <v>72</v>
      </c>
      <c r="B2505" t="s">
        <v>73</v>
      </c>
      <c r="C2505" t="s">
        <v>74</v>
      </c>
      <c r="E2505" t="str">
        <f>"080067297310"</f>
        <v>080067297310</v>
      </c>
      <c r="F2505" s="3">
        <v>45887</v>
      </c>
      <c r="G2505">
        <v>202605</v>
      </c>
      <c r="H2505" t="s">
        <v>75</v>
      </c>
      <c r="I2505" t="s">
        <v>76</v>
      </c>
      <c r="J2505" t="s">
        <v>77</v>
      </c>
      <c r="K2505" t="s">
        <v>78</v>
      </c>
      <c r="L2505" t="s">
        <v>75</v>
      </c>
      <c r="M2505" t="s">
        <v>76</v>
      </c>
      <c r="N2505" t="s">
        <v>1023</v>
      </c>
      <c r="O2505" t="s">
        <v>113</v>
      </c>
      <c r="P2505" t="str">
        <f>"4170055307                    "</f>
        <v xml:space="preserve">4170055307                    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0</v>
      </c>
      <c r="AI2505">
        <v>0</v>
      </c>
      <c r="AJ2505">
        <v>0</v>
      </c>
      <c r="AK2505">
        <v>0</v>
      </c>
      <c r="AL2505">
        <v>0</v>
      </c>
      <c r="AM2505">
        <v>0</v>
      </c>
      <c r="AN2505">
        <v>0</v>
      </c>
      <c r="AO2505">
        <v>0</v>
      </c>
      <c r="AP2505">
        <v>0</v>
      </c>
      <c r="AQ2505">
        <v>18.04</v>
      </c>
      <c r="AR2505">
        <v>0</v>
      </c>
      <c r="AS2505">
        <v>0</v>
      </c>
      <c r="AT2505">
        <v>0</v>
      </c>
      <c r="AU2505">
        <v>0</v>
      </c>
      <c r="AV2505">
        <v>0</v>
      </c>
      <c r="AW2505">
        <v>0</v>
      </c>
      <c r="AX2505">
        <v>0</v>
      </c>
      <c r="AY2505">
        <v>0</v>
      </c>
      <c r="AZ2505">
        <v>0</v>
      </c>
      <c r="BA2505">
        <v>0</v>
      </c>
      <c r="BB2505">
        <v>0</v>
      </c>
      <c r="BC2505">
        <v>0</v>
      </c>
      <c r="BD2505">
        <v>0</v>
      </c>
      <c r="BE2505">
        <v>0</v>
      </c>
      <c r="BF2505">
        <v>0</v>
      </c>
      <c r="BG2505">
        <v>0</v>
      </c>
      <c r="BH2505">
        <v>1</v>
      </c>
      <c r="BI2505">
        <v>4</v>
      </c>
      <c r="BJ2505">
        <v>3.4</v>
      </c>
      <c r="BK2505">
        <v>4</v>
      </c>
      <c r="BL2505">
        <v>56.01</v>
      </c>
      <c r="BM2505">
        <v>8.4</v>
      </c>
      <c r="BN2505">
        <v>64.41</v>
      </c>
      <c r="BO2505">
        <v>64.41</v>
      </c>
      <c r="BQ2505" t="s">
        <v>1024</v>
      </c>
      <c r="BR2505" t="s">
        <v>84</v>
      </c>
      <c r="BS2505" s="3">
        <v>45888</v>
      </c>
      <c r="BT2505" s="4">
        <v>0.38333333333333336</v>
      </c>
      <c r="BU2505" t="s">
        <v>1025</v>
      </c>
      <c r="BV2505" t="s">
        <v>86</v>
      </c>
      <c r="BY2505">
        <v>16965</v>
      </c>
      <c r="CA2505" t="s">
        <v>1026</v>
      </c>
      <c r="CC2505" t="s">
        <v>76</v>
      </c>
      <c r="CD2505">
        <v>1614</v>
      </c>
      <c r="CE2505" t="s">
        <v>147</v>
      </c>
      <c r="CI2505">
        <v>1</v>
      </c>
      <c r="CJ2505">
        <v>1</v>
      </c>
      <c r="CK2505">
        <v>32</v>
      </c>
      <c r="CL2505" t="s">
        <v>90</v>
      </c>
    </row>
    <row r="2506" spans="1:90" x14ac:dyDescent="0.3">
      <c r="A2506" t="s">
        <v>72</v>
      </c>
      <c r="B2506" t="s">
        <v>73</v>
      </c>
      <c r="C2506" t="s">
        <v>74</v>
      </c>
      <c r="E2506" t="str">
        <f>"080067297363"</f>
        <v>080067297363</v>
      </c>
      <c r="F2506" s="3">
        <v>45887</v>
      </c>
      <c r="G2506">
        <v>202605</v>
      </c>
      <c r="H2506" t="s">
        <v>75</v>
      </c>
      <c r="I2506" t="s">
        <v>76</v>
      </c>
      <c r="J2506" t="s">
        <v>77</v>
      </c>
      <c r="K2506" t="s">
        <v>78</v>
      </c>
      <c r="L2506" t="s">
        <v>291</v>
      </c>
      <c r="M2506" t="s">
        <v>292</v>
      </c>
      <c r="N2506" t="s">
        <v>1791</v>
      </c>
      <c r="O2506" t="s">
        <v>113</v>
      </c>
      <c r="P2506" t="str">
        <f>"4170055308                    "</f>
        <v xml:space="preserve">4170055308                    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0</v>
      </c>
      <c r="AI2506">
        <v>0</v>
      </c>
      <c r="AJ2506">
        <v>0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>
        <v>0</v>
      </c>
      <c r="AQ2506">
        <v>38.270000000000003</v>
      </c>
      <c r="AR2506">
        <v>0</v>
      </c>
      <c r="AS2506">
        <v>0</v>
      </c>
      <c r="AT2506">
        <v>0</v>
      </c>
      <c r="AU2506">
        <v>0</v>
      </c>
      <c r="AV2506">
        <v>0</v>
      </c>
      <c r="AW2506">
        <v>0</v>
      </c>
      <c r="AX2506">
        <v>0</v>
      </c>
      <c r="AY2506">
        <v>0</v>
      </c>
      <c r="AZ2506">
        <v>0</v>
      </c>
      <c r="BA2506">
        <v>0</v>
      </c>
      <c r="BB2506">
        <v>0</v>
      </c>
      <c r="BC2506">
        <v>0</v>
      </c>
      <c r="BD2506">
        <v>0</v>
      </c>
      <c r="BE2506">
        <v>0</v>
      </c>
      <c r="BF2506">
        <v>0</v>
      </c>
      <c r="BG2506">
        <v>0</v>
      </c>
      <c r="BH2506">
        <v>2</v>
      </c>
      <c r="BI2506">
        <v>10</v>
      </c>
      <c r="BJ2506">
        <v>17.600000000000001</v>
      </c>
      <c r="BK2506">
        <v>18</v>
      </c>
      <c r="BL2506">
        <v>118.84</v>
      </c>
      <c r="BM2506">
        <v>17.829999999999998</v>
      </c>
      <c r="BN2506">
        <v>136.66999999999999</v>
      </c>
      <c r="BO2506">
        <v>136.66999999999999</v>
      </c>
      <c r="BQ2506" t="s">
        <v>1792</v>
      </c>
      <c r="BR2506" t="s">
        <v>84</v>
      </c>
      <c r="BS2506" s="3">
        <v>45888</v>
      </c>
      <c r="BT2506" s="4">
        <v>0.36875000000000002</v>
      </c>
      <c r="BU2506" t="s">
        <v>1793</v>
      </c>
      <c r="BV2506" t="s">
        <v>86</v>
      </c>
      <c r="BY2506">
        <v>44064</v>
      </c>
      <c r="CA2506" t="s">
        <v>296</v>
      </c>
      <c r="CC2506" t="s">
        <v>292</v>
      </c>
      <c r="CD2506">
        <v>1451</v>
      </c>
      <c r="CE2506" t="s">
        <v>2107</v>
      </c>
      <c r="CI2506">
        <v>1</v>
      </c>
      <c r="CJ2506">
        <v>1</v>
      </c>
      <c r="CK2506">
        <v>32</v>
      </c>
      <c r="CL2506" t="s">
        <v>90</v>
      </c>
    </row>
    <row r="2507" spans="1:90" x14ac:dyDescent="0.3">
      <c r="A2507" t="s">
        <v>72</v>
      </c>
      <c r="B2507" t="s">
        <v>73</v>
      </c>
      <c r="C2507" t="s">
        <v>74</v>
      </c>
      <c r="E2507" t="str">
        <f>"080067298205"</f>
        <v>080067298205</v>
      </c>
      <c r="F2507" s="3">
        <v>45887</v>
      </c>
      <c r="G2507">
        <v>202605</v>
      </c>
      <c r="H2507" t="s">
        <v>75</v>
      </c>
      <c r="I2507" t="s">
        <v>76</v>
      </c>
      <c r="J2507" t="s">
        <v>77</v>
      </c>
      <c r="K2507" t="s">
        <v>78</v>
      </c>
      <c r="L2507" t="s">
        <v>137</v>
      </c>
      <c r="M2507" t="s">
        <v>138</v>
      </c>
      <c r="N2507" t="s">
        <v>2881</v>
      </c>
      <c r="O2507" t="s">
        <v>82</v>
      </c>
      <c r="P2507" t="str">
        <f>"4170055319                    "</f>
        <v xml:space="preserve">4170055319                    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0</v>
      </c>
      <c r="AN2507">
        <v>0</v>
      </c>
      <c r="AO2507">
        <v>0</v>
      </c>
      <c r="AP2507">
        <v>0</v>
      </c>
      <c r="AQ2507">
        <v>23.09</v>
      </c>
      <c r="AR2507">
        <v>0</v>
      </c>
      <c r="AS2507">
        <v>0</v>
      </c>
      <c r="AT2507">
        <v>0</v>
      </c>
      <c r="AU2507">
        <v>0</v>
      </c>
      <c r="AV2507">
        <v>0</v>
      </c>
      <c r="AW2507">
        <v>0</v>
      </c>
      <c r="AX2507">
        <v>0</v>
      </c>
      <c r="AY2507">
        <v>0</v>
      </c>
      <c r="AZ2507">
        <v>0</v>
      </c>
      <c r="BA2507">
        <v>0</v>
      </c>
      <c r="BB2507">
        <v>0</v>
      </c>
      <c r="BC2507">
        <v>0</v>
      </c>
      <c r="BD2507">
        <v>0</v>
      </c>
      <c r="BE2507">
        <v>0</v>
      </c>
      <c r="BF2507">
        <v>0</v>
      </c>
      <c r="BG2507">
        <v>0</v>
      </c>
      <c r="BH2507">
        <v>1</v>
      </c>
      <c r="BI2507">
        <v>1</v>
      </c>
      <c r="BJ2507">
        <v>1.1000000000000001</v>
      </c>
      <c r="BK2507">
        <v>1.5</v>
      </c>
      <c r="BL2507">
        <v>71.69</v>
      </c>
      <c r="BM2507">
        <v>10.75</v>
      </c>
      <c r="BN2507">
        <v>82.44</v>
      </c>
      <c r="BO2507">
        <v>82.44</v>
      </c>
      <c r="BQ2507" t="s">
        <v>2882</v>
      </c>
      <c r="BR2507" t="s">
        <v>84</v>
      </c>
      <c r="BS2507" t="s">
        <v>96</v>
      </c>
      <c r="BY2507">
        <v>5320</v>
      </c>
      <c r="CC2507" t="s">
        <v>138</v>
      </c>
      <c r="CD2507">
        <v>3610</v>
      </c>
      <c r="CE2507" t="s">
        <v>147</v>
      </c>
      <c r="CI2507">
        <v>1</v>
      </c>
      <c r="CJ2507" t="s">
        <v>96</v>
      </c>
      <c r="CK2507">
        <v>21</v>
      </c>
      <c r="CL2507" t="s">
        <v>90</v>
      </c>
    </row>
    <row r="2508" spans="1:90" x14ac:dyDescent="0.3">
      <c r="A2508" t="s">
        <v>72</v>
      </c>
      <c r="B2508" t="s">
        <v>73</v>
      </c>
      <c r="C2508" t="s">
        <v>74</v>
      </c>
      <c r="E2508" t="str">
        <f>"080067298224"</f>
        <v>080067298224</v>
      </c>
      <c r="F2508" s="3">
        <v>45887</v>
      </c>
      <c r="G2508">
        <v>202605</v>
      </c>
      <c r="H2508" t="s">
        <v>75</v>
      </c>
      <c r="I2508" t="s">
        <v>76</v>
      </c>
      <c r="J2508" t="s">
        <v>77</v>
      </c>
      <c r="K2508" t="s">
        <v>78</v>
      </c>
      <c r="L2508" t="s">
        <v>241</v>
      </c>
      <c r="M2508" t="s">
        <v>242</v>
      </c>
      <c r="N2508" t="s">
        <v>2629</v>
      </c>
      <c r="O2508" t="s">
        <v>82</v>
      </c>
      <c r="P2508" t="str">
        <f>"4170055324                    "</f>
        <v xml:space="preserve">4170055324                    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0</v>
      </c>
      <c r="AI2508">
        <v>0</v>
      </c>
      <c r="AJ2508">
        <v>0</v>
      </c>
      <c r="AK2508">
        <v>0</v>
      </c>
      <c r="AL2508">
        <v>0</v>
      </c>
      <c r="AM2508">
        <v>0</v>
      </c>
      <c r="AN2508">
        <v>0</v>
      </c>
      <c r="AO2508">
        <v>0</v>
      </c>
      <c r="AP2508">
        <v>0</v>
      </c>
      <c r="AQ2508">
        <v>18.03</v>
      </c>
      <c r="AR2508">
        <v>0</v>
      </c>
      <c r="AS2508">
        <v>0</v>
      </c>
      <c r="AT2508">
        <v>0</v>
      </c>
      <c r="AU2508">
        <v>0</v>
      </c>
      <c r="AV2508">
        <v>0</v>
      </c>
      <c r="AW2508">
        <v>0</v>
      </c>
      <c r="AX2508">
        <v>0</v>
      </c>
      <c r="AY2508">
        <v>0</v>
      </c>
      <c r="AZ2508">
        <v>0</v>
      </c>
      <c r="BA2508">
        <v>0</v>
      </c>
      <c r="BB2508">
        <v>0</v>
      </c>
      <c r="BC2508">
        <v>0</v>
      </c>
      <c r="BD2508">
        <v>0</v>
      </c>
      <c r="BE2508">
        <v>0</v>
      </c>
      <c r="BF2508">
        <v>0</v>
      </c>
      <c r="BG2508">
        <v>0</v>
      </c>
      <c r="BH2508">
        <v>1</v>
      </c>
      <c r="BI2508">
        <v>1</v>
      </c>
      <c r="BJ2508">
        <v>1.1000000000000001</v>
      </c>
      <c r="BK2508">
        <v>2</v>
      </c>
      <c r="BL2508">
        <v>55.99</v>
      </c>
      <c r="BM2508">
        <v>8.4</v>
      </c>
      <c r="BN2508">
        <v>64.39</v>
      </c>
      <c r="BO2508">
        <v>64.39</v>
      </c>
      <c r="BQ2508" t="s">
        <v>2630</v>
      </c>
      <c r="BR2508" t="s">
        <v>84</v>
      </c>
      <c r="BS2508" s="3">
        <v>45888</v>
      </c>
      <c r="BT2508" s="4">
        <v>0.34930555555555554</v>
      </c>
      <c r="BU2508" t="s">
        <v>900</v>
      </c>
      <c r="BV2508" t="s">
        <v>86</v>
      </c>
      <c r="BY2508">
        <v>5320</v>
      </c>
      <c r="CA2508" t="s">
        <v>720</v>
      </c>
      <c r="CC2508" t="s">
        <v>242</v>
      </c>
      <c r="CD2508">
        <v>1459</v>
      </c>
      <c r="CE2508" t="s">
        <v>147</v>
      </c>
      <c r="CI2508">
        <v>1</v>
      </c>
      <c r="CJ2508">
        <v>1</v>
      </c>
      <c r="CK2508">
        <v>22</v>
      </c>
      <c r="CL2508" t="s">
        <v>90</v>
      </c>
    </row>
    <row r="2509" spans="1:90" x14ac:dyDescent="0.3">
      <c r="A2509" t="s">
        <v>72</v>
      </c>
      <c r="B2509" t="s">
        <v>73</v>
      </c>
      <c r="C2509" t="s">
        <v>74</v>
      </c>
      <c r="E2509" t="str">
        <f>"080067298268"</f>
        <v>080067298268</v>
      </c>
      <c r="F2509" s="3">
        <v>45887</v>
      </c>
      <c r="G2509">
        <v>202605</v>
      </c>
      <c r="H2509" t="s">
        <v>75</v>
      </c>
      <c r="I2509" t="s">
        <v>76</v>
      </c>
      <c r="J2509" t="s">
        <v>77</v>
      </c>
      <c r="K2509" t="s">
        <v>78</v>
      </c>
      <c r="L2509" t="s">
        <v>137</v>
      </c>
      <c r="M2509" t="s">
        <v>138</v>
      </c>
      <c r="N2509" t="s">
        <v>1760</v>
      </c>
      <c r="O2509" t="s">
        <v>82</v>
      </c>
      <c r="P2509" t="str">
        <f>"4170055316                    "</f>
        <v xml:space="preserve">4170055316                    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0</v>
      </c>
      <c r="AI2509">
        <v>0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Q2509">
        <v>23.09</v>
      </c>
      <c r="AR2509">
        <v>0</v>
      </c>
      <c r="AS2509">
        <v>0</v>
      </c>
      <c r="AT2509">
        <v>0</v>
      </c>
      <c r="AU2509">
        <v>0</v>
      </c>
      <c r="AV2509">
        <v>0</v>
      </c>
      <c r="AW2509">
        <v>0</v>
      </c>
      <c r="AX2509">
        <v>0</v>
      </c>
      <c r="AY2509">
        <v>0</v>
      </c>
      <c r="AZ2509">
        <v>0</v>
      </c>
      <c r="BA2509">
        <v>0</v>
      </c>
      <c r="BB2509">
        <v>0</v>
      </c>
      <c r="BC2509">
        <v>0</v>
      </c>
      <c r="BD2509">
        <v>0</v>
      </c>
      <c r="BE2509">
        <v>0</v>
      </c>
      <c r="BF2509">
        <v>0</v>
      </c>
      <c r="BG2509">
        <v>0</v>
      </c>
      <c r="BH2509">
        <v>1</v>
      </c>
      <c r="BI2509">
        <v>1</v>
      </c>
      <c r="BJ2509">
        <v>1.1000000000000001</v>
      </c>
      <c r="BK2509">
        <v>1.5</v>
      </c>
      <c r="BL2509">
        <v>71.69</v>
      </c>
      <c r="BM2509">
        <v>10.75</v>
      </c>
      <c r="BN2509">
        <v>82.44</v>
      </c>
      <c r="BO2509">
        <v>82.44</v>
      </c>
      <c r="BQ2509" t="s">
        <v>1761</v>
      </c>
      <c r="BR2509" t="s">
        <v>84</v>
      </c>
      <c r="BS2509" t="s">
        <v>96</v>
      </c>
      <c r="BY2509">
        <v>5320</v>
      </c>
      <c r="CC2509" t="s">
        <v>138</v>
      </c>
      <c r="CD2509">
        <v>3610</v>
      </c>
      <c r="CE2509" t="s">
        <v>147</v>
      </c>
      <c r="CI2509">
        <v>1</v>
      </c>
      <c r="CJ2509" t="s">
        <v>96</v>
      </c>
      <c r="CK2509">
        <v>21</v>
      </c>
      <c r="CL2509" t="s">
        <v>90</v>
      </c>
    </row>
    <row r="2510" spans="1:90" x14ac:dyDescent="0.3">
      <c r="A2510" t="s">
        <v>72</v>
      </c>
      <c r="B2510" t="s">
        <v>73</v>
      </c>
      <c r="C2510" t="s">
        <v>74</v>
      </c>
      <c r="E2510" t="str">
        <f>"080067298292"</f>
        <v>080067298292</v>
      </c>
      <c r="F2510" s="3">
        <v>45887</v>
      </c>
      <c r="G2510">
        <v>202605</v>
      </c>
      <c r="H2510" t="s">
        <v>75</v>
      </c>
      <c r="I2510" t="s">
        <v>76</v>
      </c>
      <c r="J2510" t="s">
        <v>77</v>
      </c>
      <c r="K2510" t="s">
        <v>78</v>
      </c>
      <c r="L2510" t="s">
        <v>325</v>
      </c>
      <c r="M2510" t="s">
        <v>326</v>
      </c>
      <c r="N2510" t="s">
        <v>1893</v>
      </c>
      <c r="O2510" t="s">
        <v>82</v>
      </c>
      <c r="P2510" t="str">
        <f>"4170055317                    "</f>
        <v xml:space="preserve">4170055317                    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0</v>
      </c>
      <c r="AI2510">
        <v>0</v>
      </c>
      <c r="AJ2510">
        <v>0</v>
      </c>
      <c r="AK2510">
        <v>0</v>
      </c>
      <c r="AL2510">
        <v>0</v>
      </c>
      <c r="AM2510">
        <v>0</v>
      </c>
      <c r="AN2510">
        <v>0</v>
      </c>
      <c r="AO2510">
        <v>0</v>
      </c>
      <c r="AP2510">
        <v>0</v>
      </c>
      <c r="AQ2510">
        <v>18.03</v>
      </c>
      <c r="AR2510">
        <v>0</v>
      </c>
      <c r="AS2510">
        <v>0</v>
      </c>
      <c r="AT2510">
        <v>0</v>
      </c>
      <c r="AU2510">
        <v>0</v>
      </c>
      <c r="AV2510">
        <v>0</v>
      </c>
      <c r="AW2510">
        <v>0</v>
      </c>
      <c r="AX2510">
        <v>0</v>
      </c>
      <c r="AY2510">
        <v>0</v>
      </c>
      <c r="AZ2510">
        <v>0</v>
      </c>
      <c r="BA2510">
        <v>0</v>
      </c>
      <c r="BB2510">
        <v>0</v>
      </c>
      <c r="BC2510">
        <v>0</v>
      </c>
      <c r="BD2510">
        <v>0</v>
      </c>
      <c r="BE2510">
        <v>0</v>
      </c>
      <c r="BF2510">
        <v>0</v>
      </c>
      <c r="BG2510">
        <v>0</v>
      </c>
      <c r="BH2510">
        <v>1</v>
      </c>
      <c r="BI2510">
        <v>1</v>
      </c>
      <c r="BJ2510">
        <v>0.2</v>
      </c>
      <c r="BK2510">
        <v>1</v>
      </c>
      <c r="BL2510">
        <v>55.99</v>
      </c>
      <c r="BM2510">
        <v>8.4</v>
      </c>
      <c r="BN2510">
        <v>64.39</v>
      </c>
      <c r="BO2510">
        <v>64.39</v>
      </c>
      <c r="BQ2510" t="s">
        <v>1894</v>
      </c>
      <c r="BR2510" t="s">
        <v>84</v>
      </c>
      <c r="BS2510" s="3">
        <v>45888</v>
      </c>
      <c r="BT2510" s="4">
        <v>0.35833333333333334</v>
      </c>
      <c r="BU2510" t="s">
        <v>2887</v>
      </c>
      <c r="BV2510" t="s">
        <v>86</v>
      </c>
      <c r="BY2510">
        <v>1200</v>
      </c>
      <c r="CA2510" t="s">
        <v>1896</v>
      </c>
      <c r="CC2510" t="s">
        <v>326</v>
      </c>
      <c r="CD2510">
        <v>2040</v>
      </c>
      <c r="CE2510" t="s">
        <v>109</v>
      </c>
      <c r="CI2510">
        <v>1</v>
      </c>
      <c r="CJ2510">
        <v>1</v>
      </c>
      <c r="CK2510">
        <v>22</v>
      </c>
      <c r="CL2510" t="s">
        <v>90</v>
      </c>
    </row>
    <row r="2511" spans="1:90" x14ac:dyDescent="0.3">
      <c r="A2511" t="s">
        <v>72</v>
      </c>
      <c r="B2511" t="s">
        <v>73</v>
      </c>
      <c r="C2511" t="s">
        <v>74</v>
      </c>
      <c r="E2511" t="str">
        <f>"080067299059"</f>
        <v>080067299059</v>
      </c>
      <c r="F2511" s="3">
        <v>45887</v>
      </c>
      <c r="G2511">
        <v>202605</v>
      </c>
      <c r="H2511" t="s">
        <v>75</v>
      </c>
      <c r="I2511" t="s">
        <v>76</v>
      </c>
      <c r="J2511" t="s">
        <v>77</v>
      </c>
      <c r="K2511" t="s">
        <v>78</v>
      </c>
      <c r="L2511" t="s">
        <v>217</v>
      </c>
      <c r="M2511" t="s">
        <v>218</v>
      </c>
      <c r="N2511" t="s">
        <v>219</v>
      </c>
      <c r="O2511" t="s">
        <v>82</v>
      </c>
      <c r="P2511" t="str">
        <f>"4170055313                    "</f>
        <v xml:space="preserve">4170055313                    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0</v>
      </c>
      <c r="AI2511">
        <v>0</v>
      </c>
      <c r="AJ2511">
        <v>0</v>
      </c>
      <c r="AK2511">
        <v>0</v>
      </c>
      <c r="AL2511">
        <v>0</v>
      </c>
      <c r="AM2511">
        <v>0</v>
      </c>
      <c r="AN2511">
        <v>0</v>
      </c>
      <c r="AO2511">
        <v>0</v>
      </c>
      <c r="AP2511">
        <v>0</v>
      </c>
      <c r="AQ2511">
        <v>23.09</v>
      </c>
      <c r="AR2511">
        <v>0</v>
      </c>
      <c r="AS2511">
        <v>0</v>
      </c>
      <c r="AT2511">
        <v>0</v>
      </c>
      <c r="AU2511">
        <v>0</v>
      </c>
      <c r="AV2511">
        <v>0</v>
      </c>
      <c r="AW2511">
        <v>0</v>
      </c>
      <c r="AX2511">
        <v>0</v>
      </c>
      <c r="AY2511">
        <v>0</v>
      </c>
      <c r="AZ2511">
        <v>0</v>
      </c>
      <c r="BA2511">
        <v>0</v>
      </c>
      <c r="BB2511">
        <v>0</v>
      </c>
      <c r="BC2511">
        <v>0</v>
      </c>
      <c r="BD2511">
        <v>0</v>
      </c>
      <c r="BE2511">
        <v>0</v>
      </c>
      <c r="BF2511">
        <v>0</v>
      </c>
      <c r="BG2511">
        <v>0</v>
      </c>
      <c r="BH2511">
        <v>1</v>
      </c>
      <c r="BI2511">
        <v>1</v>
      </c>
      <c r="BJ2511">
        <v>1.1000000000000001</v>
      </c>
      <c r="BK2511">
        <v>1.5</v>
      </c>
      <c r="BL2511">
        <v>71.69</v>
      </c>
      <c r="BM2511">
        <v>10.75</v>
      </c>
      <c r="BN2511">
        <v>82.44</v>
      </c>
      <c r="BO2511">
        <v>82.44</v>
      </c>
      <c r="BQ2511" t="s">
        <v>220</v>
      </c>
      <c r="BR2511" t="s">
        <v>84</v>
      </c>
      <c r="BS2511" s="3">
        <v>45888</v>
      </c>
      <c r="BT2511" s="4">
        <v>0.32916666666666666</v>
      </c>
      <c r="BU2511" t="s">
        <v>2366</v>
      </c>
      <c r="BV2511" t="s">
        <v>86</v>
      </c>
      <c r="BY2511">
        <v>5320</v>
      </c>
      <c r="CA2511" t="s">
        <v>566</v>
      </c>
      <c r="CC2511" t="s">
        <v>218</v>
      </c>
      <c r="CD2511">
        <v>4051</v>
      </c>
      <c r="CE2511" t="s">
        <v>147</v>
      </c>
      <c r="CI2511">
        <v>1</v>
      </c>
      <c r="CJ2511">
        <v>1</v>
      </c>
      <c r="CK2511">
        <v>21</v>
      </c>
      <c r="CL2511" t="s">
        <v>90</v>
      </c>
    </row>
    <row r="2512" spans="1:90" x14ac:dyDescent="0.3">
      <c r="A2512" t="s">
        <v>72</v>
      </c>
      <c r="B2512" t="s">
        <v>73</v>
      </c>
      <c r="C2512" t="s">
        <v>74</v>
      </c>
      <c r="E2512" t="str">
        <f>"080067299137"</f>
        <v>080067299137</v>
      </c>
      <c r="F2512" s="3">
        <v>45887</v>
      </c>
      <c r="G2512">
        <v>202605</v>
      </c>
      <c r="H2512" t="s">
        <v>75</v>
      </c>
      <c r="I2512" t="s">
        <v>76</v>
      </c>
      <c r="J2512" t="s">
        <v>77</v>
      </c>
      <c r="K2512" t="s">
        <v>78</v>
      </c>
      <c r="L2512" t="s">
        <v>223</v>
      </c>
      <c r="M2512" t="s">
        <v>224</v>
      </c>
      <c r="N2512" t="s">
        <v>225</v>
      </c>
      <c r="O2512" t="s">
        <v>82</v>
      </c>
      <c r="P2512" t="str">
        <f>"4170055315                    "</f>
        <v xml:space="preserve">4170055315                    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0</v>
      </c>
      <c r="AI2512">
        <v>0</v>
      </c>
      <c r="AJ2512">
        <v>0</v>
      </c>
      <c r="AK2512">
        <v>0</v>
      </c>
      <c r="AL2512">
        <v>0</v>
      </c>
      <c r="AM2512">
        <v>0</v>
      </c>
      <c r="AN2512">
        <v>0</v>
      </c>
      <c r="AO2512">
        <v>0</v>
      </c>
      <c r="AP2512">
        <v>0</v>
      </c>
      <c r="AQ2512">
        <v>23.09</v>
      </c>
      <c r="AR2512">
        <v>0</v>
      </c>
      <c r="AS2512">
        <v>0</v>
      </c>
      <c r="AT2512">
        <v>0</v>
      </c>
      <c r="AU2512">
        <v>0</v>
      </c>
      <c r="AV2512">
        <v>0</v>
      </c>
      <c r="AW2512">
        <v>0</v>
      </c>
      <c r="AX2512">
        <v>0</v>
      </c>
      <c r="AY2512">
        <v>0</v>
      </c>
      <c r="AZ2512">
        <v>0</v>
      </c>
      <c r="BA2512">
        <v>0</v>
      </c>
      <c r="BB2512">
        <v>0</v>
      </c>
      <c r="BC2512">
        <v>0</v>
      </c>
      <c r="BD2512">
        <v>0</v>
      </c>
      <c r="BE2512">
        <v>0</v>
      </c>
      <c r="BF2512">
        <v>0</v>
      </c>
      <c r="BG2512">
        <v>0</v>
      </c>
      <c r="BH2512">
        <v>1</v>
      </c>
      <c r="BI2512">
        <v>1</v>
      </c>
      <c r="BJ2512">
        <v>0.2</v>
      </c>
      <c r="BK2512">
        <v>1</v>
      </c>
      <c r="BL2512">
        <v>71.69</v>
      </c>
      <c r="BM2512">
        <v>10.75</v>
      </c>
      <c r="BN2512">
        <v>82.44</v>
      </c>
      <c r="BO2512">
        <v>82.44</v>
      </c>
      <c r="BQ2512" t="s">
        <v>226</v>
      </c>
      <c r="BR2512" t="s">
        <v>84</v>
      </c>
      <c r="BS2512" t="s">
        <v>96</v>
      </c>
      <c r="BY2512">
        <v>1200</v>
      </c>
      <c r="CC2512" t="s">
        <v>224</v>
      </c>
      <c r="CD2512">
        <v>5201</v>
      </c>
      <c r="CE2512" t="s">
        <v>109</v>
      </c>
      <c r="CI2512">
        <v>1</v>
      </c>
      <c r="CJ2512" t="s">
        <v>96</v>
      </c>
      <c r="CK2512">
        <v>21</v>
      </c>
      <c r="CL2512" t="s">
        <v>90</v>
      </c>
    </row>
    <row r="2513" spans="1:90" x14ac:dyDescent="0.3">
      <c r="A2513" t="s">
        <v>72</v>
      </c>
      <c r="B2513" t="s">
        <v>73</v>
      </c>
      <c r="C2513" t="s">
        <v>74</v>
      </c>
      <c r="E2513" t="str">
        <f>"080067299212"</f>
        <v>080067299212</v>
      </c>
      <c r="F2513" s="3">
        <v>45887</v>
      </c>
      <c r="G2513">
        <v>202605</v>
      </c>
      <c r="H2513" t="s">
        <v>75</v>
      </c>
      <c r="I2513" t="s">
        <v>76</v>
      </c>
      <c r="J2513" t="s">
        <v>77</v>
      </c>
      <c r="K2513" t="s">
        <v>78</v>
      </c>
      <c r="L2513" t="s">
        <v>156</v>
      </c>
      <c r="M2513" t="s">
        <v>157</v>
      </c>
      <c r="N2513" t="s">
        <v>1129</v>
      </c>
      <c r="O2513" t="s">
        <v>82</v>
      </c>
      <c r="P2513" t="str">
        <f>"4170055311                    "</f>
        <v xml:space="preserve">4170055311                    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0</v>
      </c>
      <c r="AL2513">
        <v>0</v>
      </c>
      <c r="AM2513">
        <v>0</v>
      </c>
      <c r="AN2513">
        <v>0</v>
      </c>
      <c r="AO2513">
        <v>0</v>
      </c>
      <c r="AP2513">
        <v>0</v>
      </c>
      <c r="AQ2513">
        <v>18.03</v>
      </c>
      <c r="AR2513">
        <v>0</v>
      </c>
      <c r="AS2513">
        <v>0</v>
      </c>
      <c r="AT2513">
        <v>0</v>
      </c>
      <c r="AU2513">
        <v>0</v>
      </c>
      <c r="AV2513">
        <v>0</v>
      </c>
      <c r="AW2513">
        <v>0</v>
      </c>
      <c r="AX2513">
        <v>0</v>
      </c>
      <c r="AY2513">
        <v>0</v>
      </c>
      <c r="AZ2513">
        <v>0</v>
      </c>
      <c r="BA2513">
        <v>0</v>
      </c>
      <c r="BB2513">
        <v>0</v>
      </c>
      <c r="BC2513">
        <v>0</v>
      </c>
      <c r="BD2513">
        <v>0</v>
      </c>
      <c r="BE2513">
        <v>0</v>
      </c>
      <c r="BF2513">
        <v>0</v>
      </c>
      <c r="BG2513">
        <v>0</v>
      </c>
      <c r="BH2513">
        <v>1</v>
      </c>
      <c r="BI2513">
        <v>1</v>
      </c>
      <c r="BJ2513">
        <v>0.2</v>
      </c>
      <c r="BK2513">
        <v>1</v>
      </c>
      <c r="BL2513">
        <v>55.99</v>
      </c>
      <c r="BM2513">
        <v>8.4</v>
      </c>
      <c r="BN2513">
        <v>64.39</v>
      </c>
      <c r="BO2513">
        <v>64.39</v>
      </c>
      <c r="BQ2513" t="s">
        <v>1205</v>
      </c>
      <c r="BR2513" t="s">
        <v>84</v>
      </c>
      <c r="BS2513" s="3">
        <v>45888</v>
      </c>
      <c r="BT2513" s="4">
        <v>0.39305555555555555</v>
      </c>
      <c r="BU2513" t="s">
        <v>1131</v>
      </c>
      <c r="BV2513" t="s">
        <v>86</v>
      </c>
      <c r="BY2513">
        <v>1200</v>
      </c>
      <c r="CA2513" t="s">
        <v>1133</v>
      </c>
      <c r="CC2513" t="s">
        <v>157</v>
      </c>
      <c r="CD2513">
        <v>1724</v>
      </c>
      <c r="CE2513" t="s">
        <v>109</v>
      </c>
      <c r="CI2513">
        <v>1</v>
      </c>
      <c r="CJ2513">
        <v>1</v>
      </c>
      <c r="CK2513">
        <v>22</v>
      </c>
      <c r="CL2513" t="s">
        <v>90</v>
      </c>
    </row>
    <row r="2514" spans="1:90" x14ac:dyDescent="0.3">
      <c r="A2514" t="s">
        <v>72</v>
      </c>
      <c r="B2514" t="s">
        <v>73</v>
      </c>
      <c r="C2514" t="s">
        <v>74</v>
      </c>
      <c r="E2514" t="str">
        <f>"080067299683"</f>
        <v>080067299683</v>
      </c>
      <c r="F2514" s="3">
        <v>45887</v>
      </c>
      <c r="G2514">
        <v>202605</v>
      </c>
      <c r="H2514" t="s">
        <v>75</v>
      </c>
      <c r="I2514" t="s">
        <v>76</v>
      </c>
      <c r="J2514" t="s">
        <v>77</v>
      </c>
      <c r="K2514" t="s">
        <v>78</v>
      </c>
      <c r="L2514" t="s">
        <v>325</v>
      </c>
      <c r="M2514" t="s">
        <v>326</v>
      </c>
      <c r="N2514" t="s">
        <v>1265</v>
      </c>
      <c r="O2514" t="s">
        <v>113</v>
      </c>
      <c r="P2514" t="str">
        <f>"4170055339                    "</f>
        <v xml:space="preserve">4170055339                    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0</v>
      </c>
      <c r="AI2514">
        <v>0</v>
      </c>
      <c r="AJ2514">
        <v>0</v>
      </c>
      <c r="AK2514">
        <v>0</v>
      </c>
      <c r="AL2514">
        <v>0</v>
      </c>
      <c r="AM2514">
        <v>0</v>
      </c>
      <c r="AN2514">
        <v>0</v>
      </c>
      <c r="AO2514">
        <v>0</v>
      </c>
      <c r="AP2514">
        <v>0</v>
      </c>
      <c r="AQ2514">
        <v>28.15</v>
      </c>
      <c r="AR2514">
        <v>0</v>
      </c>
      <c r="AS2514">
        <v>0</v>
      </c>
      <c r="AT2514">
        <v>0</v>
      </c>
      <c r="AU2514">
        <v>0</v>
      </c>
      <c r="AV2514">
        <v>0</v>
      </c>
      <c r="AW2514">
        <v>0</v>
      </c>
      <c r="AX2514">
        <v>0</v>
      </c>
      <c r="AY2514">
        <v>0</v>
      </c>
      <c r="AZ2514">
        <v>0</v>
      </c>
      <c r="BA2514">
        <v>0</v>
      </c>
      <c r="BB2514">
        <v>0</v>
      </c>
      <c r="BC2514">
        <v>0</v>
      </c>
      <c r="BD2514">
        <v>0</v>
      </c>
      <c r="BE2514">
        <v>0</v>
      </c>
      <c r="BF2514">
        <v>0</v>
      </c>
      <c r="BG2514">
        <v>0</v>
      </c>
      <c r="BH2514">
        <v>1</v>
      </c>
      <c r="BI2514">
        <v>5</v>
      </c>
      <c r="BJ2514">
        <v>12.5</v>
      </c>
      <c r="BK2514">
        <v>13</v>
      </c>
      <c r="BL2514">
        <v>87.42</v>
      </c>
      <c r="BM2514">
        <v>13.11</v>
      </c>
      <c r="BN2514">
        <v>100.53</v>
      </c>
      <c r="BO2514">
        <v>100.53</v>
      </c>
      <c r="BQ2514" t="s">
        <v>1266</v>
      </c>
      <c r="BR2514" t="s">
        <v>84</v>
      </c>
      <c r="BS2514" t="s">
        <v>96</v>
      </c>
      <c r="BY2514">
        <v>62400</v>
      </c>
      <c r="CC2514" t="s">
        <v>326</v>
      </c>
      <c r="CD2514">
        <v>2000</v>
      </c>
      <c r="CE2514" t="s">
        <v>147</v>
      </c>
      <c r="CI2514">
        <v>1</v>
      </c>
      <c r="CJ2514" t="s">
        <v>96</v>
      </c>
      <c r="CK2514">
        <v>32</v>
      </c>
      <c r="CL2514" t="s">
        <v>90</v>
      </c>
    </row>
    <row r="2515" spans="1:90" x14ac:dyDescent="0.3">
      <c r="A2515" t="s">
        <v>72</v>
      </c>
      <c r="B2515" t="s">
        <v>73</v>
      </c>
      <c r="C2515" t="s">
        <v>74</v>
      </c>
      <c r="E2515" t="str">
        <f>"080067299771"</f>
        <v>080067299771</v>
      </c>
      <c r="F2515" s="3">
        <v>45887</v>
      </c>
      <c r="G2515">
        <v>202605</v>
      </c>
      <c r="H2515" t="s">
        <v>75</v>
      </c>
      <c r="I2515" t="s">
        <v>76</v>
      </c>
      <c r="J2515" t="s">
        <v>77</v>
      </c>
      <c r="K2515" t="s">
        <v>78</v>
      </c>
      <c r="L2515" t="s">
        <v>75</v>
      </c>
      <c r="M2515" t="s">
        <v>76</v>
      </c>
      <c r="N2515" t="s">
        <v>1023</v>
      </c>
      <c r="O2515" t="s">
        <v>82</v>
      </c>
      <c r="P2515" t="str">
        <f>"4170055321                    "</f>
        <v xml:space="preserve">4170055321                    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0</v>
      </c>
      <c r="AI2515">
        <v>0</v>
      </c>
      <c r="AJ2515">
        <v>0</v>
      </c>
      <c r="AK2515">
        <v>0</v>
      </c>
      <c r="AL2515">
        <v>0</v>
      </c>
      <c r="AM2515">
        <v>0</v>
      </c>
      <c r="AN2515">
        <v>0</v>
      </c>
      <c r="AO2515">
        <v>0</v>
      </c>
      <c r="AP2515">
        <v>0</v>
      </c>
      <c r="AQ2515">
        <v>18.03</v>
      </c>
      <c r="AR2515">
        <v>0</v>
      </c>
      <c r="AS2515">
        <v>0</v>
      </c>
      <c r="AT2515">
        <v>0</v>
      </c>
      <c r="AU2515">
        <v>0</v>
      </c>
      <c r="AV2515">
        <v>0</v>
      </c>
      <c r="AW2515">
        <v>0</v>
      </c>
      <c r="AX2515">
        <v>0</v>
      </c>
      <c r="AY2515">
        <v>0</v>
      </c>
      <c r="AZ2515">
        <v>0</v>
      </c>
      <c r="BA2515">
        <v>0</v>
      </c>
      <c r="BB2515">
        <v>0</v>
      </c>
      <c r="BC2515">
        <v>0</v>
      </c>
      <c r="BD2515">
        <v>0</v>
      </c>
      <c r="BE2515">
        <v>0</v>
      </c>
      <c r="BF2515">
        <v>0</v>
      </c>
      <c r="BG2515">
        <v>0</v>
      </c>
      <c r="BH2515">
        <v>1</v>
      </c>
      <c r="BI2515">
        <v>3</v>
      </c>
      <c r="BJ2515">
        <v>1.4</v>
      </c>
      <c r="BK2515">
        <v>3</v>
      </c>
      <c r="BL2515">
        <v>55.99</v>
      </c>
      <c r="BM2515">
        <v>8.4</v>
      </c>
      <c r="BN2515">
        <v>64.39</v>
      </c>
      <c r="BO2515">
        <v>64.39</v>
      </c>
      <c r="BQ2515" t="s">
        <v>1024</v>
      </c>
      <c r="BR2515" t="s">
        <v>84</v>
      </c>
      <c r="BS2515" s="3">
        <v>45888</v>
      </c>
      <c r="BT2515" s="4">
        <v>0.38263888888888886</v>
      </c>
      <c r="BU2515" t="s">
        <v>1025</v>
      </c>
      <c r="BV2515" t="s">
        <v>86</v>
      </c>
      <c r="BY2515">
        <v>7000</v>
      </c>
      <c r="CA2515" t="s">
        <v>1026</v>
      </c>
      <c r="CC2515" t="s">
        <v>76</v>
      </c>
      <c r="CD2515">
        <v>1614</v>
      </c>
      <c r="CE2515" t="s">
        <v>147</v>
      </c>
      <c r="CI2515">
        <v>1</v>
      </c>
      <c r="CJ2515">
        <v>1</v>
      </c>
      <c r="CK2515">
        <v>22</v>
      </c>
      <c r="CL2515" t="s">
        <v>90</v>
      </c>
    </row>
    <row r="2516" spans="1:90" x14ac:dyDescent="0.3">
      <c r="A2516" t="s">
        <v>72</v>
      </c>
      <c r="B2516" t="s">
        <v>73</v>
      </c>
      <c r="C2516" t="s">
        <v>74</v>
      </c>
      <c r="E2516" t="str">
        <f>"080067299883"</f>
        <v>080067299883</v>
      </c>
      <c r="F2516" s="3">
        <v>45887</v>
      </c>
      <c r="G2516">
        <v>202605</v>
      </c>
      <c r="H2516" t="s">
        <v>75</v>
      </c>
      <c r="I2516" t="s">
        <v>76</v>
      </c>
      <c r="J2516" t="s">
        <v>77</v>
      </c>
      <c r="K2516" t="s">
        <v>78</v>
      </c>
      <c r="L2516" t="s">
        <v>75</v>
      </c>
      <c r="M2516" t="s">
        <v>76</v>
      </c>
      <c r="N2516" t="s">
        <v>1023</v>
      </c>
      <c r="O2516" t="s">
        <v>82</v>
      </c>
      <c r="P2516" t="str">
        <f>"4170055320                    "</f>
        <v xml:space="preserve">4170055320                    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0</v>
      </c>
      <c r="AI2516">
        <v>0</v>
      </c>
      <c r="AJ2516">
        <v>0</v>
      </c>
      <c r="AK2516">
        <v>0</v>
      </c>
      <c r="AL2516">
        <v>0</v>
      </c>
      <c r="AM2516">
        <v>0</v>
      </c>
      <c r="AN2516">
        <v>0</v>
      </c>
      <c r="AO2516">
        <v>0</v>
      </c>
      <c r="AP2516">
        <v>0</v>
      </c>
      <c r="AQ2516">
        <v>18.03</v>
      </c>
      <c r="AR2516">
        <v>0</v>
      </c>
      <c r="AS2516">
        <v>0</v>
      </c>
      <c r="AT2516">
        <v>0</v>
      </c>
      <c r="AU2516">
        <v>0</v>
      </c>
      <c r="AV2516">
        <v>0</v>
      </c>
      <c r="AW2516">
        <v>0</v>
      </c>
      <c r="AX2516">
        <v>0</v>
      </c>
      <c r="AY2516">
        <v>0</v>
      </c>
      <c r="AZ2516">
        <v>0</v>
      </c>
      <c r="BA2516">
        <v>0</v>
      </c>
      <c r="BB2516">
        <v>0</v>
      </c>
      <c r="BC2516">
        <v>0</v>
      </c>
      <c r="BD2516">
        <v>0</v>
      </c>
      <c r="BE2516">
        <v>0</v>
      </c>
      <c r="BF2516">
        <v>0</v>
      </c>
      <c r="BG2516">
        <v>0</v>
      </c>
      <c r="BH2516">
        <v>1</v>
      </c>
      <c r="BI2516">
        <v>3</v>
      </c>
      <c r="BJ2516">
        <v>1.3</v>
      </c>
      <c r="BK2516">
        <v>3</v>
      </c>
      <c r="BL2516">
        <v>55.99</v>
      </c>
      <c r="BM2516">
        <v>8.4</v>
      </c>
      <c r="BN2516">
        <v>64.39</v>
      </c>
      <c r="BO2516">
        <v>64.39</v>
      </c>
      <c r="BQ2516" t="s">
        <v>1024</v>
      </c>
      <c r="BR2516" t="s">
        <v>84</v>
      </c>
      <c r="BS2516" s="3">
        <v>45888</v>
      </c>
      <c r="BT2516" s="4">
        <v>0.38263888888888886</v>
      </c>
      <c r="BU2516" t="s">
        <v>1025</v>
      </c>
      <c r="BV2516" t="s">
        <v>86</v>
      </c>
      <c r="BY2516">
        <v>6384</v>
      </c>
      <c r="CA2516" t="s">
        <v>1026</v>
      </c>
      <c r="CC2516" t="s">
        <v>76</v>
      </c>
      <c r="CD2516">
        <v>1614</v>
      </c>
      <c r="CE2516" t="s">
        <v>147</v>
      </c>
      <c r="CI2516">
        <v>1</v>
      </c>
      <c r="CJ2516">
        <v>1</v>
      </c>
      <c r="CK2516">
        <v>22</v>
      </c>
      <c r="CL2516" t="s">
        <v>90</v>
      </c>
    </row>
    <row r="2517" spans="1:90" x14ac:dyDescent="0.3">
      <c r="A2517" t="s">
        <v>72</v>
      </c>
      <c r="B2517" t="s">
        <v>73</v>
      </c>
      <c r="C2517" t="s">
        <v>74</v>
      </c>
      <c r="E2517" t="str">
        <f>"080067299975"</f>
        <v>080067299975</v>
      </c>
      <c r="F2517" s="3">
        <v>45887</v>
      </c>
      <c r="G2517">
        <v>202605</v>
      </c>
      <c r="H2517" t="s">
        <v>75</v>
      </c>
      <c r="I2517" t="s">
        <v>76</v>
      </c>
      <c r="J2517" t="s">
        <v>77</v>
      </c>
      <c r="K2517" t="s">
        <v>78</v>
      </c>
      <c r="L2517" t="s">
        <v>325</v>
      </c>
      <c r="M2517" t="s">
        <v>326</v>
      </c>
      <c r="N2517" t="s">
        <v>1055</v>
      </c>
      <c r="O2517" t="s">
        <v>82</v>
      </c>
      <c r="P2517" t="str">
        <f>"4170055310                    "</f>
        <v xml:space="preserve">4170055310                    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0</v>
      </c>
      <c r="AI2517">
        <v>0</v>
      </c>
      <c r="AJ2517">
        <v>0</v>
      </c>
      <c r="AK2517">
        <v>0</v>
      </c>
      <c r="AL2517">
        <v>0</v>
      </c>
      <c r="AM2517">
        <v>0</v>
      </c>
      <c r="AN2517">
        <v>0</v>
      </c>
      <c r="AO2517">
        <v>0</v>
      </c>
      <c r="AP2517">
        <v>0</v>
      </c>
      <c r="AQ2517">
        <v>18.03</v>
      </c>
      <c r="AR2517">
        <v>0</v>
      </c>
      <c r="AS2517">
        <v>0</v>
      </c>
      <c r="AT2517">
        <v>0</v>
      </c>
      <c r="AU2517">
        <v>0</v>
      </c>
      <c r="AV2517">
        <v>0</v>
      </c>
      <c r="AW2517">
        <v>0</v>
      </c>
      <c r="AX2517">
        <v>0</v>
      </c>
      <c r="AY2517">
        <v>0</v>
      </c>
      <c r="AZ2517">
        <v>0</v>
      </c>
      <c r="BA2517">
        <v>0</v>
      </c>
      <c r="BB2517">
        <v>0</v>
      </c>
      <c r="BC2517">
        <v>0</v>
      </c>
      <c r="BD2517">
        <v>0</v>
      </c>
      <c r="BE2517">
        <v>0</v>
      </c>
      <c r="BF2517">
        <v>0</v>
      </c>
      <c r="BG2517">
        <v>0</v>
      </c>
      <c r="BH2517">
        <v>1</v>
      </c>
      <c r="BI2517">
        <v>2</v>
      </c>
      <c r="BJ2517">
        <v>1.7</v>
      </c>
      <c r="BK2517">
        <v>2</v>
      </c>
      <c r="BL2517">
        <v>55.99</v>
      </c>
      <c r="BM2517">
        <v>8.4</v>
      </c>
      <c r="BN2517">
        <v>64.39</v>
      </c>
      <c r="BO2517">
        <v>64.39</v>
      </c>
      <c r="BQ2517" t="s">
        <v>1056</v>
      </c>
      <c r="BR2517" t="s">
        <v>84</v>
      </c>
      <c r="BS2517" t="s">
        <v>96</v>
      </c>
      <c r="BY2517">
        <v>8512</v>
      </c>
      <c r="CC2517" t="s">
        <v>326</v>
      </c>
      <c r="CD2517">
        <v>2094</v>
      </c>
      <c r="CE2517" t="s">
        <v>147</v>
      </c>
      <c r="CI2517">
        <v>1</v>
      </c>
      <c r="CJ2517" t="s">
        <v>96</v>
      </c>
      <c r="CK2517">
        <v>22</v>
      </c>
      <c r="CL2517" t="s">
        <v>90</v>
      </c>
    </row>
    <row r="2518" spans="1:90" x14ac:dyDescent="0.3">
      <c r="A2518" t="s">
        <v>72</v>
      </c>
      <c r="B2518" t="s">
        <v>73</v>
      </c>
      <c r="C2518" t="s">
        <v>74</v>
      </c>
      <c r="E2518" t="str">
        <f>"080067300069"</f>
        <v>080067300069</v>
      </c>
      <c r="F2518" s="3">
        <v>45887</v>
      </c>
      <c r="G2518">
        <v>202605</v>
      </c>
      <c r="H2518" t="s">
        <v>75</v>
      </c>
      <c r="I2518" t="s">
        <v>76</v>
      </c>
      <c r="J2518" t="s">
        <v>77</v>
      </c>
      <c r="K2518" t="s">
        <v>78</v>
      </c>
      <c r="L2518" t="s">
        <v>278</v>
      </c>
      <c r="M2518" t="s">
        <v>279</v>
      </c>
      <c r="N2518" t="s">
        <v>880</v>
      </c>
      <c r="O2518" t="s">
        <v>82</v>
      </c>
      <c r="P2518" t="str">
        <f>"4170055325                    "</f>
        <v xml:space="preserve">4170055325                    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0</v>
      </c>
      <c r="AI2518">
        <v>0</v>
      </c>
      <c r="AJ2518">
        <v>0</v>
      </c>
      <c r="AK2518">
        <v>0</v>
      </c>
      <c r="AL2518">
        <v>0</v>
      </c>
      <c r="AM2518">
        <v>0</v>
      </c>
      <c r="AN2518">
        <v>0</v>
      </c>
      <c r="AO2518">
        <v>0</v>
      </c>
      <c r="AP2518">
        <v>0</v>
      </c>
      <c r="AQ2518">
        <v>23.09</v>
      </c>
      <c r="AR2518">
        <v>0</v>
      </c>
      <c r="AS2518">
        <v>0</v>
      </c>
      <c r="AT2518">
        <v>0</v>
      </c>
      <c r="AU2518">
        <v>0</v>
      </c>
      <c r="AV2518">
        <v>0</v>
      </c>
      <c r="AW2518">
        <v>0</v>
      </c>
      <c r="AX2518">
        <v>0</v>
      </c>
      <c r="AY2518">
        <v>0</v>
      </c>
      <c r="AZ2518">
        <v>0</v>
      </c>
      <c r="BA2518">
        <v>0</v>
      </c>
      <c r="BB2518">
        <v>0</v>
      </c>
      <c r="BC2518">
        <v>0</v>
      </c>
      <c r="BD2518">
        <v>0</v>
      </c>
      <c r="BE2518">
        <v>0</v>
      </c>
      <c r="BF2518">
        <v>0</v>
      </c>
      <c r="BG2518">
        <v>0</v>
      </c>
      <c r="BH2518">
        <v>1</v>
      </c>
      <c r="BI2518">
        <v>1</v>
      </c>
      <c r="BJ2518">
        <v>0.2</v>
      </c>
      <c r="BK2518">
        <v>1</v>
      </c>
      <c r="BL2518">
        <v>71.69</v>
      </c>
      <c r="BM2518">
        <v>10.75</v>
      </c>
      <c r="BN2518">
        <v>82.44</v>
      </c>
      <c r="BO2518">
        <v>82.44</v>
      </c>
      <c r="BQ2518" t="s">
        <v>881</v>
      </c>
      <c r="BR2518" t="s">
        <v>84</v>
      </c>
      <c r="BS2518" s="3">
        <v>45888</v>
      </c>
      <c r="BT2518" s="4">
        <v>0.39444444444444443</v>
      </c>
      <c r="BU2518" t="s">
        <v>2066</v>
      </c>
      <c r="BV2518" t="s">
        <v>86</v>
      </c>
      <c r="BY2518">
        <v>1200</v>
      </c>
      <c r="CA2518" t="s">
        <v>2104</v>
      </c>
      <c r="CC2518" t="s">
        <v>279</v>
      </c>
      <c r="CD2518" s="5" t="s">
        <v>883</v>
      </c>
      <c r="CE2518" t="s">
        <v>109</v>
      </c>
      <c r="CI2518">
        <v>1</v>
      </c>
      <c r="CJ2518">
        <v>1</v>
      </c>
      <c r="CK2518">
        <v>21</v>
      </c>
      <c r="CL2518" t="s">
        <v>90</v>
      </c>
    </row>
    <row r="2519" spans="1:90" x14ac:dyDescent="0.3">
      <c r="A2519" t="s">
        <v>72</v>
      </c>
      <c r="B2519" t="s">
        <v>73</v>
      </c>
      <c r="C2519" t="s">
        <v>74</v>
      </c>
      <c r="E2519" t="str">
        <f>"080067300507"</f>
        <v>080067300507</v>
      </c>
      <c r="F2519" s="3">
        <v>45887</v>
      </c>
      <c r="G2519">
        <v>202605</v>
      </c>
      <c r="H2519" t="s">
        <v>75</v>
      </c>
      <c r="I2519" t="s">
        <v>76</v>
      </c>
      <c r="J2519" t="s">
        <v>77</v>
      </c>
      <c r="K2519" t="s">
        <v>78</v>
      </c>
      <c r="L2519" t="s">
        <v>278</v>
      </c>
      <c r="M2519" t="s">
        <v>279</v>
      </c>
      <c r="N2519" t="s">
        <v>749</v>
      </c>
      <c r="O2519" t="s">
        <v>95</v>
      </c>
      <c r="P2519" t="str">
        <f>"4170055332                    "</f>
        <v xml:space="preserve">4170055332                    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0</v>
      </c>
      <c r="AI2519">
        <v>0</v>
      </c>
      <c r="AJ2519">
        <v>0</v>
      </c>
      <c r="AK2519">
        <v>0</v>
      </c>
      <c r="AL2519">
        <v>0</v>
      </c>
      <c r="AM2519">
        <v>0</v>
      </c>
      <c r="AN2519">
        <v>0</v>
      </c>
      <c r="AO2519">
        <v>0</v>
      </c>
      <c r="AP2519">
        <v>0</v>
      </c>
      <c r="AQ2519">
        <v>101.77</v>
      </c>
      <c r="AR2519">
        <v>0</v>
      </c>
      <c r="AS2519">
        <v>0</v>
      </c>
      <c r="AT2519">
        <v>0</v>
      </c>
      <c r="AU2519">
        <v>0</v>
      </c>
      <c r="AV2519">
        <v>0</v>
      </c>
      <c r="AW2519">
        <v>0</v>
      </c>
      <c r="AX2519">
        <v>0</v>
      </c>
      <c r="AY2519">
        <v>0</v>
      </c>
      <c r="AZ2519">
        <v>0</v>
      </c>
      <c r="BA2519">
        <v>0</v>
      </c>
      <c r="BB2519">
        <v>0</v>
      </c>
      <c r="BC2519">
        <v>0</v>
      </c>
      <c r="BD2519">
        <v>0</v>
      </c>
      <c r="BE2519">
        <v>0</v>
      </c>
      <c r="BF2519">
        <v>0</v>
      </c>
      <c r="BG2519">
        <v>0</v>
      </c>
      <c r="BH2519">
        <v>3</v>
      </c>
      <c r="BI2519">
        <v>46</v>
      </c>
      <c r="BJ2519">
        <v>31.9</v>
      </c>
      <c r="BK2519">
        <v>46</v>
      </c>
      <c r="BL2519">
        <v>321.89999999999998</v>
      </c>
      <c r="BM2519">
        <v>48.29</v>
      </c>
      <c r="BN2519">
        <v>370.19</v>
      </c>
      <c r="BO2519">
        <v>370.19</v>
      </c>
      <c r="BQ2519" t="s">
        <v>750</v>
      </c>
      <c r="BR2519" t="s">
        <v>84</v>
      </c>
      <c r="BS2519" t="s">
        <v>96</v>
      </c>
      <c r="BY2519">
        <v>159530</v>
      </c>
      <c r="CC2519" t="s">
        <v>279</v>
      </c>
      <c r="CD2519" s="5" t="s">
        <v>753</v>
      </c>
      <c r="CE2519" t="s">
        <v>147</v>
      </c>
      <c r="CI2519">
        <v>1</v>
      </c>
      <c r="CJ2519" t="s">
        <v>96</v>
      </c>
      <c r="CK2519">
        <v>41</v>
      </c>
      <c r="CL2519" t="s">
        <v>90</v>
      </c>
    </row>
    <row r="2520" spans="1:90" x14ac:dyDescent="0.3">
      <c r="A2520" t="s">
        <v>72</v>
      </c>
      <c r="B2520" t="s">
        <v>73</v>
      </c>
      <c r="C2520" t="s">
        <v>74</v>
      </c>
      <c r="E2520" t="str">
        <f>"080067300569"</f>
        <v>080067300569</v>
      </c>
      <c r="F2520" s="3">
        <v>45887</v>
      </c>
      <c r="G2520">
        <v>202605</v>
      </c>
      <c r="H2520" t="s">
        <v>75</v>
      </c>
      <c r="I2520" t="s">
        <v>76</v>
      </c>
      <c r="J2520" t="s">
        <v>77</v>
      </c>
      <c r="K2520" t="s">
        <v>78</v>
      </c>
      <c r="L2520" t="s">
        <v>278</v>
      </c>
      <c r="M2520" t="s">
        <v>279</v>
      </c>
      <c r="N2520" t="s">
        <v>280</v>
      </c>
      <c r="O2520" t="s">
        <v>95</v>
      </c>
      <c r="P2520" t="str">
        <f>"4170055326                    "</f>
        <v xml:space="preserve">4170055326                    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0</v>
      </c>
      <c r="AI2520">
        <v>0</v>
      </c>
      <c r="AJ2520">
        <v>0</v>
      </c>
      <c r="AK2520">
        <v>0</v>
      </c>
      <c r="AL2520">
        <v>0</v>
      </c>
      <c r="AM2520">
        <v>0</v>
      </c>
      <c r="AN2520">
        <v>0</v>
      </c>
      <c r="AO2520">
        <v>0</v>
      </c>
      <c r="AP2520">
        <v>0</v>
      </c>
      <c r="AQ2520">
        <v>55.7</v>
      </c>
      <c r="AR2520">
        <v>0</v>
      </c>
      <c r="AS2520">
        <v>0</v>
      </c>
      <c r="AT2520">
        <v>0</v>
      </c>
      <c r="AU2520">
        <v>0</v>
      </c>
      <c r="AV2520">
        <v>0</v>
      </c>
      <c r="AW2520">
        <v>0</v>
      </c>
      <c r="AX2520">
        <v>0</v>
      </c>
      <c r="AY2520">
        <v>0</v>
      </c>
      <c r="AZ2520">
        <v>0</v>
      </c>
      <c r="BA2520">
        <v>0</v>
      </c>
      <c r="BB2520">
        <v>0</v>
      </c>
      <c r="BC2520">
        <v>0</v>
      </c>
      <c r="BD2520">
        <v>0</v>
      </c>
      <c r="BE2520">
        <v>0</v>
      </c>
      <c r="BF2520">
        <v>0</v>
      </c>
      <c r="BG2520">
        <v>0</v>
      </c>
      <c r="BH2520">
        <v>1</v>
      </c>
      <c r="BI2520">
        <v>21</v>
      </c>
      <c r="BJ2520">
        <v>11</v>
      </c>
      <c r="BK2520">
        <v>21</v>
      </c>
      <c r="BL2520">
        <v>178.83</v>
      </c>
      <c r="BM2520">
        <v>26.82</v>
      </c>
      <c r="BN2520">
        <v>205.65</v>
      </c>
      <c r="BO2520">
        <v>205.65</v>
      </c>
      <c r="BQ2520" t="s">
        <v>281</v>
      </c>
      <c r="BR2520" t="s">
        <v>84</v>
      </c>
      <c r="BS2520" t="s">
        <v>96</v>
      </c>
      <c r="BY2520">
        <v>55200</v>
      </c>
      <c r="CC2520" t="s">
        <v>279</v>
      </c>
      <c r="CD2520" s="5" t="s">
        <v>284</v>
      </c>
      <c r="CE2520" t="s">
        <v>147</v>
      </c>
      <c r="CI2520">
        <v>1</v>
      </c>
      <c r="CJ2520" t="s">
        <v>96</v>
      </c>
      <c r="CK2520">
        <v>41</v>
      </c>
      <c r="CL2520" t="s">
        <v>90</v>
      </c>
    </row>
    <row r="2521" spans="1:90" x14ac:dyDescent="0.3">
      <c r="A2521" t="s">
        <v>72</v>
      </c>
      <c r="B2521" t="s">
        <v>73</v>
      </c>
      <c r="C2521" t="s">
        <v>74</v>
      </c>
      <c r="E2521" t="str">
        <f>"080067300739"</f>
        <v>080067300739</v>
      </c>
      <c r="F2521" s="3">
        <v>45887</v>
      </c>
      <c r="G2521">
        <v>202605</v>
      </c>
      <c r="H2521" t="s">
        <v>75</v>
      </c>
      <c r="I2521" t="s">
        <v>76</v>
      </c>
      <c r="J2521" t="s">
        <v>77</v>
      </c>
      <c r="K2521" t="s">
        <v>78</v>
      </c>
      <c r="L2521" t="s">
        <v>241</v>
      </c>
      <c r="M2521" t="s">
        <v>242</v>
      </c>
      <c r="N2521" t="s">
        <v>2888</v>
      </c>
      <c r="O2521" t="s">
        <v>95</v>
      </c>
      <c r="P2521" t="str">
        <f>"4170055331                    "</f>
        <v xml:space="preserve">4170055331                    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0</v>
      </c>
      <c r="AL2521">
        <v>0</v>
      </c>
      <c r="AM2521">
        <v>0</v>
      </c>
      <c r="AN2521">
        <v>0</v>
      </c>
      <c r="AO2521">
        <v>0</v>
      </c>
      <c r="AP2521">
        <v>0</v>
      </c>
      <c r="AQ2521">
        <v>61.64</v>
      </c>
      <c r="AR2521">
        <v>0</v>
      </c>
      <c r="AS2521">
        <v>0</v>
      </c>
      <c r="AT2521">
        <v>0</v>
      </c>
      <c r="AU2521">
        <v>0</v>
      </c>
      <c r="AV2521">
        <v>0</v>
      </c>
      <c r="AW2521">
        <v>0</v>
      </c>
      <c r="AX2521">
        <v>0</v>
      </c>
      <c r="AY2521">
        <v>0</v>
      </c>
      <c r="AZ2521">
        <v>0</v>
      </c>
      <c r="BA2521">
        <v>0</v>
      </c>
      <c r="BB2521">
        <v>0</v>
      </c>
      <c r="BC2521">
        <v>0</v>
      </c>
      <c r="BD2521">
        <v>0</v>
      </c>
      <c r="BE2521">
        <v>0</v>
      </c>
      <c r="BF2521">
        <v>0</v>
      </c>
      <c r="BG2521">
        <v>0</v>
      </c>
      <c r="BH2521">
        <v>1</v>
      </c>
      <c r="BI2521">
        <v>42</v>
      </c>
      <c r="BJ2521">
        <v>25.6</v>
      </c>
      <c r="BK2521">
        <v>42</v>
      </c>
      <c r="BL2521">
        <v>197.27</v>
      </c>
      <c r="BM2521">
        <v>29.59</v>
      </c>
      <c r="BN2521">
        <v>226.86</v>
      </c>
      <c r="BO2521">
        <v>226.86</v>
      </c>
      <c r="BQ2521" t="s">
        <v>2889</v>
      </c>
      <c r="BR2521" t="s">
        <v>84</v>
      </c>
      <c r="BS2521" t="s">
        <v>96</v>
      </c>
      <c r="BY2521">
        <v>127920</v>
      </c>
      <c r="CC2521" t="s">
        <v>242</v>
      </c>
      <c r="CD2521">
        <v>1459</v>
      </c>
      <c r="CE2521" t="s">
        <v>1803</v>
      </c>
      <c r="CI2521">
        <v>1</v>
      </c>
      <c r="CJ2521" t="s">
        <v>96</v>
      </c>
      <c r="CK2521">
        <v>42</v>
      </c>
      <c r="CL2521" t="s">
        <v>90</v>
      </c>
    </row>
    <row r="2522" spans="1:90" x14ac:dyDescent="0.3">
      <c r="A2522" t="s">
        <v>72</v>
      </c>
      <c r="B2522" t="s">
        <v>73</v>
      </c>
      <c r="C2522" t="s">
        <v>74</v>
      </c>
      <c r="E2522" t="str">
        <f>"080011597045"</f>
        <v>080011597045</v>
      </c>
      <c r="F2522" s="3">
        <v>45887</v>
      </c>
      <c r="G2522">
        <v>202605</v>
      </c>
      <c r="H2522" t="s">
        <v>118</v>
      </c>
      <c r="I2522" t="s">
        <v>118</v>
      </c>
      <c r="J2522" t="s">
        <v>2890</v>
      </c>
      <c r="K2522" t="s">
        <v>78</v>
      </c>
      <c r="L2522" t="s">
        <v>75</v>
      </c>
      <c r="M2522" t="s">
        <v>76</v>
      </c>
      <c r="N2522" t="s">
        <v>94</v>
      </c>
      <c r="O2522" t="s">
        <v>95</v>
      </c>
      <c r="P2522" t="str">
        <f>"ZA1001402429                  "</f>
        <v xml:space="preserve">ZA1001402429                  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0</v>
      </c>
      <c r="AI2522">
        <v>0</v>
      </c>
      <c r="AJ2522">
        <v>0</v>
      </c>
      <c r="AK2522">
        <v>0</v>
      </c>
      <c r="AL2522">
        <v>0</v>
      </c>
      <c r="AM2522">
        <v>0</v>
      </c>
      <c r="AN2522">
        <v>0</v>
      </c>
      <c r="AO2522">
        <v>0</v>
      </c>
      <c r="AP2522">
        <v>0</v>
      </c>
      <c r="AQ2522">
        <v>62.96</v>
      </c>
      <c r="AR2522">
        <v>0</v>
      </c>
      <c r="AS2522">
        <v>0</v>
      </c>
      <c r="AT2522">
        <v>0</v>
      </c>
      <c r="AU2522">
        <v>0</v>
      </c>
      <c r="AV2522">
        <v>0</v>
      </c>
      <c r="AW2522">
        <v>0</v>
      </c>
      <c r="AX2522">
        <v>0</v>
      </c>
      <c r="AY2522">
        <v>0</v>
      </c>
      <c r="AZ2522">
        <v>0</v>
      </c>
      <c r="BA2522">
        <v>0</v>
      </c>
      <c r="BB2522">
        <v>0</v>
      </c>
      <c r="BC2522">
        <v>0</v>
      </c>
      <c r="BD2522">
        <v>0</v>
      </c>
      <c r="BE2522">
        <v>0</v>
      </c>
      <c r="BF2522">
        <v>0</v>
      </c>
      <c r="BG2522">
        <v>0</v>
      </c>
      <c r="BH2522">
        <v>1</v>
      </c>
      <c r="BI2522">
        <v>1.2</v>
      </c>
      <c r="BJ2522">
        <v>1.5</v>
      </c>
      <c r="BK2522">
        <v>2</v>
      </c>
      <c r="BL2522">
        <v>201.38</v>
      </c>
      <c r="BM2522">
        <v>30.21</v>
      </c>
      <c r="BN2522">
        <v>231.59</v>
      </c>
      <c r="BO2522">
        <v>231.59</v>
      </c>
      <c r="BP2522" t="s">
        <v>2891</v>
      </c>
      <c r="BQ2522" t="s">
        <v>97</v>
      </c>
      <c r="BR2522" t="s">
        <v>2892</v>
      </c>
      <c r="BS2522" t="s">
        <v>96</v>
      </c>
      <c r="BY2522">
        <v>7670.96</v>
      </c>
      <c r="BZ2522" t="s">
        <v>100</v>
      </c>
      <c r="CC2522" t="s">
        <v>76</v>
      </c>
      <c r="CD2522">
        <v>1619</v>
      </c>
      <c r="CE2522" t="s">
        <v>102</v>
      </c>
      <c r="CI2522">
        <v>3</v>
      </c>
      <c r="CJ2522" t="s">
        <v>96</v>
      </c>
      <c r="CK2522">
        <v>43</v>
      </c>
      <c r="CL2522" t="s">
        <v>90</v>
      </c>
    </row>
    <row r="2523" spans="1:90" x14ac:dyDescent="0.3">
      <c r="A2523" t="s">
        <v>72</v>
      </c>
      <c r="B2523" t="s">
        <v>73</v>
      </c>
      <c r="C2523" t="s">
        <v>74</v>
      </c>
      <c r="E2523" t="str">
        <f>"080011598485"</f>
        <v>080011598485</v>
      </c>
      <c r="F2523" s="3">
        <v>45887</v>
      </c>
      <c r="G2523">
        <v>202605</v>
      </c>
      <c r="H2523" t="s">
        <v>79</v>
      </c>
      <c r="I2523" t="s">
        <v>80</v>
      </c>
      <c r="J2523" t="s">
        <v>2893</v>
      </c>
      <c r="K2523" t="s">
        <v>78</v>
      </c>
      <c r="L2523" t="s">
        <v>75</v>
      </c>
      <c r="M2523" t="s">
        <v>76</v>
      </c>
      <c r="N2523" t="s">
        <v>94</v>
      </c>
      <c r="O2523" t="s">
        <v>82</v>
      </c>
      <c r="P2523" t="str">
        <f>"Za1001395763                  "</f>
        <v xml:space="preserve">Za1001395763                  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0</v>
      </c>
      <c r="AI2523">
        <v>0</v>
      </c>
      <c r="AJ2523">
        <v>0</v>
      </c>
      <c r="AK2523">
        <v>0</v>
      </c>
      <c r="AL2523">
        <v>0</v>
      </c>
      <c r="AM2523">
        <v>0</v>
      </c>
      <c r="AN2523">
        <v>0</v>
      </c>
      <c r="AO2523">
        <v>0</v>
      </c>
      <c r="AP2523">
        <v>0</v>
      </c>
      <c r="AQ2523">
        <v>18.03</v>
      </c>
      <c r="AR2523">
        <v>0</v>
      </c>
      <c r="AS2523">
        <v>0</v>
      </c>
      <c r="AT2523">
        <v>0</v>
      </c>
      <c r="AU2523">
        <v>0</v>
      </c>
      <c r="AV2523">
        <v>0</v>
      </c>
      <c r="AW2523">
        <v>0</v>
      </c>
      <c r="AX2523">
        <v>0</v>
      </c>
      <c r="AY2523">
        <v>0</v>
      </c>
      <c r="AZ2523">
        <v>0</v>
      </c>
      <c r="BA2523">
        <v>0</v>
      </c>
      <c r="BB2523">
        <v>0</v>
      </c>
      <c r="BC2523">
        <v>0</v>
      </c>
      <c r="BD2523">
        <v>0</v>
      </c>
      <c r="BE2523">
        <v>0</v>
      </c>
      <c r="BF2523">
        <v>0</v>
      </c>
      <c r="BG2523">
        <v>0</v>
      </c>
      <c r="BH2523">
        <v>1</v>
      </c>
      <c r="BI2523">
        <v>3</v>
      </c>
      <c r="BJ2523">
        <v>4.8</v>
      </c>
      <c r="BK2523">
        <v>5</v>
      </c>
      <c r="BL2523">
        <v>55.99</v>
      </c>
      <c r="BM2523">
        <v>8.4</v>
      </c>
      <c r="BN2523">
        <v>64.39</v>
      </c>
      <c r="BO2523">
        <v>64.39</v>
      </c>
      <c r="BP2523" t="s">
        <v>96</v>
      </c>
      <c r="BQ2523" t="s">
        <v>97</v>
      </c>
      <c r="BR2523" t="s">
        <v>2894</v>
      </c>
      <c r="BS2523" s="3">
        <v>45888</v>
      </c>
      <c r="BT2523" s="4">
        <v>0.34444444444444444</v>
      </c>
      <c r="BU2523" t="s">
        <v>245</v>
      </c>
      <c r="BV2523" t="s">
        <v>86</v>
      </c>
      <c r="BY2523">
        <v>24000</v>
      </c>
      <c r="BZ2523" t="s">
        <v>330</v>
      </c>
      <c r="CA2523" t="s">
        <v>1743</v>
      </c>
      <c r="CC2523" t="s">
        <v>76</v>
      </c>
      <c r="CD2523">
        <v>1619</v>
      </c>
      <c r="CE2523" t="s">
        <v>102</v>
      </c>
      <c r="CI2523">
        <v>1</v>
      </c>
      <c r="CJ2523">
        <v>1</v>
      </c>
      <c r="CK2523">
        <v>22</v>
      </c>
      <c r="CL2523" t="s">
        <v>90</v>
      </c>
    </row>
    <row r="2524" spans="1:90" x14ac:dyDescent="0.3">
      <c r="A2524" t="s">
        <v>72</v>
      </c>
      <c r="B2524" t="s">
        <v>73</v>
      </c>
      <c r="C2524" t="s">
        <v>74</v>
      </c>
      <c r="E2524" t="str">
        <f>"080011598582"</f>
        <v>080011598582</v>
      </c>
      <c r="F2524" s="3">
        <v>45887</v>
      </c>
      <c r="G2524">
        <v>202605</v>
      </c>
      <c r="H2524" t="s">
        <v>75</v>
      </c>
      <c r="I2524" t="s">
        <v>76</v>
      </c>
      <c r="J2524" t="s">
        <v>2895</v>
      </c>
      <c r="K2524" t="s">
        <v>78</v>
      </c>
      <c r="L2524" t="s">
        <v>325</v>
      </c>
      <c r="M2524" t="s">
        <v>326</v>
      </c>
      <c r="N2524" t="s">
        <v>2896</v>
      </c>
      <c r="O2524" t="s">
        <v>82</v>
      </c>
      <c r="P2524" t="str">
        <f>"Incorrect delivery            "</f>
        <v xml:space="preserve">Incorrect delivery            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0</v>
      </c>
      <c r="AI2524">
        <v>0</v>
      </c>
      <c r="AJ2524"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>
        <v>0</v>
      </c>
      <c r="AQ2524">
        <v>18.03</v>
      </c>
      <c r="AR2524">
        <v>0</v>
      </c>
      <c r="AS2524">
        <v>0</v>
      </c>
      <c r="AT2524">
        <v>0</v>
      </c>
      <c r="AU2524">
        <v>0</v>
      </c>
      <c r="AV2524">
        <v>0</v>
      </c>
      <c r="AW2524">
        <v>0</v>
      </c>
      <c r="AX2524">
        <v>0</v>
      </c>
      <c r="AY2524">
        <v>0</v>
      </c>
      <c r="AZ2524">
        <v>0</v>
      </c>
      <c r="BA2524">
        <v>0</v>
      </c>
      <c r="BB2524">
        <v>0</v>
      </c>
      <c r="BC2524">
        <v>0</v>
      </c>
      <c r="BD2524">
        <v>0</v>
      </c>
      <c r="BE2524">
        <v>0</v>
      </c>
      <c r="BF2524">
        <v>0</v>
      </c>
      <c r="BG2524">
        <v>0</v>
      </c>
      <c r="BH2524">
        <v>1</v>
      </c>
      <c r="BI2524">
        <v>1.5</v>
      </c>
      <c r="BJ2524">
        <v>1</v>
      </c>
      <c r="BK2524">
        <v>2</v>
      </c>
      <c r="BL2524">
        <v>55.99</v>
      </c>
      <c r="BM2524">
        <v>8.4</v>
      </c>
      <c r="BN2524">
        <v>64.39</v>
      </c>
      <c r="BO2524">
        <v>64.39</v>
      </c>
      <c r="BP2524" t="s">
        <v>96</v>
      </c>
      <c r="BQ2524" t="s">
        <v>2897</v>
      </c>
      <c r="BR2524" t="s">
        <v>2898</v>
      </c>
      <c r="BS2524" t="s">
        <v>96</v>
      </c>
      <c r="BY2524">
        <v>4787.16</v>
      </c>
      <c r="BZ2524" t="s">
        <v>330</v>
      </c>
      <c r="CC2524" t="s">
        <v>326</v>
      </c>
      <c r="CD2524">
        <v>2197</v>
      </c>
      <c r="CE2524" t="s">
        <v>2899</v>
      </c>
      <c r="CI2524">
        <v>1</v>
      </c>
      <c r="CJ2524" t="s">
        <v>96</v>
      </c>
      <c r="CK2524">
        <v>22</v>
      </c>
      <c r="CL2524" t="s">
        <v>90</v>
      </c>
    </row>
    <row r="2525" spans="1:90" x14ac:dyDescent="0.3">
      <c r="A2525" t="s">
        <v>72</v>
      </c>
      <c r="B2525" t="s">
        <v>73</v>
      </c>
      <c r="C2525" t="s">
        <v>74</v>
      </c>
      <c r="E2525" t="str">
        <f>"080011598598"</f>
        <v>080011598598</v>
      </c>
      <c r="F2525" s="3">
        <v>45887</v>
      </c>
      <c r="G2525">
        <v>202605</v>
      </c>
      <c r="H2525" t="s">
        <v>198</v>
      </c>
      <c r="I2525" t="s">
        <v>199</v>
      </c>
      <c r="J2525" t="s">
        <v>1851</v>
      </c>
      <c r="K2525" t="s">
        <v>78</v>
      </c>
      <c r="L2525" t="s">
        <v>75</v>
      </c>
      <c r="M2525" t="s">
        <v>76</v>
      </c>
      <c r="N2525" t="s">
        <v>94</v>
      </c>
      <c r="O2525" t="s">
        <v>82</v>
      </c>
      <c r="P2525" t="str">
        <f>"ZA1001405495                  "</f>
        <v xml:space="preserve">ZA1001405495                  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>
        <v>0</v>
      </c>
      <c r="AQ2525">
        <v>57.68</v>
      </c>
      <c r="AR2525">
        <v>0</v>
      </c>
      <c r="AS2525">
        <v>0</v>
      </c>
      <c r="AT2525">
        <v>0</v>
      </c>
      <c r="AU2525">
        <v>0</v>
      </c>
      <c r="AV2525">
        <v>0</v>
      </c>
      <c r="AW2525">
        <v>0</v>
      </c>
      <c r="AX2525">
        <v>0</v>
      </c>
      <c r="AY2525">
        <v>0</v>
      </c>
      <c r="AZ2525">
        <v>0</v>
      </c>
      <c r="BA2525">
        <v>0</v>
      </c>
      <c r="BB2525">
        <v>0</v>
      </c>
      <c r="BC2525">
        <v>0</v>
      </c>
      <c r="BD2525">
        <v>0</v>
      </c>
      <c r="BE2525">
        <v>0</v>
      </c>
      <c r="BF2525">
        <v>0</v>
      </c>
      <c r="BG2525">
        <v>0</v>
      </c>
      <c r="BH2525">
        <v>1</v>
      </c>
      <c r="BI2525">
        <v>3</v>
      </c>
      <c r="BJ2525">
        <v>4.8</v>
      </c>
      <c r="BK2525">
        <v>5</v>
      </c>
      <c r="BL2525">
        <v>179.12</v>
      </c>
      <c r="BM2525">
        <v>26.87</v>
      </c>
      <c r="BN2525">
        <v>205.99</v>
      </c>
      <c r="BO2525">
        <v>205.99</v>
      </c>
      <c r="BP2525" t="s">
        <v>96</v>
      </c>
      <c r="BQ2525" t="s">
        <v>97</v>
      </c>
      <c r="BR2525" t="s">
        <v>2900</v>
      </c>
      <c r="BS2525" s="3">
        <v>45888</v>
      </c>
      <c r="BT2525" s="4">
        <v>0.34444444444444444</v>
      </c>
      <c r="BU2525" t="s">
        <v>245</v>
      </c>
      <c r="BV2525" t="s">
        <v>86</v>
      </c>
      <c r="BY2525">
        <v>24000</v>
      </c>
      <c r="BZ2525" t="s">
        <v>330</v>
      </c>
      <c r="CA2525" t="s">
        <v>1743</v>
      </c>
      <c r="CC2525" t="s">
        <v>76</v>
      </c>
      <c r="CD2525">
        <v>1619</v>
      </c>
      <c r="CE2525" t="s">
        <v>102</v>
      </c>
      <c r="CI2525">
        <v>1</v>
      </c>
      <c r="CJ2525">
        <v>1</v>
      </c>
      <c r="CK2525">
        <v>21</v>
      </c>
      <c r="CL2525" t="s">
        <v>90</v>
      </c>
    </row>
    <row r="2526" spans="1:90" x14ac:dyDescent="0.3">
      <c r="A2526" t="s">
        <v>72</v>
      </c>
      <c r="B2526" t="s">
        <v>73</v>
      </c>
      <c r="C2526" t="s">
        <v>74</v>
      </c>
      <c r="E2526" t="str">
        <f>"080011598660"</f>
        <v>080011598660</v>
      </c>
      <c r="F2526" s="3">
        <v>45887</v>
      </c>
      <c r="G2526">
        <v>202605</v>
      </c>
      <c r="H2526" t="s">
        <v>123</v>
      </c>
      <c r="I2526" t="s">
        <v>124</v>
      </c>
      <c r="J2526" t="s">
        <v>2901</v>
      </c>
      <c r="K2526" t="s">
        <v>78</v>
      </c>
      <c r="L2526" t="s">
        <v>75</v>
      </c>
      <c r="M2526" t="s">
        <v>76</v>
      </c>
      <c r="N2526" t="s">
        <v>94</v>
      </c>
      <c r="O2526" t="s">
        <v>82</v>
      </c>
      <c r="P2526" t="str">
        <f>"ZA1001405211                  "</f>
        <v xml:space="preserve">ZA1001405211                  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0</v>
      </c>
      <c r="AI2526">
        <v>0</v>
      </c>
      <c r="AJ2526"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>
        <v>0</v>
      </c>
      <c r="AQ2526">
        <v>23.09</v>
      </c>
      <c r="AR2526">
        <v>0</v>
      </c>
      <c r="AS2526">
        <v>0</v>
      </c>
      <c r="AT2526">
        <v>0</v>
      </c>
      <c r="AU2526">
        <v>0</v>
      </c>
      <c r="AV2526">
        <v>0</v>
      </c>
      <c r="AW2526">
        <v>0</v>
      </c>
      <c r="AX2526">
        <v>0</v>
      </c>
      <c r="AY2526">
        <v>0</v>
      </c>
      <c r="AZ2526">
        <v>0</v>
      </c>
      <c r="BA2526">
        <v>0</v>
      </c>
      <c r="BB2526">
        <v>0</v>
      </c>
      <c r="BC2526">
        <v>0</v>
      </c>
      <c r="BD2526">
        <v>0</v>
      </c>
      <c r="BE2526">
        <v>0</v>
      </c>
      <c r="BF2526">
        <v>0</v>
      </c>
      <c r="BG2526">
        <v>0</v>
      </c>
      <c r="BH2526">
        <v>1</v>
      </c>
      <c r="BI2526">
        <v>0.7</v>
      </c>
      <c r="BJ2526">
        <v>0.5</v>
      </c>
      <c r="BK2526">
        <v>1</v>
      </c>
      <c r="BL2526">
        <v>71.69</v>
      </c>
      <c r="BM2526">
        <v>10.75</v>
      </c>
      <c r="BN2526">
        <v>82.44</v>
      </c>
      <c r="BO2526">
        <v>82.44</v>
      </c>
      <c r="BP2526" t="s">
        <v>96</v>
      </c>
      <c r="BQ2526" t="s">
        <v>97</v>
      </c>
      <c r="BR2526" t="s">
        <v>2902</v>
      </c>
      <c r="BS2526" s="3">
        <v>45888</v>
      </c>
      <c r="BT2526" s="4">
        <v>0.34444444444444444</v>
      </c>
      <c r="BU2526" t="s">
        <v>245</v>
      </c>
      <c r="BV2526" t="s">
        <v>86</v>
      </c>
      <c r="BY2526">
        <v>2463.3000000000002</v>
      </c>
      <c r="BZ2526" t="s">
        <v>330</v>
      </c>
      <c r="CA2526" t="s">
        <v>1743</v>
      </c>
      <c r="CC2526" t="s">
        <v>76</v>
      </c>
      <c r="CD2526">
        <v>1619</v>
      </c>
      <c r="CE2526" t="s">
        <v>102</v>
      </c>
      <c r="CI2526">
        <v>1</v>
      </c>
      <c r="CJ2526">
        <v>1</v>
      </c>
      <c r="CK2526">
        <v>21</v>
      </c>
      <c r="CL2526" t="s">
        <v>90</v>
      </c>
    </row>
    <row r="2527" spans="1:90" x14ac:dyDescent="0.3">
      <c r="A2527" t="s">
        <v>72</v>
      </c>
      <c r="B2527" t="s">
        <v>73</v>
      </c>
      <c r="C2527" t="s">
        <v>74</v>
      </c>
      <c r="E2527" t="str">
        <f>"080067300993"</f>
        <v>080067300993</v>
      </c>
      <c r="F2527" s="3">
        <v>45887</v>
      </c>
      <c r="G2527">
        <v>202605</v>
      </c>
      <c r="H2527" t="s">
        <v>75</v>
      </c>
      <c r="I2527" t="s">
        <v>76</v>
      </c>
      <c r="J2527" t="s">
        <v>77</v>
      </c>
      <c r="K2527" t="s">
        <v>78</v>
      </c>
      <c r="L2527" t="s">
        <v>198</v>
      </c>
      <c r="M2527" t="s">
        <v>199</v>
      </c>
      <c r="N2527" t="s">
        <v>680</v>
      </c>
      <c r="O2527" t="s">
        <v>82</v>
      </c>
      <c r="P2527" t="str">
        <f>"4170055329                    "</f>
        <v xml:space="preserve">4170055329                    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0</v>
      </c>
      <c r="AI2527">
        <v>0</v>
      </c>
      <c r="AJ2527"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>
        <v>0</v>
      </c>
      <c r="AQ2527">
        <v>23.09</v>
      </c>
      <c r="AR2527">
        <v>0</v>
      </c>
      <c r="AS2527">
        <v>0</v>
      </c>
      <c r="AT2527">
        <v>0</v>
      </c>
      <c r="AU2527">
        <v>0</v>
      </c>
      <c r="AV2527">
        <v>0</v>
      </c>
      <c r="AW2527">
        <v>0</v>
      </c>
      <c r="AX2527">
        <v>0</v>
      </c>
      <c r="AY2527">
        <v>0</v>
      </c>
      <c r="AZ2527">
        <v>0</v>
      </c>
      <c r="BA2527">
        <v>0</v>
      </c>
      <c r="BB2527">
        <v>0</v>
      </c>
      <c r="BC2527">
        <v>0</v>
      </c>
      <c r="BD2527">
        <v>0</v>
      </c>
      <c r="BE2527">
        <v>0</v>
      </c>
      <c r="BF2527">
        <v>0</v>
      </c>
      <c r="BG2527">
        <v>0</v>
      </c>
      <c r="BH2527">
        <v>1</v>
      </c>
      <c r="BI2527">
        <v>1</v>
      </c>
      <c r="BJ2527">
        <v>0.2</v>
      </c>
      <c r="BK2527">
        <v>1</v>
      </c>
      <c r="BL2527">
        <v>71.69</v>
      </c>
      <c r="BM2527">
        <v>10.75</v>
      </c>
      <c r="BN2527">
        <v>82.44</v>
      </c>
      <c r="BO2527">
        <v>82.44</v>
      </c>
      <c r="BQ2527" t="s">
        <v>681</v>
      </c>
      <c r="BR2527" t="s">
        <v>84</v>
      </c>
      <c r="BS2527" s="3">
        <v>45888</v>
      </c>
      <c r="BT2527" s="4">
        <v>0.38472222222222224</v>
      </c>
      <c r="BU2527" t="s">
        <v>2644</v>
      </c>
      <c r="BV2527" t="s">
        <v>86</v>
      </c>
      <c r="BY2527">
        <v>1200</v>
      </c>
      <c r="CA2527" t="s">
        <v>413</v>
      </c>
      <c r="CC2527" t="s">
        <v>199</v>
      </c>
      <c r="CD2527">
        <v>6001</v>
      </c>
      <c r="CE2527" t="s">
        <v>178</v>
      </c>
      <c r="CI2527">
        <v>1</v>
      </c>
      <c r="CJ2527">
        <v>1</v>
      </c>
      <c r="CK2527">
        <v>21</v>
      </c>
      <c r="CL2527" t="s">
        <v>90</v>
      </c>
    </row>
    <row r="2528" spans="1:90" x14ac:dyDescent="0.3">
      <c r="A2528" t="s">
        <v>72</v>
      </c>
      <c r="B2528" t="s">
        <v>73</v>
      </c>
      <c r="C2528" t="s">
        <v>74</v>
      </c>
      <c r="E2528" t="str">
        <f>"080067301052"</f>
        <v>080067301052</v>
      </c>
      <c r="F2528" s="3">
        <v>45887</v>
      </c>
      <c r="G2528">
        <v>202605</v>
      </c>
      <c r="H2528" t="s">
        <v>75</v>
      </c>
      <c r="I2528" t="s">
        <v>76</v>
      </c>
      <c r="J2528" t="s">
        <v>77</v>
      </c>
      <c r="K2528" t="s">
        <v>78</v>
      </c>
      <c r="L2528" t="s">
        <v>198</v>
      </c>
      <c r="M2528" t="s">
        <v>199</v>
      </c>
      <c r="N2528" t="s">
        <v>680</v>
      </c>
      <c r="O2528" t="s">
        <v>82</v>
      </c>
      <c r="P2528" t="str">
        <f>"4170055330                    "</f>
        <v xml:space="preserve">4170055330                    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0</v>
      </c>
      <c r="AI2528">
        <v>0</v>
      </c>
      <c r="AJ2528">
        <v>0</v>
      </c>
      <c r="AK2528">
        <v>0</v>
      </c>
      <c r="AL2528">
        <v>0</v>
      </c>
      <c r="AM2528">
        <v>0</v>
      </c>
      <c r="AN2528">
        <v>0</v>
      </c>
      <c r="AO2528">
        <v>0</v>
      </c>
      <c r="AP2528">
        <v>0</v>
      </c>
      <c r="AQ2528">
        <v>23.09</v>
      </c>
      <c r="AR2528">
        <v>0</v>
      </c>
      <c r="AS2528">
        <v>0</v>
      </c>
      <c r="AT2528">
        <v>0</v>
      </c>
      <c r="AU2528">
        <v>0</v>
      </c>
      <c r="AV2528">
        <v>0</v>
      </c>
      <c r="AW2528">
        <v>0</v>
      </c>
      <c r="AX2528">
        <v>0</v>
      </c>
      <c r="AY2528">
        <v>0</v>
      </c>
      <c r="AZ2528">
        <v>0</v>
      </c>
      <c r="BA2528">
        <v>0</v>
      </c>
      <c r="BB2528">
        <v>0</v>
      </c>
      <c r="BC2528">
        <v>0</v>
      </c>
      <c r="BD2528">
        <v>0</v>
      </c>
      <c r="BE2528">
        <v>0</v>
      </c>
      <c r="BF2528">
        <v>0</v>
      </c>
      <c r="BG2528">
        <v>0</v>
      </c>
      <c r="BH2528">
        <v>1</v>
      </c>
      <c r="BI2528">
        <v>1</v>
      </c>
      <c r="BJ2528">
        <v>0.2</v>
      </c>
      <c r="BK2528">
        <v>1</v>
      </c>
      <c r="BL2528">
        <v>71.69</v>
      </c>
      <c r="BM2528">
        <v>10.75</v>
      </c>
      <c r="BN2528">
        <v>82.44</v>
      </c>
      <c r="BO2528">
        <v>82.44</v>
      </c>
      <c r="BQ2528" t="s">
        <v>681</v>
      </c>
      <c r="BR2528" t="s">
        <v>84</v>
      </c>
      <c r="BS2528" s="3">
        <v>45888</v>
      </c>
      <c r="BT2528" s="4">
        <v>0.38472222222222224</v>
      </c>
      <c r="BU2528" t="s">
        <v>2644</v>
      </c>
      <c r="BV2528" t="s">
        <v>86</v>
      </c>
      <c r="BY2528">
        <v>1200</v>
      </c>
      <c r="CA2528" t="s">
        <v>413</v>
      </c>
      <c r="CC2528" t="s">
        <v>199</v>
      </c>
      <c r="CD2528">
        <v>6001</v>
      </c>
      <c r="CE2528" t="s">
        <v>178</v>
      </c>
      <c r="CI2528">
        <v>1</v>
      </c>
      <c r="CJ2528">
        <v>1</v>
      </c>
      <c r="CK2528">
        <v>21</v>
      </c>
      <c r="CL2528" t="s">
        <v>90</v>
      </c>
    </row>
    <row r="2529" spans="1:90" x14ac:dyDescent="0.3">
      <c r="A2529" t="s">
        <v>72</v>
      </c>
      <c r="B2529" t="s">
        <v>73</v>
      </c>
      <c r="C2529" t="s">
        <v>74</v>
      </c>
      <c r="E2529" t="str">
        <f>"080067301182"</f>
        <v>080067301182</v>
      </c>
      <c r="F2529" s="3">
        <v>45887</v>
      </c>
      <c r="G2529">
        <v>202605</v>
      </c>
      <c r="H2529" t="s">
        <v>75</v>
      </c>
      <c r="I2529" t="s">
        <v>76</v>
      </c>
      <c r="J2529" t="s">
        <v>77</v>
      </c>
      <c r="K2529" t="s">
        <v>78</v>
      </c>
      <c r="L2529" t="s">
        <v>241</v>
      </c>
      <c r="M2529" t="s">
        <v>242</v>
      </c>
      <c r="N2529" t="s">
        <v>1898</v>
      </c>
      <c r="O2529" t="s">
        <v>95</v>
      </c>
      <c r="P2529" t="str">
        <f>"4170055333                    "</f>
        <v xml:space="preserve">4170055333                    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0</v>
      </c>
      <c r="AI2529">
        <v>0</v>
      </c>
      <c r="AJ2529">
        <v>0</v>
      </c>
      <c r="AK2529">
        <v>0</v>
      </c>
      <c r="AL2529">
        <v>0</v>
      </c>
      <c r="AM2529">
        <v>0</v>
      </c>
      <c r="AN2529">
        <v>0</v>
      </c>
      <c r="AO2529">
        <v>0</v>
      </c>
      <c r="AP2529">
        <v>0</v>
      </c>
      <c r="AQ2529">
        <v>201.61</v>
      </c>
      <c r="AR2529">
        <v>0</v>
      </c>
      <c r="AS2529">
        <v>0</v>
      </c>
      <c r="AT2529">
        <v>0</v>
      </c>
      <c r="AU2529">
        <v>0</v>
      </c>
      <c r="AV2529">
        <v>0</v>
      </c>
      <c r="AW2529">
        <v>0</v>
      </c>
      <c r="AX2529">
        <v>0</v>
      </c>
      <c r="AY2529">
        <v>0</v>
      </c>
      <c r="AZ2529">
        <v>0</v>
      </c>
      <c r="BA2529">
        <v>0</v>
      </c>
      <c r="BB2529">
        <v>0</v>
      </c>
      <c r="BC2529">
        <v>0</v>
      </c>
      <c r="BD2529">
        <v>0</v>
      </c>
      <c r="BE2529">
        <v>0</v>
      </c>
      <c r="BF2529">
        <v>0</v>
      </c>
      <c r="BG2529">
        <v>0</v>
      </c>
      <c r="BH2529">
        <v>2</v>
      </c>
      <c r="BI2529">
        <v>123</v>
      </c>
      <c r="BJ2529">
        <v>180.9</v>
      </c>
      <c r="BK2529">
        <v>181</v>
      </c>
      <c r="BL2529">
        <v>631.91999999999996</v>
      </c>
      <c r="BM2529">
        <v>94.79</v>
      </c>
      <c r="BN2529">
        <v>726.71</v>
      </c>
      <c r="BO2529">
        <v>726.71</v>
      </c>
      <c r="BQ2529" t="s">
        <v>1899</v>
      </c>
      <c r="BR2529" t="s">
        <v>84</v>
      </c>
      <c r="BS2529" t="s">
        <v>96</v>
      </c>
      <c r="BY2529">
        <v>904304</v>
      </c>
      <c r="CC2529" t="s">
        <v>242</v>
      </c>
      <c r="CD2529">
        <v>1459</v>
      </c>
      <c r="CE2529" t="s">
        <v>1803</v>
      </c>
      <c r="CI2529">
        <v>1</v>
      </c>
      <c r="CJ2529" t="s">
        <v>96</v>
      </c>
      <c r="CK2529">
        <v>42</v>
      </c>
      <c r="CL2529" t="s">
        <v>90</v>
      </c>
    </row>
    <row r="2530" spans="1:90" x14ac:dyDescent="0.3">
      <c r="A2530" t="s">
        <v>72</v>
      </c>
      <c r="B2530" t="s">
        <v>73</v>
      </c>
      <c r="C2530" t="s">
        <v>74</v>
      </c>
      <c r="E2530" t="str">
        <f>"080067301269"</f>
        <v>080067301269</v>
      </c>
      <c r="F2530" s="3">
        <v>45887</v>
      </c>
      <c r="G2530">
        <v>202605</v>
      </c>
      <c r="H2530" t="s">
        <v>75</v>
      </c>
      <c r="I2530" t="s">
        <v>76</v>
      </c>
      <c r="J2530" t="s">
        <v>77</v>
      </c>
      <c r="K2530" t="s">
        <v>78</v>
      </c>
      <c r="L2530" t="s">
        <v>118</v>
      </c>
      <c r="M2530" t="s">
        <v>118</v>
      </c>
      <c r="N2530" t="s">
        <v>466</v>
      </c>
      <c r="O2530" t="s">
        <v>82</v>
      </c>
      <c r="P2530" t="str">
        <f>"4170055334                    "</f>
        <v xml:space="preserve">4170055334                    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0</v>
      </c>
      <c r="AP2530">
        <v>0</v>
      </c>
      <c r="AQ2530">
        <v>246.7</v>
      </c>
      <c r="AR2530">
        <v>0</v>
      </c>
      <c r="AS2530">
        <v>0</v>
      </c>
      <c r="AT2530">
        <v>0</v>
      </c>
      <c r="AU2530">
        <v>0</v>
      </c>
      <c r="AV2530">
        <v>0</v>
      </c>
      <c r="AW2530">
        <v>0</v>
      </c>
      <c r="AX2530">
        <v>0</v>
      </c>
      <c r="AY2530">
        <v>0</v>
      </c>
      <c r="AZ2530">
        <v>0</v>
      </c>
      <c r="BA2530">
        <v>0</v>
      </c>
      <c r="BB2530">
        <v>0</v>
      </c>
      <c r="BC2530">
        <v>0</v>
      </c>
      <c r="BD2530">
        <v>0</v>
      </c>
      <c r="BE2530">
        <v>0</v>
      </c>
      <c r="BF2530">
        <v>0</v>
      </c>
      <c r="BG2530">
        <v>0</v>
      </c>
      <c r="BH2530">
        <v>1</v>
      </c>
      <c r="BI2530">
        <v>12</v>
      </c>
      <c r="BJ2530">
        <v>7.5</v>
      </c>
      <c r="BK2530">
        <v>12</v>
      </c>
      <c r="BL2530">
        <v>766.06</v>
      </c>
      <c r="BM2530">
        <v>114.91</v>
      </c>
      <c r="BN2530">
        <v>880.97</v>
      </c>
      <c r="BO2530">
        <v>880.97</v>
      </c>
      <c r="BQ2530" t="s">
        <v>1178</v>
      </c>
      <c r="BR2530" t="s">
        <v>84</v>
      </c>
      <c r="BS2530" t="s">
        <v>96</v>
      </c>
      <c r="BY2530">
        <v>37488</v>
      </c>
      <c r="CC2530" t="s">
        <v>118</v>
      </c>
      <c r="CD2530">
        <v>7646</v>
      </c>
      <c r="CE2530" t="s">
        <v>178</v>
      </c>
      <c r="CI2530">
        <v>1</v>
      </c>
      <c r="CJ2530" t="s">
        <v>96</v>
      </c>
      <c r="CK2530">
        <v>23</v>
      </c>
      <c r="CL2530" t="s">
        <v>90</v>
      </c>
    </row>
    <row r="2531" spans="1:90" x14ac:dyDescent="0.3">
      <c r="A2531" t="s">
        <v>72</v>
      </c>
      <c r="B2531" t="s">
        <v>73</v>
      </c>
      <c r="C2531" t="s">
        <v>74</v>
      </c>
      <c r="E2531" t="str">
        <f>"080067301336"</f>
        <v>080067301336</v>
      </c>
      <c r="F2531" s="3">
        <v>45887</v>
      </c>
      <c r="G2531">
        <v>202605</v>
      </c>
      <c r="H2531" t="s">
        <v>75</v>
      </c>
      <c r="I2531" t="s">
        <v>76</v>
      </c>
      <c r="J2531" t="s">
        <v>77</v>
      </c>
      <c r="K2531" t="s">
        <v>78</v>
      </c>
      <c r="L2531" t="s">
        <v>278</v>
      </c>
      <c r="M2531" t="s">
        <v>279</v>
      </c>
      <c r="N2531" t="s">
        <v>928</v>
      </c>
      <c r="O2531" t="s">
        <v>95</v>
      </c>
      <c r="P2531" t="str">
        <f>"4170055336                    "</f>
        <v xml:space="preserve">4170055336                    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0</v>
      </c>
      <c r="AI2531">
        <v>0</v>
      </c>
      <c r="AJ2531">
        <v>0</v>
      </c>
      <c r="AK2531">
        <v>0</v>
      </c>
      <c r="AL2531">
        <v>0</v>
      </c>
      <c r="AM2531">
        <v>0</v>
      </c>
      <c r="AN2531">
        <v>0</v>
      </c>
      <c r="AO2531">
        <v>0</v>
      </c>
      <c r="AP2531">
        <v>0</v>
      </c>
      <c r="AQ2531">
        <v>44.64</v>
      </c>
      <c r="AR2531">
        <v>0</v>
      </c>
      <c r="AS2531">
        <v>0</v>
      </c>
      <c r="AT2531">
        <v>0</v>
      </c>
      <c r="AU2531">
        <v>0</v>
      </c>
      <c r="AV2531">
        <v>0</v>
      </c>
      <c r="AW2531">
        <v>0</v>
      </c>
      <c r="AX2531">
        <v>0</v>
      </c>
      <c r="AY2531">
        <v>0</v>
      </c>
      <c r="AZ2531">
        <v>0</v>
      </c>
      <c r="BA2531">
        <v>0</v>
      </c>
      <c r="BB2531">
        <v>0</v>
      </c>
      <c r="BC2531">
        <v>0</v>
      </c>
      <c r="BD2531">
        <v>0</v>
      </c>
      <c r="BE2531">
        <v>0</v>
      </c>
      <c r="BF2531">
        <v>0</v>
      </c>
      <c r="BG2531">
        <v>0</v>
      </c>
      <c r="BH2531">
        <v>1</v>
      </c>
      <c r="BI2531">
        <v>13</v>
      </c>
      <c r="BJ2531">
        <v>11.6</v>
      </c>
      <c r="BK2531">
        <v>13</v>
      </c>
      <c r="BL2531">
        <v>144.49</v>
      </c>
      <c r="BM2531">
        <v>21.67</v>
      </c>
      <c r="BN2531">
        <v>166.16</v>
      </c>
      <c r="BO2531">
        <v>166.16</v>
      </c>
      <c r="BQ2531" t="s">
        <v>929</v>
      </c>
      <c r="BR2531" t="s">
        <v>84</v>
      </c>
      <c r="BS2531" s="3">
        <v>45888</v>
      </c>
      <c r="BT2531" s="4">
        <v>0.32569444444444445</v>
      </c>
      <c r="BU2531" t="s">
        <v>2903</v>
      </c>
      <c r="BV2531" t="s">
        <v>86</v>
      </c>
      <c r="BY2531">
        <v>57760</v>
      </c>
      <c r="CA2531" t="s">
        <v>511</v>
      </c>
      <c r="CC2531" t="s">
        <v>279</v>
      </c>
      <c r="CD2531" s="5" t="s">
        <v>512</v>
      </c>
      <c r="CE2531" t="s">
        <v>1304</v>
      </c>
      <c r="CI2531">
        <v>1</v>
      </c>
      <c r="CJ2531">
        <v>1</v>
      </c>
      <c r="CK2531">
        <v>41</v>
      </c>
      <c r="CL2531" t="s">
        <v>90</v>
      </c>
    </row>
    <row r="2532" spans="1:90" x14ac:dyDescent="0.3">
      <c r="A2532" t="s">
        <v>72</v>
      </c>
      <c r="B2532" t="s">
        <v>73</v>
      </c>
      <c r="C2532" t="s">
        <v>74</v>
      </c>
      <c r="E2532" t="str">
        <f>"080067301423"</f>
        <v>080067301423</v>
      </c>
      <c r="F2532" s="3">
        <v>45887</v>
      </c>
      <c r="G2532">
        <v>202605</v>
      </c>
      <c r="H2532" t="s">
        <v>75</v>
      </c>
      <c r="I2532" t="s">
        <v>76</v>
      </c>
      <c r="J2532" t="s">
        <v>77</v>
      </c>
      <c r="K2532" t="s">
        <v>78</v>
      </c>
      <c r="L2532" t="s">
        <v>223</v>
      </c>
      <c r="M2532" t="s">
        <v>224</v>
      </c>
      <c r="N2532" t="s">
        <v>2904</v>
      </c>
      <c r="O2532" t="s">
        <v>82</v>
      </c>
      <c r="P2532" t="str">
        <f>"4170055356                    "</f>
        <v xml:space="preserve">4170055356                    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0</v>
      </c>
      <c r="AI2532">
        <v>0</v>
      </c>
      <c r="AJ2532">
        <v>0</v>
      </c>
      <c r="AK2532">
        <v>0</v>
      </c>
      <c r="AL2532">
        <v>0</v>
      </c>
      <c r="AM2532">
        <v>0</v>
      </c>
      <c r="AN2532">
        <v>0</v>
      </c>
      <c r="AO2532">
        <v>0</v>
      </c>
      <c r="AP2532">
        <v>0</v>
      </c>
      <c r="AQ2532">
        <v>23.09</v>
      </c>
      <c r="AR2532">
        <v>0</v>
      </c>
      <c r="AS2532">
        <v>0</v>
      </c>
      <c r="AT2532">
        <v>0</v>
      </c>
      <c r="AU2532">
        <v>0</v>
      </c>
      <c r="AV2532">
        <v>0</v>
      </c>
      <c r="AW2532">
        <v>0</v>
      </c>
      <c r="AX2532">
        <v>0</v>
      </c>
      <c r="AY2532">
        <v>0</v>
      </c>
      <c r="AZ2532">
        <v>0</v>
      </c>
      <c r="BA2532">
        <v>0</v>
      </c>
      <c r="BB2532">
        <v>0</v>
      </c>
      <c r="BC2532">
        <v>0</v>
      </c>
      <c r="BD2532">
        <v>0</v>
      </c>
      <c r="BE2532">
        <v>0</v>
      </c>
      <c r="BF2532">
        <v>0</v>
      </c>
      <c r="BG2532">
        <v>0</v>
      </c>
      <c r="BH2532">
        <v>1</v>
      </c>
      <c r="BI2532">
        <v>1</v>
      </c>
      <c r="BJ2532">
        <v>1.1000000000000001</v>
      </c>
      <c r="BK2532">
        <v>1.5</v>
      </c>
      <c r="BL2532">
        <v>71.69</v>
      </c>
      <c r="BM2532">
        <v>10.75</v>
      </c>
      <c r="BN2532">
        <v>82.44</v>
      </c>
      <c r="BO2532">
        <v>82.44</v>
      </c>
      <c r="BQ2532" t="s">
        <v>2905</v>
      </c>
      <c r="BR2532" t="s">
        <v>84</v>
      </c>
      <c r="BS2532" t="s">
        <v>96</v>
      </c>
      <c r="BY2532">
        <v>5320</v>
      </c>
      <c r="CC2532" t="s">
        <v>224</v>
      </c>
      <c r="CD2532">
        <v>5201</v>
      </c>
      <c r="CE2532" t="s">
        <v>147</v>
      </c>
      <c r="CI2532">
        <v>1</v>
      </c>
      <c r="CJ2532" t="s">
        <v>96</v>
      </c>
      <c r="CK2532">
        <v>21</v>
      </c>
      <c r="CL2532" t="s">
        <v>90</v>
      </c>
    </row>
    <row r="2533" spans="1:90" x14ac:dyDescent="0.3">
      <c r="A2533" t="s">
        <v>72</v>
      </c>
      <c r="B2533" t="s">
        <v>73</v>
      </c>
      <c r="C2533" t="s">
        <v>74</v>
      </c>
      <c r="E2533" t="str">
        <f>"080067301478"</f>
        <v>080067301478</v>
      </c>
      <c r="F2533" s="3">
        <v>45887</v>
      </c>
      <c r="G2533">
        <v>202605</v>
      </c>
      <c r="H2533" t="s">
        <v>75</v>
      </c>
      <c r="I2533" t="s">
        <v>76</v>
      </c>
      <c r="J2533" t="s">
        <v>77</v>
      </c>
      <c r="K2533" t="s">
        <v>78</v>
      </c>
      <c r="L2533" t="s">
        <v>123</v>
      </c>
      <c r="M2533" t="s">
        <v>124</v>
      </c>
      <c r="N2533" t="s">
        <v>406</v>
      </c>
      <c r="O2533" t="s">
        <v>82</v>
      </c>
      <c r="P2533" t="str">
        <f>"4170055327                    "</f>
        <v xml:space="preserve">4170055327                    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0</v>
      </c>
      <c r="AI2533">
        <v>0</v>
      </c>
      <c r="AJ2533">
        <v>0</v>
      </c>
      <c r="AK2533">
        <v>0</v>
      </c>
      <c r="AL2533">
        <v>0</v>
      </c>
      <c r="AM2533">
        <v>0</v>
      </c>
      <c r="AN2533">
        <v>0</v>
      </c>
      <c r="AO2533">
        <v>0</v>
      </c>
      <c r="AP2533">
        <v>0</v>
      </c>
      <c r="AQ2533">
        <v>40.380000000000003</v>
      </c>
      <c r="AR2533">
        <v>0</v>
      </c>
      <c r="AS2533">
        <v>0</v>
      </c>
      <c r="AT2533">
        <v>0</v>
      </c>
      <c r="AU2533">
        <v>0</v>
      </c>
      <c r="AV2533">
        <v>0</v>
      </c>
      <c r="AW2533">
        <v>0</v>
      </c>
      <c r="AX2533">
        <v>0</v>
      </c>
      <c r="AY2533">
        <v>0</v>
      </c>
      <c r="AZ2533">
        <v>0</v>
      </c>
      <c r="BA2533">
        <v>0</v>
      </c>
      <c r="BB2533">
        <v>0</v>
      </c>
      <c r="BC2533">
        <v>0</v>
      </c>
      <c r="BD2533">
        <v>0</v>
      </c>
      <c r="BE2533">
        <v>0</v>
      </c>
      <c r="BF2533">
        <v>0</v>
      </c>
      <c r="BG2533">
        <v>0</v>
      </c>
      <c r="BH2533">
        <v>1</v>
      </c>
      <c r="BI2533">
        <v>2</v>
      </c>
      <c r="BJ2533">
        <v>3.1</v>
      </c>
      <c r="BK2533">
        <v>3.5</v>
      </c>
      <c r="BL2533">
        <v>125.4</v>
      </c>
      <c r="BM2533">
        <v>18.809999999999999</v>
      </c>
      <c r="BN2533">
        <v>144.21</v>
      </c>
      <c r="BO2533">
        <v>144.21</v>
      </c>
      <c r="BQ2533" t="s">
        <v>407</v>
      </c>
      <c r="BR2533" t="s">
        <v>84</v>
      </c>
      <c r="BS2533" t="s">
        <v>96</v>
      </c>
      <c r="BY2533">
        <v>15360</v>
      </c>
      <c r="CC2533" t="s">
        <v>124</v>
      </c>
      <c r="CD2533">
        <v>7441</v>
      </c>
      <c r="CE2533" t="s">
        <v>147</v>
      </c>
      <c r="CI2533">
        <v>1</v>
      </c>
      <c r="CJ2533" t="s">
        <v>96</v>
      </c>
      <c r="CK2533">
        <v>21</v>
      </c>
      <c r="CL2533" t="s">
        <v>90</v>
      </c>
    </row>
    <row r="2534" spans="1:90" x14ac:dyDescent="0.3">
      <c r="A2534" t="s">
        <v>72</v>
      </c>
      <c r="B2534" t="s">
        <v>73</v>
      </c>
      <c r="C2534" t="s">
        <v>74</v>
      </c>
      <c r="E2534" t="str">
        <f>"080067301917"</f>
        <v>080067301917</v>
      </c>
      <c r="F2534" s="3">
        <v>45887</v>
      </c>
      <c r="G2534">
        <v>202605</v>
      </c>
      <c r="H2534" t="s">
        <v>75</v>
      </c>
      <c r="I2534" t="s">
        <v>76</v>
      </c>
      <c r="J2534" t="s">
        <v>77</v>
      </c>
      <c r="K2534" t="s">
        <v>78</v>
      </c>
      <c r="L2534" t="s">
        <v>198</v>
      </c>
      <c r="M2534" t="s">
        <v>199</v>
      </c>
      <c r="N2534" t="s">
        <v>426</v>
      </c>
      <c r="O2534" t="s">
        <v>82</v>
      </c>
      <c r="P2534" t="str">
        <f>"4170055354                    "</f>
        <v xml:space="preserve">4170055354                    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0</v>
      </c>
      <c r="AI2534">
        <v>0</v>
      </c>
      <c r="AJ2534">
        <v>0</v>
      </c>
      <c r="AK2534">
        <v>0</v>
      </c>
      <c r="AL2534">
        <v>0</v>
      </c>
      <c r="AM2534">
        <v>0</v>
      </c>
      <c r="AN2534">
        <v>0</v>
      </c>
      <c r="AO2534">
        <v>0</v>
      </c>
      <c r="AP2534">
        <v>0</v>
      </c>
      <c r="AQ2534">
        <v>23.09</v>
      </c>
      <c r="AR2534">
        <v>0</v>
      </c>
      <c r="AS2534">
        <v>0</v>
      </c>
      <c r="AT2534">
        <v>0</v>
      </c>
      <c r="AU2534">
        <v>0</v>
      </c>
      <c r="AV2534">
        <v>0</v>
      </c>
      <c r="AW2534">
        <v>0</v>
      </c>
      <c r="AX2534">
        <v>0</v>
      </c>
      <c r="AY2534">
        <v>0</v>
      </c>
      <c r="AZ2534">
        <v>0</v>
      </c>
      <c r="BA2534">
        <v>0</v>
      </c>
      <c r="BB2534">
        <v>0</v>
      </c>
      <c r="BC2534">
        <v>0</v>
      </c>
      <c r="BD2534">
        <v>0</v>
      </c>
      <c r="BE2534">
        <v>0</v>
      </c>
      <c r="BF2534">
        <v>0</v>
      </c>
      <c r="BG2534">
        <v>0</v>
      </c>
      <c r="BH2534">
        <v>1</v>
      </c>
      <c r="BI2534">
        <v>1</v>
      </c>
      <c r="BJ2534">
        <v>0.2</v>
      </c>
      <c r="BK2534">
        <v>1</v>
      </c>
      <c r="BL2534">
        <v>71.69</v>
      </c>
      <c r="BM2534">
        <v>10.75</v>
      </c>
      <c r="BN2534">
        <v>82.44</v>
      </c>
      <c r="BO2534">
        <v>82.44</v>
      </c>
      <c r="BQ2534" t="s">
        <v>2906</v>
      </c>
      <c r="BR2534" t="s">
        <v>84</v>
      </c>
      <c r="BS2534" t="s">
        <v>96</v>
      </c>
      <c r="BY2534">
        <v>1200</v>
      </c>
      <c r="CC2534" t="s">
        <v>199</v>
      </c>
      <c r="CD2534">
        <v>6045</v>
      </c>
      <c r="CE2534" t="s">
        <v>109</v>
      </c>
      <c r="CI2534">
        <v>1</v>
      </c>
      <c r="CJ2534" t="s">
        <v>96</v>
      </c>
      <c r="CK2534">
        <v>21</v>
      </c>
      <c r="CL2534" t="s">
        <v>90</v>
      </c>
    </row>
    <row r="2535" spans="1:90" x14ac:dyDescent="0.3">
      <c r="A2535" t="s">
        <v>72</v>
      </c>
      <c r="B2535" t="s">
        <v>73</v>
      </c>
      <c r="C2535" t="s">
        <v>74</v>
      </c>
      <c r="E2535" t="str">
        <f>"080067301973"</f>
        <v>080067301973</v>
      </c>
      <c r="F2535" s="3">
        <v>45887</v>
      </c>
      <c r="G2535">
        <v>202605</v>
      </c>
      <c r="H2535" t="s">
        <v>75</v>
      </c>
      <c r="I2535" t="s">
        <v>76</v>
      </c>
      <c r="J2535" t="s">
        <v>77</v>
      </c>
      <c r="K2535" t="s">
        <v>78</v>
      </c>
      <c r="L2535" t="s">
        <v>513</v>
      </c>
      <c r="M2535" t="s">
        <v>514</v>
      </c>
      <c r="N2535" t="s">
        <v>709</v>
      </c>
      <c r="O2535" t="s">
        <v>82</v>
      </c>
      <c r="P2535" t="str">
        <f>"4170055368                    "</f>
        <v xml:space="preserve">4170055368                    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0</v>
      </c>
      <c r="AI2535">
        <v>0</v>
      </c>
      <c r="AJ2535">
        <v>0</v>
      </c>
      <c r="AK2535">
        <v>0</v>
      </c>
      <c r="AL2535">
        <v>0</v>
      </c>
      <c r="AM2535">
        <v>0</v>
      </c>
      <c r="AN2535">
        <v>0</v>
      </c>
      <c r="AO2535">
        <v>0</v>
      </c>
      <c r="AP2535">
        <v>0</v>
      </c>
      <c r="AQ2535">
        <v>44.73</v>
      </c>
      <c r="AR2535">
        <v>0</v>
      </c>
      <c r="AS2535">
        <v>0</v>
      </c>
      <c r="AT2535">
        <v>0</v>
      </c>
      <c r="AU2535">
        <v>0</v>
      </c>
      <c r="AV2535">
        <v>0</v>
      </c>
      <c r="AW2535">
        <v>0</v>
      </c>
      <c r="AX2535">
        <v>0</v>
      </c>
      <c r="AY2535">
        <v>0</v>
      </c>
      <c r="AZ2535">
        <v>0</v>
      </c>
      <c r="BA2535">
        <v>0</v>
      </c>
      <c r="BB2535">
        <v>0</v>
      </c>
      <c r="BC2535">
        <v>0</v>
      </c>
      <c r="BD2535">
        <v>0</v>
      </c>
      <c r="BE2535">
        <v>0</v>
      </c>
      <c r="BF2535">
        <v>0</v>
      </c>
      <c r="BG2535">
        <v>0</v>
      </c>
      <c r="BH2535">
        <v>1</v>
      </c>
      <c r="BI2535">
        <v>1</v>
      </c>
      <c r="BJ2535">
        <v>0.2</v>
      </c>
      <c r="BK2535">
        <v>1</v>
      </c>
      <c r="BL2535">
        <v>138.88999999999999</v>
      </c>
      <c r="BM2535">
        <v>20.83</v>
      </c>
      <c r="BN2535">
        <v>159.72</v>
      </c>
      <c r="BO2535">
        <v>159.72</v>
      </c>
      <c r="BQ2535" t="s">
        <v>710</v>
      </c>
      <c r="BR2535" t="s">
        <v>84</v>
      </c>
      <c r="BS2535" t="s">
        <v>96</v>
      </c>
      <c r="BY2535">
        <v>1200</v>
      </c>
      <c r="CC2535" t="s">
        <v>514</v>
      </c>
      <c r="CD2535" s="5" t="s">
        <v>519</v>
      </c>
      <c r="CE2535" t="s">
        <v>109</v>
      </c>
      <c r="CI2535">
        <v>1</v>
      </c>
      <c r="CJ2535" t="s">
        <v>96</v>
      </c>
      <c r="CK2535">
        <v>23</v>
      </c>
      <c r="CL2535" t="s">
        <v>90</v>
      </c>
    </row>
    <row r="2536" spans="1:90" x14ac:dyDescent="0.3">
      <c r="A2536" t="s">
        <v>72</v>
      </c>
      <c r="B2536" t="s">
        <v>73</v>
      </c>
      <c r="C2536" t="s">
        <v>74</v>
      </c>
      <c r="E2536" t="str">
        <f>"080067302001"</f>
        <v>080067302001</v>
      </c>
      <c r="F2536" s="3">
        <v>45887</v>
      </c>
      <c r="G2536">
        <v>202605</v>
      </c>
      <c r="H2536" t="s">
        <v>75</v>
      </c>
      <c r="I2536" t="s">
        <v>76</v>
      </c>
      <c r="J2536" t="s">
        <v>77</v>
      </c>
      <c r="K2536" t="s">
        <v>78</v>
      </c>
      <c r="L2536" t="s">
        <v>123</v>
      </c>
      <c r="M2536" t="s">
        <v>124</v>
      </c>
      <c r="N2536" t="s">
        <v>125</v>
      </c>
      <c r="O2536" t="s">
        <v>82</v>
      </c>
      <c r="P2536" t="str">
        <f>"4170055374                    "</f>
        <v xml:space="preserve">4170055374                    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0</v>
      </c>
      <c r="AI2536">
        <v>0</v>
      </c>
      <c r="AJ2536">
        <v>0</v>
      </c>
      <c r="AK2536">
        <v>0</v>
      </c>
      <c r="AL2536">
        <v>0</v>
      </c>
      <c r="AM2536">
        <v>0</v>
      </c>
      <c r="AN2536">
        <v>0</v>
      </c>
      <c r="AO2536">
        <v>0</v>
      </c>
      <c r="AP2536">
        <v>0</v>
      </c>
      <c r="AQ2536">
        <v>23.09</v>
      </c>
      <c r="AR2536">
        <v>0</v>
      </c>
      <c r="AS2536">
        <v>0</v>
      </c>
      <c r="AT2536">
        <v>0</v>
      </c>
      <c r="AU2536">
        <v>0</v>
      </c>
      <c r="AV2536">
        <v>0</v>
      </c>
      <c r="AW2536">
        <v>0</v>
      </c>
      <c r="AX2536">
        <v>0</v>
      </c>
      <c r="AY2536">
        <v>0</v>
      </c>
      <c r="AZ2536">
        <v>0</v>
      </c>
      <c r="BA2536">
        <v>0</v>
      </c>
      <c r="BB2536">
        <v>0</v>
      </c>
      <c r="BC2536">
        <v>0</v>
      </c>
      <c r="BD2536">
        <v>0</v>
      </c>
      <c r="BE2536">
        <v>0</v>
      </c>
      <c r="BF2536">
        <v>0</v>
      </c>
      <c r="BG2536">
        <v>0</v>
      </c>
      <c r="BH2536">
        <v>1</v>
      </c>
      <c r="BI2536">
        <v>1</v>
      </c>
      <c r="BJ2536">
        <v>0.2</v>
      </c>
      <c r="BK2536">
        <v>1</v>
      </c>
      <c r="BL2536">
        <v>71.69</v>
      </c>
      <c r="BM2536">
        <v>10.75</v>
      </c>
      <c r="BN2536">
        <v>82.44</v>
      </c>
      <c r="BO2536">
        <v>82.44</v>
      </c>
      <c r="BQ2536" t="s">
        <v>126</v>
      </c>
      <c r="BR2536" t="s">
        <v>84</v>
      </c>
      <c r="BS2536" t="s">
        <v>96</v>
      </c>
      <c r="BY2536">
        <v>1200</v>
      </c>
      <c r="CC2536" t="s">
        <v>124</v>
      </c>
      <c r="CD2536">
        <v>7530</v>
      </c>
      <c r="CE2536" t="s">
        <v>109</v>
      </c>
      <c r="CI2536">
        <v>1</v>
      </c>
      <c r="CJ2536" t="s">
        <v>96</v>
      </c>
      <c r="CK2536">
        <v>21</v>
      </c>
      <c r="CL2536" t="s">
        <v>90</v>
      </c>
    </row>
    <row r="2537" spans="1:90" x14ac:dyDescent="0.3">
      <c r="A2537" t="s">
        <v>72</v>
      </c>
      <c r="B2537" t="s">
        <v>73</v>
      </c>
      <c r="C2537" t="s">
        <v>74</v>
      </c>
      <c r="E2537" t="str">
        <f>"080067302093"</f>
        <v>080067302093</v>
      </c>
      <c r="F2537" s="3">
        <v>45887</v>
      </c>
      <c r="G2537">
        <v>202605</v>
      </c>
      <c r="H2537" t="s">
        <v>75</v>
      </c>
      <c r="I2537" t="s">
        <v>76</v>
      </c>
      <c r="J2537" t="s">
        <v>77</v>
      </c>
      <c r="K2537" t="s">
        <v>78</v>
      </c>
      <c r="L2537" t="s">
        <v>278</v>
      </c>
      <c r="M2537" t="s">
        <v>279</v>
      </c>
      <c r="N2537" t="s">
        <v>928</v>
      </c>
      <c r="O2537" t="s">
        <v>95</v>
      </c>
      <c r="P2537" t="str">
        <f>"4170055336                    "</f>
        <v xml:space="preserve">4170055336                    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0</v>
      </c>
      <c r="AL2537">
        <v>0</v>
      </c>
      <c r="AM2537">
        <v>0</v>
      </c>
      <c r="AN2537">
        <v>0</v>
      </c>
      <c r="AO2537">
        <v>0</v>
      </c>
      <c r="AP2537">
        <v>0</v>
      </c>
      <c r="AQ2537">
        <v>44.64</v>
      </c>
      <c r="AR2537">
        <v>0</v>
      </c>
      <c r="AS2537">
        <v>0</v>
      </c>
      <c r="AT2537">
        <v>0</v>
      </c>
      <c r="AU2537">
        <v>0</v>
      </c>
      <c r="AV2537">
        <v>0</v>
      </c>
      <c r="AW2537">
        <v>0</v>
      </c>
      <c r="AX2537">
        <v>0</v>
      </c>
      <c r="AY2537">
        <v>0</v>
      </c>
      <c r="AZ2537">
        <v>0</v>
      </c>
      <c r="BA2537">
        <v>0</v>
      </c>
      <c r="BB2537">
        <v>0</v>
      </c>
      <c r="BC2537">
        <v>0</v>
      </c>
      <c r="BD2537">
        <v>0</v>
      </c>
      <c r="BE2537">
        <v>0</v>
      </c>
      <c r="BF2537">
        <v>0</v>
      </c>
      <c r="BG2537">
        <v>0</v>
      </c>
      <c r="BH2537">
        <v>1</v>
      </c>
      <c r="BI2537">
        <v>13</v>
      </c>
      <c r="BJ2537">
        <v>11.6</v>
      </c>
      <c r="BK2537">
        <v>13</v>
      </c>
      <c r="BL2537">
        <v>144.49</v>
      </c>
      <c r="BM2537">
        <v>21.67</v>
      </c>
      <c r="BN2537">
        <v>166.16</v>
      </c>
      <c r="BO2537">
        <v>166.16</v>
      </c>
      <c r="BQ2537" t="s">
        <v>929</v>
      </c>
      <c r="BR2537" t="s">
        <v>84</v>
      </c>
      <c r="BS2537" s="3">
        <v>45888</v>
      </c>
      <c r="BT2537" s="4">
        <v>0.32569444444444445</v>
      </c>
      <c r="BU2537" t="s">
        <v>2903</v>
      </c>
      <c r="BV2537" t="s">
        <v>86</v>
      </c>
      <c r="BY2537">
        <v>57760</v>
      </c>
      <c r="CA2537" t="s">
        <v>511</v>
      </c>
      <c r="CC2537" t="s">
        <v>279</v>
      </c>
      <c r="CD2537" s="5" t="s">
        <v>512</v>
      </c>
      <c r="CE2537" t="s">
        <v>1304</v>
      </c>
      <c r="CI2537">
        <v>1</v>
      </c>
      <c r="CJ2537">
        <v>1</v>
      </c>
      <c r="CK2537">
        <v>41</v>
      </c>
      <c r="CL2537" t="s">
        <v>90</v>
      </c>
    </row>
    <row r="2538" spans="1:90" x14ac:dyDescent="0.3">
      <c r="A2538" t="s">
        <v>72</v>
      </c>
      <c r="B2538" t="s">
        <v>73</v>
      </c>
      <c r="C2538" t="s">
        <v>74</v>
      </c>
      <c r="E2538" t="str">
        <f>"080067302140"</f>
        <v>080067302140</v>
      </c>
      <c r="F2538" s="3">
        <v>45887</v>
      </c>
      <c r="G2538">
        <v>202605</v>
      </c>
      <c r="H2538" t="s">
        <v>75</v>
      </c>
      <c r="I2538" t="s">
        <v>76</v>
      </c>
      <c r="J2538" t="s">
        <v>77</v>
      </c>
      <c r="K2538" t="s">
        <v>78</v>
      </c>
      <c r="L2538" t="s">
        <v>198</v>
      </c>
      <c r="M2538" t="s">
        <v>199</v>
      </c>
      <c r="N2538" t="s">
        <v>598</v>
      </c>
      <c r="O2538" t="s">
        <v>82</v>
      </c>
      <c r="P2538" t="str">
        <f>"4170055364                    "</f>
        <v xml:space="preserve">4170055364                    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0</v>
      </c>
      <c r="AI2538">
        <v>0</v>
      </c>
      <c r="AJ2538">
        <v>0</v>
      </c>
      <c r="AK2538">
        <v>0</v>
      </c>
      <c r="AL2538">
        <v>0</v>
      </c>
      <c r="AM2538">
        <v>0</v>
      </c>
      <c r="AN2538">
        <v>0</v>
      </c>
      <c r="AO2538">
        <v>0</v>
      </c>
      <c r="AP2538">
        <v>0</v>
      </c>
      <c r="AQ2538">
        <v>69.22</v>
      </c>
      <c r="AR2538">
        <v>0</v>
      </c>
      <c r="AS2538">
        <v>0</v>
      </c>
      <c r="AT2538">
        <v>0</v>
      </c>
      <c r="AU2538">
        <v>0</v>
      </c>
      <c r="AV2538">
        <v>0</v>
      </c>
      <c r="AW2538">
        <v>0</v>
      </c>
      <c r="AX2538">
        <v>0</v>
      </c>
      <c r="AY2538">
        <v>0</v>
      </c>
      <c r="AZ2538">
        <v>0</v>
      </c>
      <c r="BA2538">
        <v>0</v>
      </c>
      <c r="BB2538">
        <v>0</v>
      </c>
      <c r="BC2538">
        <v>0</v>
      </c>
      <c r="BD2538">
        <v>0</v>
      </c>
      <c r="BE2538">
        <v>0</v>
      </c>
      <c r="BF2538">
        <v>0</v>
      </c>
      <c r="BG2538">
        <v>0</v>
      </c>
      <c r="BH2538">
        <v>1</v>
      </c>
      <c r="BI2538">
        <v>6</v>
      </c>
      <c r="BJ2538">
        <v>3.1</v>
      </c>
      <c r="BK2538">
        <v>6</v>
      </c>
      <c r="BL2538">
        <v>214.94</v>
      </c>
      <c r="BM2538">
        <v>32.24</v>
      </c>
      <c r="BN2538">
        <v>247.18</v>
      </c>
      <c r="BO2538">
        <v>247.18</v>
      </c>
      <c r="BQ2538" t="s">
        <v>599</v>
      </c>
      <c r="BR2538" t="s">
        <v>84</v>
      </c>
      <c r="BS2538" s="3">
        <v>45888</v>
      </c>
      <c r="BT2538" s="4">
        <v>0.36319444444444443</v>
      </c>
      <c r="BU2538" t="s">
        <v>600</v>
      </c>
      <c r="BV2538" t="s">
        <v>86</v>
      </c>
      <c r="BY2538">
        <v>15616</v>
      </c>
      <c r="CA2538" t="s">
        <v>601</v>
      </c>
      <c r="CC2538" t="s">
        <v>199</v>
      </c>
      <c r="CD2538">
        <v>6001</v>
      </c>
      <c r="CE2538" t="s">
        <v>117</v>
      </c>
      <c r="CI2538">
        <v>1</v>
      </c>
      <c r="CJ2538">
        <v>1</v>
      </c>
      <c r="CK2538">
        <v>21</v>
      </c>
      <c r="CL2538" t="s">
        <v>90</v>
      </c>
    </row>
    <row r="2539" spans="1:90" x14ac:dyDescent="0.3">
      <c r="A2539" t="s">
        <v>72</v>
      </c>
      <c r="B2539" t="s">
        <v>73</v>
      </c>
      <c r="C2539" t="s">
        <v>74</v>
      </c>
      <c r="E2539" t="str">
        <f>"080067302174"</f>
        <v>080067302174</v>
      </c>
      <c r="F2539" s="3">
        <v>45887</v>
      </c>
      <c r="G2539">
        <v>202605</v>
      </c>
      <c r="H2539" t="s">
        <v>75</v>
      </c>
      <c r="I2539" t="s">
        <v>76</v>
      </c>
      <c r="J2539" t="s">
        <v>77</v>
      </c>
      <c r="K2539" t="s">
        <v>78</v>
      </c>
      <c r="L2539" t="s">
        <v>75</v>
      </c>
      <c r="M2539" t="s">
        <v>76</v>
      </c>
      <c r="N2539" t="s">
        <v>537</v>
      </c>
      <c r="O2539" t="s">
        <v>113</v>
      </c>
      <c r="P2539" t="str">
        <f>"4170055360                    "</f>
        <v xml:space="preserve">4170055360                    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0</v>
      </c>
      <c r="AI2539">
        <v>0</v>
      </c>
      <c r="AJ2539">
        <v>0</v>
      </c>
      <c r="AK2539">
        <v>0</v>
      </c>
      <c r="AL2539">
        <v>0</v>
      </c>
      <c r="AM2539">
        <v>0</v>
      </c>
      <c r="AN2539">
        <v>0</v>
      </c>
      <c r="AO2539">
        <v>0</v>
      </c>
      <c r="AP2539">
        <v>0</v>
      </c>
      <c r="AQ2539">
        <v>18.04</v>
      </c>
      <c r="AR2539">
        <v>0</v>
      </c>
      <c r="AS2539">
        <v>0</v>
      </c>
      <c r="AT2539">
        <v>0</v>
      </c>
      <c r="AU2539">
        <v>0</v>
      </c>
      <c r="AV2539">
        <v>0</v>
      </c>
      <c r="AW2539">
        <v>0</v>
      </c>
      <c r="AX2539">
        <v>0</v>
      </c>
      <c r="AY2539">
        <v>0</v>
      </c>
      <c r="AZ2539">
        <v>0</v>
      </c>
      <c r="BA2539">
        <v>0</v>
      </c>
      <c r="BB2539">
        <v>0</v>
      </c>
      <c r="BC2539">
        <v>0</v>
      </c>
      <c r="BD2539">
        <v>0</v>
      </c>
      <c r="BE2539">
        <v>0</v>
      </c>
      <c r="BF2539">
        <v>0</v>
      </c>
      <c r="BG2539">
        <v>0</v>
      </c>
      <c r="BH2539">
        <v>1</v>
      </c>
      <c r="BI2539">
        <v>1</v>
      </c>
      <c r="BJ2539">
        <v>7.5</v>
      </c>
      <c r="BK2539">
        <v>8</v>
      </c>
      <c r="BL2539">
        <v>56.01</v>
      </c>
      <c r="BM2539">
        <v>8.4</v>
      </c>
      <c r="BN2539">
        <v>64.41</v>
      </c>
      <c r="BO2539">
        <v>64.41</v>
      </c>
      <c r="BQ2539" t="s">
        <v>538</v>
      </c>
      <c r="BR2539" t="s">
        <v>84</v>
      </c>
      <c r="BS2539" t="s">
        <v>96</v>
      </c>
      <c r="BY2539">
        <v>37488</v>
      </c>
      <c r="CC2539" t="s">
        <v>76</v>
      </c>
      <c r="CD2539">
        <v>1619</v>
      </c>
      <c r="CE2539" t="s">
        <v>147</v>
      </c>
      <c r="CI2539">
        <v>1</v>
      </c>
      <c r="CJ2539" t="s">
        <v>96</v>
      </c>
      <c r="CK2539">
        <v>32</v>
      </c>
      <c r="CL2539" t="s">
        <v>90</v>
      </c>
    </row>
    <row r="2540" spans="1:90" x14ac:dyDescent="0.3">
      <c r="A2540" t="s">
        <v>72</v>
      </c>
      <c r="B2540" t="s">
        <v>73</v>
      </c>
      <c r="C2540" t="s">
        <v>74</v>
      </c>
      <c r="E2540" t="str">
        <f>"080067302232"</f>
        <v>080067302232</v>
      </c>
      <c r="F2540" s="3">
        <v>45887</v>
      </c>
      <c r="G2540">
        <v>202605</v>
      </c>
      <c r="H2540" t="s">
        <v>75</v>
      </c>
      <c r="I2540" t="s">
        <v>76</v>
      </c>
      <c r="J2540" t="s">
        <v>77</v>
      </c>
      <c r="K2540" t="s">
        <v>78</v>
      </c>
      <c r="L2540" t="s">
        <v>75</v>
      </c>
      <c r="M2540" t="s">
        <v>76</v>
      </c>
      <c r="N2540" t="s">
        <v>830</v>
      </c>
      <c r="O2540" t="s">
        <v>113</v>
      </c>
      <c r="P2540" t="str">
        <f>"4170055365                    "</f>
        <v xml:space="preserve">4170055365                    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0</v>
      </c>
      <c r="AI2540">
        <v>0</v>
      </c>
      <c r="AJ2540">
        <v>0</v>
      </c>
      <c r="AK2540">
        <v>0</v>
      </c>
      <c r="AL2540">
        <v>0</v>
      </c>
      <c r="AM2540">
        <v>0</v>
      </c>
      <c r="AN2540">
        <v>0</v>
      </c>
      <c r="AO2540">
        <v>0</v>
      </c>
      <c r="AP2540">
        <v>0</v>
      </c>
      <c r="AQ2540">
        <v>18.04</v>
      </c>
      <c r="AR2540">
        <v>0</v>
      </c>
      <c r="AS2540">
        <v>0</v>
      </c>
      <c r="AT2540">
        <v>0</v>
      </c>
      <c r="AU2540">
        <v>0</v>
      </c>
      <c r="AV2540">
        <v>0</v>
      </c>
      <c r="AW2540">
        <v>0</v>
      </c>
      <c r="AX2540">
        <v>0</v>
      </c>
      <c r="AY2540">
        <v>0</v>
      </c>
      <c r="AZ2540">
        <v>0</v>
      </c>
      <c r="BA2540">
        <v>0</v>
      </c>
      <c r="BB2540">
        <v>0</v>
      </c>
      <c r="BC2540">
        <v>0</v>
      </c>
      <c r="BD2540">
        <v>0</v>
      </c>
      <c r="BE2540">
        <v>0</v>
      </c>
      <c r="BF2540">
        <v>0</v>
      </c>
      <c r="BG2540">
        <v>0</v>
      </c>
      <c r="BH2540">
        <v>1</v>
      </c>
      <c r="BI2540">
        <v>5</v>
      </c>
      <c r="BJ2540">
        <v>5.5</v>
      </c>
      <c r="BK2540">
        <v>6</v>
      </c>
      <c r="BL2540">
        <v>56.01</v>
      </c>
      <c r="BM2540">
        <v>8.4</v>
      </c>
      <c r="BN2540">
        <v>64.41</v>
      </c>
      <c r="BO2540">
        <v>64.41</v>
      </c>
      <c r="BQ2540" t="s">
        <v>831</v>
      </c>
      <c r="BR2540" t="s">
        <v>84</v>
      </c>
      <c r="BS2540" s="3">
        <v>45888</v>
      </c>
      <c r="BT2540" s="4">
        <v>0.37708333333333333</v>
      </c>
      <c r="BU2540" t="s">
        <v>827</v>
      </c>
      <c r="BV2540" t="s">
        <v>86</v>
      </c>
      <c r="BY2540">
        <v>27594</v>
      </c>
      <c r="CA2540" t="s">
        <v>1743</v>
      </c>
      <c r="CC2540" t="s">
        <v>76</v>
      </c>
      <c r="CD2540">
        <v>1601</v>
      </c>
      <c r="CE2540" t="s">
        <v>147</v>
      </c>
      <c r="CI2540">
        <v>1</v>
      </c>
      <c r="CJ2540">
        <v>1</v>
      </c>
      <c r="CK2540">
        <v>32</v>
      </c>
      <c r="CL2540" t="s">
        <v>90</v>
      </c>
    </row>
    <row r="2541" spans="1:90" x14ac:dyDescent="0.3">
      <c r="A2541" t="s">
        <v>72</v>
      </c>
      <c r="B2541" t="s">
        <v>73</v>
      </c>
      <c r="C2541" t="s">
        <v>74</v>
      </c>
      <c r="E2541" t="str">
        <f>"080067302292"</f>
        <v>080067302292</v>
      </c>
      <c r="F2541" s="3">
        <v>45887</v>
      </c>
      <c r="G2541">
        <v>202605</v>
      </c>
      <c r="H2541" t="s">
        <v>75</v>
      </c>
      <c r="I2541" t="s">
        <v>76</v>
      </c>
      <c r="J2541" t="s">
        <v>77</v>
      </c>
      <c r="K2541" t="s">
        <v>78</v>
      </c>
      <c r="L2541" t="s">
        <v>118</v>
      </c>
      <c r="M2541" t="s">
        <v>118</v>
      </c>
      <c r="N2541" t="s">
        <v>466</v>
      </c>
      <c r="O2541" t="s">
        <v>95</v>
      </c>
      <c r="P2541" t="str">
        <f>"4170055335                    "</f>
        <v xml:space="preserve">4170055335                    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Q2541">
        <v>162.65</v>
      </c>
      <c r="AR2541">
        <v>0</v>
      </c>
      <c r="AS2541">
        <v>0</v>
      </c>
      <c r="AT2541">
        <v>0</v>
      </c>
      <c r="AU2541">
        <v>0</v>
      </c>
      <c r="AV2541">
        <v>0</v>
      </c>
      <c r="AW2541">
        <v>0</v>
      </c>
      <c r="AX2541">
        <v>0</v>
      </c>
      <c r="AY2541">
        <v>0</v>
      </c>
      <c r="AZ2541">
        <v>0</v>
      </c>
      <c r="BA2541">
        <v>0</v>
      </c>
      <c r="BB2541">
        <v>0</v>
      </c>
      <c r="BC2541">
        <v>0</v>
      </c>
      <c r="BD2541">
        <v>0</v>
      </c>
      <c r="BE2541">
        <v>0</v>
      </c>
      <c r="BF2541">
        <v>0</v>
      </c>
      <c r="BG2541">
        <v>0</v>
      </c>
      <c r="BH2541">
        <v>1</v>
      </c>
      <c r="BI2541">
        <v>46</v>
      </c>
      <c r="BJ2541">
        <v>11.7</v>
      </c>
      <c r="BK2541">
        <v>46</v>
      </c>
      <c r="BL2541">
        <v>510.94</v>
      </c>
      <c r="BM2541">
        <v>76.64</v>
      </c>
      <c r="BN2541">
        <v>587.58000000000004</v>
      </c>
      <c r="BO2541">
        <v>587.58000000000004</v>
      </c>
      <c r="BQ2541" t="s">
        <v>1178</v>
      </c>
      <c r="BR2541" t="s">
        <v>84</v>
      </c>
      <c r="BS2541" t="s">
        <v>96</v>
      </c>
      <c r="BY2541">
        <v>58560</v>
      </c>
      <c r="CC2541" t="s">
        <v>118</v>
      </c>
      <c r="CD2541">
        <v>7646</v>
      </c>
      <c r="CE2541" t="s">
        <v>1803</v>
      </c>
      <c r="CI2541">
        <v>3</v>
      </c>
      <c r="CJ2541" t="s">
        <v>96</v>
      </c>
      <c r="CK2541">
        <v>43</v>
      </c>
      <c r="CL2541" t="s">
        <v>90</v>
      </c>
    </row>
    <row r="2542" spans="1:90" x14ac:dyDescent="0.3">
      <c r="A2542" t="s">
        <v>72</v>
      </c>
      <c r="B2542" t="s">
        <v>73</v>
      </c>
      <c r="C2542" t="s">
        <v>74</v>
      </c>
      <c r="E2542" t="str">
        <f>"080067302359"</f>
        <v>080067302359</v>
      </c>
      <c r="F2542" s="3">
        <v>45887</v>
      </c>
      <c r="G2542">
        <v>202605</v>
      </c>
      <c r="H2542" t="s">
        <v>75</v>
      </c>
      <c r="I2542" t="s">
        <v>76</v>
      </c>
      <c r="J2542" t="s">
        <v>77</v>
      </c>
      <c r="K2542" t="s">
        <v>78</v>
      </c>
      <c r="L2542" t="s">
        <v>2208</v>
      </c>
      <c r="M2542" t="s">
        <v>2209</v>
      </c>
      <c r="N2542" t="s">
        <v>2210</v>
      </c>
      <c r="O2542" t="s">
        <v>82</v>
      </c>
      <c r="P2542" t="str">
        <f>"4170055328                    "</f>
        <v xml:space="preserve">4170055328                    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0</v>
      </c>
      <c r="AI2542">
        <v>0</v>
      </c>
      <c r="AJ2542">
        <v>0</v>
      </c>
      <c r="AK2542">
        <v>0</v>
      </c>
      <c r="AL2542">
        <v>0</v>
      </c>
      <c r="AM2542">
        <v>0</v>
      </c>
      <c r="AN2542">
        <v>0</v>
      </c>
      <c r="AO2542">
        <v>0</v>
      </c>
      <c r="AP2542">
        <v>0</v>
      </c>
      <c r="AQ2542">
        <v>256.79000000000002</v>
      </c>
      <c r="AR2542">
        <v>0</v>
      </c>
      <c r="AS2542">
        <v>0</v>
      </c>
      <c r="AT2542">
        <v>0</v>
      </c>
      <c r="AU2542">
        <v>0</v>
      </c>
      <c r="AV2542">
        <v>0</v>
      </c>
      <c r="AW2542">
        <v>16.739999999999998</v>
      </c>
      <c r="AX2542">
        <v>0</v>
      </c>
      <c r="AY2542">
        <v>0</v>
      </c>
      <c r="AZ2542">
        <v>0</v>
      </c>
      <c r="BA2542">
        <v>0</v>
      </c>
      <c r="BB2542">
        <v>0</v>
      </c>
      <c r="BC2542">
        <v>0</v>
      </c>
      <c r="BD2542">
        <v>0</v>
      </c>
      <c r="BE2542">
        <v>0</v>
      </c>
      <c r="BF2542">
        <v>0</v>
      </c>
      <c r="BG2542">
        <v>0</v>
      </c>
      <c r="BH2542">
        <v>1</v>
      </c>
      <c r="BI2542">
        <v>9</v>
      </c>
      <c r="BJ2542">
        <v>12.5</v>
      </c>
      <c r="BK2542">
        <v>12.5</v>
      </c>
      <c r="BL2542">
        <v>814.15</v>
      </c>
      <c r="BM2542">
        <v>122.12</v>
      </c>
      <c r="BN2542">
        <v>936.27</v>
      </c>
      <c r="BO2542">
        <v>936.27</v>
      </c>
      <c r="BQ2542" t="s">
        <v>2211</v>
      </c>
      <c r="BR2542" t="s">
        <v>84</v>
      </c>
      <c r="BS2542" t="s">
        <v>96</v>
      </c>
      <c r="BY2542">
        <v>62400</v>
      </c>
      <c r="BZ2542" t="s">
        <v>30</v>
      </c>
      <c r="CC2542" t="s">
        <v>2209</v>
      </c>
      <c r="CD2542">
        <v>5660</v>
      </c>
      <c r="CE2542" t="s">
        <v>147</v>
      </c>
      <c r="CI2542">
        <v>2</v>
      </c>
      <c r="CJ2542" t="s">
        <v>96</v>
      </c>
      <c r="CK2542">
        <v>23</v>
      </c>
      <c r="CL2542" t="s">
        <v>90</v>
      </c>
    </row>
    <row r="2543" spans="1:90" x14ac:dyDescent="0.3">
      <c r="A2543" t="s">
        <v>72</v>
      </c>
      <c r="B2543" t="s">
        <v>73</v>
      </c>
      <c r="C2543" t="s">
        <v>74</v>
      </c>
      <c r="E2543" t="str">
        <f>"080067302400"</f>
        <v>080067302400</v>
      </c>
      <c r="F2543" s="3">
        <v>45887</v>
      </c>
      <c r="G2543">
        <v>202605</v>
      </c>
      <c r="H2543" t="s">
        <v>75</v>
      </c>
      <c r="I2543" t="s">
        <v>76</v>
      </c>
      <c r="J2543" t="s">
        <v>77</v>
      </c>
      <c r="K2543" t="s">
        <v>78</v>
      </c>
      <c r="L2543" t="s">
        <v>319</v>
      </c>
      <c r="M2543" t="s">
        <v>320</v>
      </c>
      <c r="N2543" t="s">
        <v>321</v>
      </c>
      <c r="O2543" t="s">
        <v>82</v>
      </c>
      <c r="P2543" t="str">
        <f>"4170055304                    "</f>
        <v xml:space="preserve">4170055304                    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0</v>
      </c>
      <c r="AI2543">
        <v>0</v>
      </c>
      <c r="AJ2543">
        <v>0</v>
      </c>
      <c r="AK2543">
        <v>0</v>
      </c>
      <c r="AL2543">
        <v>0</v>
      </c>
      <c r="AM2543">
        <v>0</v>
      </c>
      <c r="AN2543">
        <v>0</v>
      </c>
      <c r="AO2543">
        <v>0</v>
      </c>
      <c r="AP2543">
        <v>0</v>
      </c>
      <c r="AQ2543">
        <v>44.73</v>
      </c>
      <c r="AR2543">
        <v>0</v>
      </c>
      <c r="AS2543">
        <v>0</v>
      </c>
      <c r="AT2543">
        <v>0</v>
      </c>
      <c r="AU2543">
        <v>0</v>
      </c>
      <c r="AV2543">
        <v>0</v>
      </c>
      <c r="AW2543">
        <v>0</v>
      </c>
      <c r="AX2543">
        <v>0</v>
      </c>
      <c r="AY2543">
        <v>0</v>
      </c>
      <c r="AZ2543">
        <v>0</v>
      </c>
      <c r="BA2543">
        <v>0</v>
      </c>
      <c r="BB2543">
        <v>0</v>
      </c>
      <c r="BC2543">
        <v>0</v>
      </c>
      <c r="BD2543">
        <v>0</v>
      </c>
      <c r="BE2543">
        <v>0</v>
      </c>
      <c r="BF2543">
        <v>0</v>
      </c>
      <c r="BG2543">
        <v>0</v>
      </c>
      <c r="BH2543">
        <v>1</v>
      </c>
      <c r="BI2543">
        <v>1</v>
      </c>
      <c r="BJ2543">
        <v>1.1000000000000001</v>
      </c>
      <c r="BK2543">
        <v>1.5</v>
      </c>
      <c r="BL2543">
        <v>138.88999999999999</v>
      </c>
      <c r="BM2543">
        <v>20.83</v>
      </c>
      <c r="BN2543">
        <v>159.72</v>
      </c>
      <c r="BO2543">
        <v>159.72</v>
      </c>
      <c r="BQ2543" t="s">
        <v>322</v>
      </c>
      <c r="BR2543" t="s">
        <v>84</v>
      </c>
      <c r="BS2543" t="s">
        <v>96</v>
      </c>
      <c r="BY2543">
        <v>5320</v>
      </c>
      <c r="CC2543" t="s">
        <v>320</v>
      </c>
      <c r="CD2543">
        <v>2531</v>
      </c>
      <c r="CE2543" t="s">
        <v>147</v>
      </c>
      <c r="CI2543">
        <v>1</v>
      </c>
      <c r="CJ2543" t="s">
        <v>96</v>
      </c>
      <c r="CK2543">
        <v>23</v>
      </c>
      <c r="CL2543" t="s">
        <v>90</v>
      </c>
    </row>
    <row r="2544" spans="1:90" x14ac:dyDescent="0.3">
      <c r="A2544" t="s">
        <v>72</v>
      </c>
      <c r="B2544" t="s">
        <v>73</v>
      </c>
      <c r="C2544" t="s">
        <v>74</v>
      </c>
      <c r="E2544" t="str">
        <f>"080067302431"</f>
        <v>080067302431</v>
      </c>
      <c r="F2544" s="3">
        <v>45887</v>
      </c>
      <c r="G2544">
        <v>202605</v>
      </c>
      <c r="H2544" t="s">
        <v>75</v>
      </c>
      <c r="I2544" t="s">
        <v>76</v>
      </c>
      <c r="J2544" t="s">
        <v>77</v>
      </c>
      <c r="K2544" t="s">
        <v>78</v>
      </c>
      <c r="L2544" t="s">
        <v>198</v>
      </c>
      <c r="M2544" t="s">
        <v>199</v>
      </c>
      <c r="N2544" t="s">
        <v>680</v>
      </c>
      <c r="O2544" t="s">
        <v>82</v>
      </c>
      <c r="P2544" t="str">
        <f>"4170055353                    "</f>
        <v xml:space="preserve">4170055353                    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0</v>
      </c>
      <c r="AI2544">
        <v>0</v>
      </c>
      <c r="AJ2544">
        <v>0</v>
      </c>
      <c r="AK2544">
        <v>0</v>
      </c>
      <c r="AL2544">
        <v>0</v>
      </c>
      <c r="AM2544">
        <v>0</v>
      </c>
      <c r="AN2544">
        <v>0</v>
      </c>
      <c r="AO2544">
        <v>0</v>
      </c>
      <c r="AP2544">
        <v>0</v>
      </c>
      <c r="AQ2544">
        <v>57.68</v>
      </c>
      <c r="AR2544">
        <v>0</v>
      </c>
      <c r="AS2544">
        <v>0</v>
      </c>
      <c r="AT2544">
        <v>0</v>
      </c>
      <c r="AU2544">
        <v>0</v>
      </c>
      <c r="AV2544">
        <v>0</v>
      </c>
      <c r="AW2544">
        <v>0</v>
      </c>
      <c r="AX2544">
        <v>0</v>
      </c>
      <c r="AY2544">
        <v>0</v>
      </c>
      <c r="AZ2544">
        <v>0</v>
      </c>
      <c r="BA2544">
        <v>0</v>
      </c>
      <c r="BB2544">
        <v>0</v>
      </c>
      <c r="BC2544">
        <v>0</v>
      </c>
      <c r="BD2544">
        <v>0</v>
      </c>
      <c r="BE2544">
        <v>0</v>
      </c>
      <c r="BF2544">
        <v>0</v>
      </c>
      <c r="BG2544">
        <v>0</v>
      </c>
      <c r="BH2544">
        <v>1</v>
      </c>
      <c r="BI2544">
        <v>2</v>
      </c>
      <c r="BJ2544">
        <v>4.8</v>
      </c>
      <c r="BK2544">
        <v>5</v>
      </c>
      <c r="BL2544">
        <v>179.12</v>
      </c>
      <c r="BM2544">
        <v>26.87</v>
      </c>
      <c r="BN2544">
        <v>205.99</v>
      </c>
      <c r="BO2544">
        <v>205.99</v>
      </c>
      <c r="BQ2544" t="s">
        <v>681</v>
      </c>
      <c r="BR2544" t="s">
        <v>84</v>
      </c>
      <c r="BS2544" s="3">
        <v>45888</v>
      </c>
      <c r="BT2544" s="4">
        <v>0.38472222222222224</v>
      </c>
      <c r="BU2544" t="s">
        <v>2644</v>
      </c>
      <c r="BV2544" t="s">
        <v>86</v>
      </c>
      <c r="BY2544">
        <v>23751</v>
      </c>
      <c r="CA2544" t="s">
        <v>413</v>
      </c>
      <c r="CC2544" t="s">
        <v>199</v>
      </c>
      <c r="CD2544">
        <v>6001</v>
      </c>
      <c r="CE2544" t="s">
        <v>147</v>
      </c>
      <c r="CI2544">
        <v>1</v>
      </c>
      <c r="CJ2544">
        <v>1</v>
      </c>
      <c r="CK2544">
        <v>21</v>
      </c>
      <c r="CL2544" t="s">
        <v>90</v>
      </c>
    </row>
    <row r="2545" spans="1:90" x14ac:dyDescent="0.3">
      <c r="A2545" t="s">
        <v>72</v>
      </c>
      <c r="B2545" t="s">
        <v>73</v>
      </c>
      <c r="C2545" t="s">
        <v>74</v>
      </c>
      <c r="E2545" t="str">
        <f>"080067302461"</f>
        <v>080067302461</v>
      </c>
      <c r="F2545" s="3">
        <v>45887</v>
      </c>
      <c r="G2545">
        <v>202605</v>
      </c>
      <c r="H2545" t="s">
        <v>75</v>
      </c>
      <c r="I2545" t="s">
        <v>76</v>
      </c>
      <c r="J2545" t="s">
        <v>77</v>
      </c>
      <c r="K2545" t="s">
        <v>78</v>
      </c>
      <c r="L2545" t="s">
        <v>198</v>
      </c>
      <c r="M2545" t="s">
        <v>199</v>
      </c>
      <c r="N2545" t="s">
        <v>955</v>
      </c>
      <c r="O2545" t="s">
        <v>82</v>
      </c>
      <c r="P2545" t="str">
        <f>"4170055358                    "</f>
        <v xml:space="preserve">4170055358                    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0</v>
      </c>
      <c r="AI2545">
        <v>0</v>
      </c>
      <c r="AJ2545">
        <v>0</v>
      </c>
      <c r="AK2545">
        <v>0</v>
      </c>
      <c r="AL2545">
        <v>0</v>
      </c>
      <c r="AM2545">
        <v>0</v>
      </c>
      <c r="AN2545">
        <v>0</v>
      </c>
      <c r="AO2545">
        <v>0</v>
      </c>
      <c r="AP2545">
        <v>0</v>
      </c>
      <c r="AQ2545">
        <v>57.68</v>
      </c>
      <c r="AR2545">
        <v>0</v>
      </c>
      <c r="AS2545">
        <v>0</v>
      </c>
      <c r="AT2545">
        <v>0</v>
      </c>
      <c r="AU2545">
        <v>0</v>
      </c>
      <c r="AV2545">
        <v>0</v>
      </c>
      <c r="AW2545">
        <v>0</v>
      </c>
      <c r="AX2545">
        <v>0</v>
      </c>
      <c r="AY2545">
        <v>0</v>
      </c>
      <c r="AZ2545">
        <v>0</v>
      </c>
      <c r="BA2545">
        <v>0</v>
      </c>
      <c r="BB2545">
        <v>0</v>
      </c>
      <c r="BC2545">
        <v>0</v>
      </c>
      <c r="BD2545">
        <v>0</v>
      </c>
      <c r="BE2545">
        <v>0</v>
      </c>
      <c r="BF2545">
        <v>0</v>
      </c>
      <c r="BG2545">
        <v>0</v>
      </c>
      <c r="BH2545">
        <v>1</v>
      </c>
      <c r="BI2545">
        <v>4</v>
      </c>
      <c r="BJ2545">
        <v>4.8</v>
      </c>
      <c r="BK2545">
        <v>5</v>
      </c>
      <c r="BL2545">
        <v>179.12</v>
      </c>
      <c r="BM2545">
        <v>26.87</v>
      </c>
      <c r="BN2545">
        <v>205.99</v>
      </c>
      <c r="BO2545">
        <v>205.99</v>
      </c>
      <c r="BQ2545" t="s">
        <v>956</v>
      </c>
      <c r="BR2545" t="s">
        <v>84</v>
      </c>
      <c r="BS2545" t="s">
        <v>96</v>
      </c>
      <c r="BY2545">
        <v>23751</v>
      </c>
      <c r="CC2545" t="s">
        <v>199</v>
      </c>
      <c r="CD2545">
        <v>6012</v>
      </c>
      <c r="CE2545" t="s">
        <v>147</v>
      </c>
      <c r="CI2545">
        <v>1</v>
      </c>
      <c r="CJ2545" t="s">
        <v>96</v>
      </c>
      <c r="CK2545">
        <v>21</v>
      </c>
      <c r="CL2545" t="s">
        <v>90</v>
      </c>
    </row>
    <row r="2546" spans="1:90" x14ac:dyDescent="0.3">
      <c r="A2546" t="s">
        <v>72</v>
      </c>
      <c r="B2546" t="s">
        <v>73</v>
      </c>
      <c r="C2546" t="s">
        <v>74</v>
      </c>
      <c r="E2546" t="str">
        <f>"080067302681"</f>
        <v>080067302681</v>
      </c>
      <c r="F2546" s="3">
        <v>45887</v>
      </c>
      <c r="G2546">
        <v>202605</v>
      </c>
      <c r="H2546" t="s">
        <v>75</v>
      </c>
      <c r="I2546" t="s">
        <v>76</v>
      </c>
      <c r="J2546" t="s">
        <v>77</v>
      </c>
      <c r="K2546" t="s">
        <v>78</v>
      </c>
      <c r="L2546" t="s">
        <v>129</v>
      </c>
      <c r="M2546" t="s">
        <v>130</v>
      </c>
      <c r="N2546" t="s">
        <v>1866</v>
      </c>
      <c r="O2546" t="s">
        <v>82</v>
      </c>
      <c r="P2546" t="str">
        <f>"4170055346                    "</f>
        <v xml:space="preserve">4170055346                    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0</v>
      </c>
      <c r="AI2546">
        <v>0</v>
      </c>
      <c r="AJ2546">
        <v>0</v>
      </c>
      <c r="AK2546">
        <v>0</v>
      </c>
      <c r="AL2546">
        <v>0</v>
      </c>
      <c r="AM2546">
        <v>0</v>
      </c>
      <c r="AN2546">
        <v>0</v>
      </c>
      <c r="AO2546">
        <v>0</v>
      </c>
      <c r="AP2546">
        <v>0</v>
      </c>
      <c r="AQ2546">
        <v>23.09</v>
      </c>
      <c r="AR2546">
        <v>0</v>
      </c>
      <c r="AS2546">
        <v>0</v>
      </c>
      <c r="AT2546">
        <v>0</v>
      </c>
      <c r="AU2546">
        <v>0</v>
      </c>
      <c r="AV2546">
        <v>0</v>
      </c>
      <c r="AW2546">
        <v>0</v>
      </c>
      <c r="AX2546">
        <v>0</v>
      </c>
      <c r="AY2546">
        <v>0</v>
      </c>
      <c r="AZ2546">
        <v>0</v>
      </c>
      <c r="BA2546">
        <v>0</v>
      </c>
      <c r="BB2546">
        <v>0</v>
      </c>
      <c r="BC2546">
        <v>0</v>
      </c>
      <c r="BD2546">
        <v>0</v>
      </c>
      <c r="BE2546">
        <v>0</v>
      </c>
      <c r="BF2546">
        <v>0</v>
      </c>
      <c r="BG2546">
        <v>0</v>
      </c>
      <c r="BH2546">
        <v>1</v>
      </c>
      <c r="BI2546">
        <v>1</v>
      </c>
      <c r="BJ2546">
        <v>0.2</v>
      </c>
      <c r="BK2546">
        <v>1</v>
      </c>
      <c r="BL2546">
        <v>71.69</v>
      </c>
      <c r="BM2546">
        <v>10.75</v>
      </c>
      <c r="BN2546">
        <v>82.44</v>
      </c>
      <c r="BO2546">
        <v>82.44</v>
      </c>
      <c r="BQ2546" t="s">
        <v>1869</v>
      </c>
      <c r="BR2546" t="s">
        <v>84</v>
      </c>
      <c r="BS2546" t="s">
        <v>96</v>
      </c>
      <c r="BY2546">
        <v>1200</v>
      </c>
      <c r="CC2546" t="s">
        <v>130</v>
      </c>
      <c r="CD2546">
        <v>4113</v>
      </c>
      <c r="CE2546" t="s">
        <v>109</v>
      </c>
      <c r="CI2546">
        <v>1</v>
      </c>
      <c r="CJ2546" t="s">
        <v>96</v>
      </c>
      <c r="CK2546">
        <v>21</v>
      </c>
      <c r="CL2546" t="s">
        <v>90</v>
      </c>
    </row>
    <row r="2547" spans="1:90" x14ac:dyDescent="0.3">
      <c r="A2547" t="s">
        <v>72</v>
      </c>
      <c r="B2547" t="s">
        <v>73</v>
      </c>
      <c r="C2547" t="s">
        <v>74</v>
      </c>
      <c r="E2547" t="str">
        <f>"080067302687"</f>
        <v>080067302687</v>
      </c>
      <c r="F2547" s="3">
        <v>45887</v>
      </c>
      <c r="G2547">
        <v>202605</v>
      </c>
      <c r="H2547" t="s">
        <v>75</v>
      </c>
      <c r="I2547" t="s">
        <v>76</v>
      </c>
      <c r="J2547" t="s">
        <v>77</v>
      </c>
      <c r="K2547" t="s">
        <v>78</v>
      </c>
      <c r="L2547" t="s">
        <v>129</v>
      </c>
      <c r="M2547" t="s">
        <v>130</v>
      </c>
      <c r="N2547" t="s">
        <v>1866</v>
      </c>
      <c r="O2547" t="s">
        <v>82</v>
      </c>
      <c r="P2547" t="str">
        <f>"4170055371                    "</f>
        <v xml:space="preserve">4170055371                    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0</v>
      </c>
      <c r="AI2547">
        <v>0</v>
      </c>
      <c r="AJ2547"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>
        <v>0</v>
      </c>
      <c r="AQ2547">
        <v>23.09</v>
      </c>
      <c r="AR2547">
        <v>0</v>
      </c>
      <c r="AS2547">
        <v>0</v>
      </c>
      <c r="AT2547">
        <v>0</v>
      </c>
      <c r="AU2547">
        <v>0</v>
      </c>
      <c r="AV2547">
        <v>0</v>
      </c>
      <c r="AW2547">
        <v>0</v>
      </c>
      <c r="AX2547">
        <v>0</v>
      </c>
      <c r="AY2547">
        <v>0</v>
      </c>
      <c r="AZ2547">
        <v>0</v>
      </c>
      <c r="BA2547">
        <v>0</v>
      </c>
      <c r="BB2547">
        <v>0</v>
      </c>
      <c r="BC2547">
        <v>0</v>
      </c>
      <c r="BD2547">
        <v>0</v>
      </c>
      <c r="BE2547">
        <v>0</v>
      </c>
      <c r="BF2547">
        <v>0</v>
      </c>
      <c r="BG2547">
        <v>0</v>
      </c>
      <c r="BH2547">
        <v>1</v>
      </c>
      <c r="BI2547">
        <v>2</v>
      </c>
      <c r="BJ2547">
        <v>0.9</v>
      </c>
      <c r="BK2547">
        <v>2</v>
      </c>
      <c r="BL2547">
        <v>71.69</v>
      </c>
      <c r="BM2547">
        <v>10.75</v>
      </c>
      <c r="BN2547">
        <v>82.44</v>
      </c>
      <c r="BO2547">
        <v>82.44</v>
      </c>
      <c r="BQ2547" t="s">
        <v>1869</v>
      </c>
      <c r="BR2547" t="s">
        <v>84</v>
      </c>
      <c r="BS2547" t="s">
        <v>96</v>
      </c>
      <c r="BY2547">
        <v>4608</v>
      </c>
      <c r="CC2547" t="s">
        <v>130</v>
      </c>
      <c r="CD2547">
        <v>4113</v>
      </c>
      <c r="CE2547" t="s">
        <v>117</v>
      </c>
      <c r="CI2547">
        <v>1</v>
      </c>
      <c r="CJ2547" t="s">
        <v>96</v>
      </c>
      <c r="CK2547">
        <v>21</v>
      </c>
      <c r="CL2547" t="s">
        <v>90</v>
      </c>
    </row>
    <row r="2548" spans="1:90" x14ac:dyDescent="0.3">
      <c r="A2548" t="s">
        <v>72</v>
      </c>
      <c r="B2548" t="s">
        <v>73</v>
      </c>
      <c r="C2548" t="s">
        <v>74</v>
      </c>
      <c r="E2548" t="str">
        <f>"080067302701"</f>
        <v>080067302701</v>
      </c>
      <c r="F2548" s="3">
        <v>45887</v>
      </c>
      <c r="G2548">
        <v>202605</v>
      </c>
      <c r="H2548" t="s">
        <v>75</v>
      </c>
      <c r="I2548" t="s">
        <v>76</v>
      </c>
      <c r="J2548" t="s">
        <v>77</v>
      </c>
      <c r="K2548" t="s">
        <v>78</v>
      </c>
      <c r="L2548" t="s">
        <v>319</v>
      </c>
      <c r="M2548" t="s">
        <v>320</v>
      </c>
      <c r="N2548" t="s">
        <v>321</v>
      </c>
      <c r="O2548" t="s">
        <v>82</v>
      </c>
      <c r="P2548" t="str">
        <f>"4170055372                    "</f>
        <v xml:space="preserve">4170055372                    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0</v>
      </c>
      <c r="AI2548">
        <v>0</v>
      </c>
      <c r="AJ2548">
        <v>0</v>
      </c>
      <c r="AK2548">
        <v>0</v>
      </c>
      <c r="AL2548">
        <v>0</v>
      </c>
      <c r="AM2548">
        <v>0</v>
      </c>
      <c r="AN2548">
        <v>0</v>
      </c>
      <c r="AO2548">
        <v>0</v>
      </c>
      <c r="AP2548">
        <v>0</v>
      </c>
      <c r="AQ2548">
        <v>44.73</v>
      </c>
      <c r="AR2548">
        <v>0</v>
      </c>
      <c r="AS2548">
        <v>0</v>
      </c>
      <c r="AT2548">
        <v>0</v>
      </c>
      <c r="AU2548">
        <v>0</v>
      </c>
      <c r="AV2548">
        <v>0</v>
      </c>
      <c r="AW2548">
        <v>0</v>
      </c>
      <c r="AX2548">
        <v>0</v>
      </c>
      <c r="AY2548">
        <v>0</v>
      </c>
      <c r="AZ2548">
        <v>0</v>
      </c>
      <c r="BA2548">
        <v>0</v>
      </c>
      <c r="BB2548">
        <v>0</v>
      </c>
      <c r="BC2548">
        <v>0</v>
      </c>
      <c r="BD2548">
        <v>0</v>
      </c>
      <c r="BE2548">
        <v>0</v>
      </c>
      <c r="BF2548">
        <v>0</v>
      </c>
      <c r="BG2548">
        <v>0</v>
      </c>
      <c r="BH2548">
        <v>1</v>
      </c>
      <c r="BI2548">
        <v>1</v>
      </c>
      <c r="BJ2548">
        <v>0.2</v>
      </c>
      <c r="BK2548">
        <v>1</v>
      </c>
      <c r="BL2548">
        <v>138.88999999999999</v>
      </c>
      <c r="BM2548">
        <v>20.83</v>
      </c>
      <c r="BN2548">
        <v>159.72</v>
      </c>
      <c r="BO2548">
        <v>159.72</v>
      </c>
      <c r="BQ2548" t="s">
        <v>322</v>
      </c>
      <c r="BR2548" t="s">
        <v>84</v>
      </c>
      <c r="BS2548" t="s">
        <v>96</v>
      </c>
      <c r="BY2548">
        <v>1200</v>
      </c>
      <c r="CC2548" t="s">
        <v>320</v>
      </c>
      <c r="CD2548">
        <v>2531</v>
      </c>
      <c r="CE2548" t="s">
        <v>109</v>
      </c>
      <c r="CI2548">
        <v>1</v>
      </c>
      <c r="CJ2548" t="s">
        <v>96</v>
      </c>
      <c r="CK2548">
        <v>23</v>
      </c>
      <c r="CL2548" t="s">
        <v>90</v>
      </c>
    </row>
    <row r="2549" spans="1:90" x14ac:dyDescent="0.3">
      <c r="A2549" t="s">
        <v>72</v>
      </c>
      <c r="B2549" t="s">
        <v>73</v>
      </c>
      <c r="C2549" t="s">
        <v>74</v>
      </c>
      <c r="E2549" t="str">
        <f>"080067302720"</f>
        <v>080067302720</v>
      </c>
      <c r="F2549" s="3">
        <v>45887</v>
      </c>
      <c r="G2549">
        <v>202605</v>
      </c>
      <c r="H2549" t="s">
        <v>75</v>
      </c>
      <c r="I2549" t="s">
        <v>76</v>
      </c>
      <c r="J2549" t="s">
        <v>77</v>
      </c>
      <c r="K2549" t="s">
        <v>78</v>
      </c>
      <c r="L2549" t="s">
        <v>234</v>
      </c>
      <c r="M2549" t="s">
        <v>235</v>
      </c>
      <c r="N2549" t="s">
        <v>2799</v>
      </c>
      <c r="O2549" t="s">
        <v>82</v>
      </c>
      <c r="P2549" t="str">
        <f>"4170055344                    "</f>
        <v xml:space="preserve">4170055344                    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>
        <v>23.09</v>
      </c>
      <c r="AR2549">
        <v>0</v>
      </c>
      <c r="AS2549">
        <v>0</v>
      </c>
      <c r="AT2549">
        <v>0</v>
      </c>
      <c r="AU2549">
        <v>0</v>
      </c>
      <c r="AV2549">
        <v>0</v>
      </c>
      <c r="AW2549">
        <v>0</v>
      </c>
      <c r="AX2549">
        <v>0</v>
      </c>
      <c r="AY2549">
        <v>0</v>
      </c>
      <c r="AZ2549">
        <v>0</v>
      </c>
      <c r="BA2549">
        <v>0</v>
      </c>
      <c r="BB2549">
        <v>0</v>
      </c>
      <c r="BC2549">
        <v>0</v>
      </c>
      <c r="BD2549">
        <v>0</v>
      </c>
      <c r="BE2549">
        <v>0</v>
      </c>
      <c r="BF2549">
        <v>0</v>
      </c>
      <c r="BG2549">
        <v>0</v>
      </c>
      <c r="BH2549">
        <v>1</v>
      </c>
      <c r="BI2549">
        <v>1</v>
      </c>
      <c r="BJ2549">
        <v>2</v>
      </c>
      <c r="BK2549">
        <v>2</v>
      </c>
      <c r="BL2549">
        <v>71.69</v>
      </c>
      <c r="BM2549">
        <v>10.75</v>
      </c>
      <c r="BN2549">
        <v>82.44</v>
      </c>
      <c r="BO2549">
        <v>82.44</v>
      </c>
      <c r="BQ2549" t="s">
        <v>2800</v>
      </c>
      <c r="BR2549" t="s">
        <v>84</v>
      </c>
      <c r="BS2549" s="3">
        <v>45888</v>
      </c>
      <c r="BT2549" s="4">
        <v>0.32569444444444445</v>
      </c>
      <c r="BU2549" t="s">
        <v>2878</v>
      </c>
      <c r="BV2549" t="s">
        <v>86</v>
      </c>
      <c r="BY2549">
        <v>10080</v>
      </c>
      <c r="CA2549" t="s">
        <v>824</v>
      </c>
      <c r="CC2549" t="s">
        <v>235</v>
      </c>
      <c r="CD2549" s="5" t="s">
        <v>240</v>
      </c>
      <c r="CE2549" t="s">
        <v>117</v>
      </c>
      <c r="CI2549">
        <v>1</v>
      </c>
      <c r="CJ2549">
        <v>1</v>
      </c>
      <c r="CK2549">
        <v>21</v>
      </c>
      <c r="CL2549" t="s">
        <v>90</v>
      </c>
    </row>
    <row r="2550" spans="1:90" x14ac:dyDescent="0.3">
      <c r="A2550" t="s">
        <v>72</v>
      </c>
      <c r="B2550" t="s">
        <v>73</v>
      </c>
      <c r="C2550" t="s">
        <v>74</v>
      </c>
      <c r="E2550" t="str">
        <f>"080067302740"</f>
        <v>080067302740</v>
      </c>
      <c r="F2550" s="3">
        <v>45887</v>
      </c>
      <c r="G2550">
        <v>202605</v>
      </c>
      <c r="H2550" t="s">
        <v>75</v>
      </c>
      <c r="I2550" t="s">
        <v>76</v>
      </c>
      <c r="J2550" t="s">
        <v>77</v>
      </c>
      <c r="K2550" t="s">
        <v>78</v>
      </c>
      <c r="L2550" t="s">
        <v>217</v>
      </c>
      <c r="M2550" t="s">
        <v>218</v>
      </c>
      <c r="N2550" t="s">
        <v>219</v>
      </c>
      <c r="O2550" t="s">
        <v>82</v>
      </c>
      <c r="P2550" t="str">
        <f>"4170055370                    "</f>
        <v xml:space="preserve">4170055370                    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0</v>
      </c>
      <c r="AI2550">
        <v>0</v>
      </c>
      <c r="AJ2550">
        <v>0</v>
      </c>
      <c r="AK2550">
        <v>0</v>
      </c>
      <c r="AL2550">
        <v>0</v>
      </c>
      <c r="AM2550">
        <v>0</v>
      </c>
      <c r="AN2550">
        <v>0</v>
      </c>
      <c r="AO2550">
        <v>0</v>
      </c>
      <c r="AP2550">
        <v>0</v>
      </c>
      <c r="AQ2550">
        <v>23.09</v>
      </c>
      <c r="AR2550">
        <v>0</v>
      </c>
      <c r="AS2550">
        <v>0</v>
      </c>
      <c r="AT2550">
        <v>0</v>
      </c>
      <c r="AU2550">
        <v>0</v>
      </c>
      <c r="AV2550">
        <v>0</v>
      </c>
      <c r="AW2550">
        <v>0</v>
      </c>
      <c r="AX2550">
        <v>0</v>
      </c>
      <c r="AY2550">
        <v>0</v>
      </c>
      <c r="AZ2550">
        <v>0</v>
      </c>
      <c r="BA2550">
        <v>0</v>
      </c>
      <c r="BB2550">
        <v>0</v>
      </c>
      <c r="BC2550">
        <v>0</v>
      </c>
      <c r="BD2550">
        <v>0</v>
      </c>
      <c r="BE2550">
        <v>0</v>
      </c>
      <c r="BF2550">
        <v>0</v>
      </c>
      <c r="BG2550">
        <v>0</v>
      </c>
      <c r="BH2550">
        <v>1</v>
      </c>
      <c r="BI2550">
        <v>1</v>
      </c>
      <c r="BJ2550">
        <v>0.2</v>
      </c>
      <c r="BK2550">
        <v>1</v>
      </c>
      <c r="BL2550">
        <v>71.69</v>
      </c>
      <c r="BM2550">
        <v>10.75</v>
      </c>
      <c r="BN2550">
        <v>82.44</v>
      </c>
      <c r="BO2550">
        <v>82.44</v>
      </c>
      <c r="BQ2550" t="s">
        <v>220</v>
      </c>
      <c r="BR2550" t="s">
        <v>84</v>
      </c>
      <c r="BS2550" s="3">
        <v>45888</v>
      </c>
      <c r="BT2550" s="4">
        <v>0.32916666666666666</v>
      </c>
      <c r="BU2550" t="s">
        <v>2366</v>
      </c>
      <c r="BV2550" t="s">
        <v>86</v>
      </c>
      <c r="BY2550">
        <v>1200</v>
      </c>
      <c r="CA2550" t="s">
        <v>566</v>
      </c>
      <c r="CC2550" t="s">
        <v>218</v>
      </c>
      <c r="CD2550">
        <v>4000</v>
      </c>
      <c r="CE2550" t="s">
        <v>109</v>
      </c>
      <c r="CI2550">
        <v>1</v>
      </c>
      <c r="CJ2550">
        <v>1</v>
      </c>
      <c r="CK2550">
        <v>21</v>
      </c>
      <c r="CL2550" t="s">
        <v>90</v>
      </c>
    </row>
    <row r="2551" spans="1:90" x14ac:dyDescent="0.3">
      <c r="A2551" t="s">
        <v>72</v>
      </c>
      <c r="B2551" t="s">
        <v>73</v>
      </c>
      <c r="C2551" t="s">
        <v>74</v>
      </c>
      <c r="E2551" t="str">
        <f>"080067302772"</f>
        <v>080067302772</v>
      </c>
      <c r="F2551" s="3">
        <v>45887</v>
      </c>
      <c r="G2551">
        <v>202605</v>
      </c>
      <c r="H2551" t="s">
        <v>75</v>
      </c>
      <c r="I2551" t="s">
        <v>76</v>
      </c>
      <c r="J2551" t="s">
        <v>77</v>
      </c>
      <c r="K2551" t="s">
        <v>78</v>
      </c>
      <c r="L2551" t="s">
        <v>75</v>
      </c>
      <c r="M2551" t="s">
        <v>76</v>
      </c>
      <c r="N2551" t="s">
        <v>537</v>
      </c>
      <c r="O2551" t="s">
        <v>82</v>
      </c>
      <c r="P2551" t="str">
        <f>"4170055366                    "</f>
        <v xml:space="preserve">4170055366                    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0</v>
      </c>
      <c r="AI2551">
        <v>0</v>
      </c>
      <c r="AJ2551">
        <v>0</v>
      </c>
      <c r="AK2551">
        <v>0</v>
      </c>
      <c r="AL2551">
        <v>0</v>
      </c>
      <c r="AM2551">
        <v>0</v>
      </c>
      <c r="AN2551">
        <v>0</v>
      </c>
      <c r="AO2551">
        <v>0</v>
      </c>
      <c r="AP2551">
        <v>0</v>
      </c>
      <c r="AQ2551">
        <v>18.03</v>
      </c>
      <c r="AR2551">
        <v>0</v>
      </c>
      <c r="AS2551">
        <v>0</v>
      </c>
      <c r="AT2551">
        <v>0</v>
      </c>
      <c r="AU2551">
        <v>0</v>
      </c>
      <c r="AV2551">
        <v>0</v>
      </c>
      <c r="AW2551">
        <v>0</v>
      </c>
      <c r="AX2551">
        <v>0</v>
      </c>
      <c r="AY2551">
        <v>0</v>
      </c>
      <c r="AZ2551">
        <v>0</v>
      </c>
      <c r="BA2551">
        <v>0</v>
      </c>
      <c r="BB2551">
        <v>0</v>
      </c>
      <c r="BC2551">
        <v>0</v>
      </c>
      <c r="BD2551">
        <v>0</v>
      </c>
      <c r="BE2551">
        <v>0</v>
      </c>
      <c r="BF2551">
        <v>0</v>
      </c>
      <c r="BG2551">
        <v>0</v>
      </c>
      <c r="BH2551">
        <v>1</v>
      </c>
      <c r="BI2551">
        <v>1</v>
      </c>
      <c r="BJ2551">
        <v>3.1</v>
      </c>
      <c r="BK2551">
        <v>4</v>
      </c>
      <c r="BL2551">
        <v>55.99</v>
      </c>
      <c r="BM2551">
        <v>8.4</v>
      </c>
      <c r="BN2551">
        <v>64.39</v>
      </c>
      <c r="BO2551">
        <v>64.39</v>
      </c>
      <c r="BQ2551" t="s">
        <v>538</v>
      </c>
      <c r="BR2551" t="s">
        <v>84</v>
      </c>
      <c r="BS2551" t="s">
        <v>96</v>
      </c>
      <c r="BY2551">
        <v>15360</v>
      </c>
      <c r="CC2551" t="s">
        <v>76</v>
      </c>
      <c r="CD2551">
        <v>1619</v>
      </c>
      <c r="CE2551" t="s">
        <v>147</v>
      </c>
      <c r="CI2551">
        <v>1</v>
      </c>
      <c r="CJ2551" t="s">
        <v>96</v>
      </c>
      <c r="CK2551">
        <v>22</v>
      </c>
      <c r="CL2551" t="s">
        <v>90</v>
      </c>
    </row>
    <row r="2552" spans="1:90" x14ac:dyDescent="0.3">
      <c r="A2552" t="s">
        <v>72</v>
      </c>
      <c r="B2552" t="s">
        <v>73</v>
      </c>
      <c r="C2552" t="s">
        <v>74</v>
      </c>
      <c r="E2552" t="str">
        <f>"080067302776"</f>
        <v>080067302776</v>
      </c>
      <c r="F2552" s="3">
        <v>45887</v>
      </c>
      <c r="G2552">
        <v>202605</v>
      </c>
      <c r="H2552" t="s">
        <v>75</v>
      </c>
      <c r="I2552" t="s">
        <v>76</v>
      </c>
      <c r="J2552" t="s">
        <v>77</v>
      </c>
      <c r="K2552" t="s">
        <v>78</v>
      </c>
      <c r="L2552" t="s">
        <v>110</v>
      </c>
      <c r="M2552" t="s">
        <v>111</v>
      </c>
      <c r="N2552" t="s">
        <v>2879</v>
      </c>
      <c r="O2552" t="s">
        <v>82</v>
      </c>
      <c r="P2552" t="str">
        <f>"4170055375                    "</f>
        <v xml:space="preserve">4170055375                    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0</v>
      </c>
      <c r="AI2552">
        <v>0</v>
      </c>
      <c r="AJ2552">
        <v>0</v>
      </c>
      <c r="AK2552">
        <v>0</v>
      </c>
      <c r="AL2552">
        <v>0</v>
      </c>
      <c r="AM2552">
        <v>0</v>
      </c>
      <c r="AN2552">
        <v>0</v>
      </c>
      <c r="AO2552">
        <v>0</v>
      </c>
      <c r="AP2552">
        <v>0</v>
      </c>
      <c r="AQ2552">
        <v>18.03</v>
      </c>
      <c r="AR2552">
        <v>0</v>
      </c>
      <c r="AS2552">
        <v>0</v>
      </c>
      <c r="AT2552">
        <v>0</v>
      </c>
      <c r="AU2552">
        <v>0</v>
      </c>
      <c r="AV2552">
        <v>0</v>
      </c>
      <c r="AW2552">
        <v>0</v>
      </c>
      <c r="AX2552">
        <v>0</v>
      </c>
      <c r="AY2552">
        <v>0</v>
      </c>
      <c r="AZ2552">
        <v>0</v>
      </c>
      <c r="BA2552">
        <v>0</v>
      </c>
      <c r="BB2552">
        <v>0</v>
      </c>
      <c r="BC2552">
        <v>0</v>
      </c>
      <c r="BD2552">
        <v>0</v>
      </c>
      <c r="BE2552">
        <v>0</v>
      </c>
      <c r="BF2552">
        <v>0</v>
      </c>
      <c r="BG2552">
        <v>0</v>
      </c>
      <c r="BH2552">
        <v>1</v>
      </c>
      <c r="BI2552">
        <v>1</v>
      </c>
      <c r="BJ2552">
        <v>0.2</v>
      </c>
      <c r="BK2552">
        <v>1</v>
      </c>
      <c r="BL2552">
        <v>55.99</v>
      </c>
      <c r="BM2552">
        <v>8.4</v>
      </c>
      <c r="BN2552">
        <v>64.39</v>
      </c>
      <c r="BO2552">
        <v>64.39</v>
      </c>
      <c r="BQ2552" t="s">
        <v>2880</v>
      </c>
      <c r="BR2552" t="s">
        <v>84</v>
      </c>
      <c r="BS2552" t="s">
        <v>96</v>
      </c>
      <c r="BY2552">
        <v>1200</v>
      </c>
      <c r="CC2552" t="s">
        <v>111</v>
      </c>
      <c r="CD2552">
        <v>2158</v>
      </c>
      <c r="CE2552" t="s">
        <v>109</v>
      </c>
      <c r="CI2552">
        <v>1</v>
      </c>
      <c r="CJ2552" t="s">
        <v>96</v>
      </c>
      <c r="CK2552">
        <v>22</v>
      </c>
      <c r="CL2552" t="s">
        <v>90</v>
      </c>
    </row>
    <row r="2553" spans="1:90" x14ac:dyDescent="0.3">
      <c r="A2553" t="s">
        <v>72</v>
      </c>
      <c r="B2553" t="s">
        <v>73</v>
      </c>
      <c r="C2553" t="s">
        <v>74</v>
      </c>
      <c r="E2553" t="str">
        <f>"R080067245112"</f>
        <v>R080067245112</v>
      </c>
      <c r="F2553" s="3">
        <v>45887</v>
      </c>
      <c r="G2553">
        <v>202605</v>
      </c>
      <c r="H2553" t="s">
        <v>179</v>
      </c>
      <c r="I2553" t="s">
        <v>180</v>
      </c>
      <c r="J2553" t="s">
        <v>2687</v>
      </c>
      <c r="K2553" t="s">
        <v>78</v>
      </c>
      <c r="L2553" t="s">
        <v>179</v>
      </c>
      <c r="M2553" t="s">
        <v>180</v>
      </c>
      <c r="N2553" t="s">
        <v>2687</v>
      </c>
      <c r="O2553" t="s">
        <v>95</v>
      </c>
      <c r="P2553" t="str">
        <f>"4170054725                    "</f>
        <v xml:space="preserve">4170054725                    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0</v>
      </c>
      <c r="AI2553">
        <v>0</v>
      </c>
      <c r="AJ2553">
        <v>0</v>
      </c>
      <c r="AK2553">
        <v>0</v>
      </c>
      <c r="AL2553">
        <v>0</v>
      </c>
      <c r="AM2553">
        <v>0</v>
      </c>
      <c r="AN2553">
        <v>0</v>
      </c>
      <c r="AO2553">
        <v>0</v>
      </c>
      <c r="AP2553">
        <v>0</v>
      </c>
      <c r="AQ2553">
        <v>62.96</v>
      </c>
      <c r="AR2553">
        <v>0</v>
      </c>
      <c r="AS2553">
        <v>0</v>
      </c>
      <c r="AT2553">
        <v>0</v>
      </c>
      <c r="AU2553">
        <v>0</v>
      </c>
      <c r="AV2553">
        <v>0</v>
      </c>
      <c r="AW2553">
        <v>0</v>
      </c>
      <c r="AX2553">
        <v>0</v>
      </c>
      <c r="AY2553">
        <v>0</v>
      </c>
      <c r="AZ2553">
        <v>0</v>
      </c>
      <c r="BA2553">
        <v>0</v>
      </c>
      <c r="BB2553">
        <v>0</v>
      </c>
      <c r="BC2553">
        <v>0</v>
      </c>
      <c r="BD2553">
        <v>0</v>
      </c>
      <c r="BE2553">
        <v>0</v>
      </c>
      <c r="BF2553">
        <v>0</v>
      </c>
      <c r="BG2553">
        <v>0</v>
      </c>
      <c r="BH2553">
        <v>1</v>
      </c>
      <c r="BI2553">
        <v>4</v>
      </c>
      <c r="BJ2553">
        <v>1.7</v>
      </c>
      <c r="BK2553">
        <v>4</v>
      </c>
      <c r="BL2553">
        <v>201.38</v>
      </c>
      <c r="BM2553">
        <v>30.21</v>
      </c>
      <c r="BN2553">
        <v>231.59</v>
      </c>
      <c r="BO2553">
        <v>231.59</v>
      </c>
      <c r="BQ2553" t="s">
        <v>2907</v>
      </c>
      <c r="BR2553" t="s">
        <v>2688</v>
      </c>
      <c r="BS2553" t="s">
        <v>96</v>
      </c>
      <c r="BY2553">
        <v>8512</v>
      </c>
      <c r="BZ2553" t="s">
        <v>35</v>
      </c>
      <c r="CC2553" t="s">
        <v>180</v>
      </c>
      <c r="CD2553">
        <v>1739</v>
      </c>
      <c r="CE2553" t="s">
        <v>147</v>
      </c>
      <c r="CI2553">
        <v>1</v>
      </c>
      <c r="CJ2553" t="s">
        <v>96</v>
      </c>
      <c r="CK2553">
        <v>43</v>
      </c>
      <c r="CL2553" t="s">
        <v>90</v>
      </c>
    </row>
    <row r="2554" spans="1:90" x14ac:dyDescent="0.3">
      <c r="A2554" t="s">
        <v>72</v>
      </c>
      <c r="B2554" t="s">
        <v>73</v>
      </c>
      <c r="C2554" t="s">
        <v>74</v>
      </c>
      <c r="E2554" t="str">
        <f>"080067302807"</f>
        <v>080067302807</v>
      </c>
      <c r="F2554" s="3">
        <v>45887</v>
      </c>
      <c r="G2554">
        <v>202605</v>
      </c>
      <c r="H2554" t="s">
        <v>75</v>
      </c>
      <c r="I2554" t="s">
        <v>76</v>
      </c>
      <c r="J2554" t="s">
        <v>77</v>
      </c>
      <c r="K2554" t="s">
        <v>78</v>
      </c>
      <c r="L2554" t="s">
        <v>217</v>
      </c>
      <c r="M2554" t="s">
        <v>218</v>
      </c>
      <c r="N2554" t="s">
        <v>219</v>
      </c>
      <c r="O2554" t="s">
        <v>82</v>
      </c>
      <c r="P2554" t="str">
        <f>"4170055369                    "</f>
        <v xml:space="preserve">4170055369                    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0</v>
      </c>
      <c r="AI2554">
        <v>0</v>
      </c>
      <c r="AJ2554">
        <v>0</v>
      </c>
      <c r="AK2554">
        <v>0</v>
      </c>
      <c r="AL2554">
        <v>0</v>
      </c>
      <c r="AM2554">
        <v>0</v>
      </c>
      <c r="AN2554">
        <v>0</v>
      </c>
      <c r="AO2554">
        <v>0</v>
      </c>
      <c r="AP2554">
        <v>0</v>
      </c>
      <c r="AQ2554">
        <v>23.09</v>
      </c>
      <c r="AR2554">
        <v>0</v>
      </c>
      <c r="AS2554">
        <v>0</v>
      </c>
      <c r="AT2554">
        <v>0</v>
      </c>
      <c r="AU2554">
        <v>0</v>
      </c>
      <c r="AV2554">
        <v>0</v>
      </c>
      <c r="AW2554">
        <v>0</v>
      </c>
      <c r="AX2554">
        <v>0</v>
      </c>
      <c r="AY2554">
        <v>0</v>
      </c>
      <c r="AZ2554">
        <v>0</v>
      </c>
      <c r="BA2554">
        <v>0</v>
      </c>
      <c r="BB2554">
        <v>0</v>
      </c>
      <c r="BC2554">
        <v>0</v>
      </c>
      <c r="BD2554">
        <v>0</v>
      </c>
      <c r="BE2554">
        <v>0</v>
      </c>
      <c r="BF2554">
        <v>0</v>
      </c>
      <c r="BG2554">
        <v>0</v>
      </c>
      <c r="BH2554">
        <v>1</v>
      </c>
      <c r="BI2554">
        <v>1</v>
      </c>
      <c r="BJ2554">
        <v>0.2</v>
      </c>
      <c r="BK2554">
        <v>1</v>
      </c>
      <c r="BL2554">
        <v>71.69</v>
      </c>
      <c r="BM2554">
        <v>10.75</v>
      </c>
      <c r="BN2554">
        <v>82.44</v>
      </c>
      <c r="BO2554">
        <v>82.44</v>
      </c>
      <c r="BQ2554" t="s">
        <v>220</v>
      </c>
      <c r="BR2554" t="s">
        <v>84</v>
      </c>
      <c r="BS2554" s="3">
        <v>45888</v>
      </c>
      <c r="BT2554" s="4">
        <v>0.32916666666666666</v>
      </c>
      <c r="BU2554" t="s">
        <v>2366</v>
      </c>
      <c r="BV2554" t="s">
        <v>86</v>
      </c>
      <c r="BY2554">
        <v>1200</v>
      </c>
      <c r="CA2554" t="s">
        <v>566</v>
      </c>
      <c r="CC2554" t="s">
        <v>218</v>
      </c>
      <c r="CD2554">
        <v>4000</v>
      </c>
      <c r="CE2554" t="s">
        <v>109</v>
      </c>
      <c r="CI2554">
        <v>1</v>
      </c>
      <c r="CJ2554">
        <v>1</v>
      </c>
      <c r="CK2554">
        <v>21</v>
      </c>
      <c r="CL2554" t="s">
        <v>90</v>
      </c>
    </row>
    <row r="2555" spans="1:90" x14ac:dyDescent="0.3">
      <c r="A2555" t="s">
        <v>72</v>
      </c>
      <c r="B2555" t="s">
        <v>73</v>
      </c>
      <c r="C2555" t="s">
        <v>74</v>
      </c>
      <c r="E2555" t="str">
        <f>"080067302823"</f>
        <v>080067302823</v>
      </c>
      <c r="F2555" s="3">
        <v>45887</v>
      </c>
      <c r="G2555">
        <v>202605</v>
      </c>
      <c r="H2555" t="s">
        <v>75</v>
      </c>
      <c r="I2555" t="s">
        <v>76</v>
      </c>
      <c r="J2555" t="s">
        <v>77</v>
      </c>
      <c r="K2555" t="s">
        <v>78</v>
      </c>
      <c r="L2555" t="s">
        <v>137</v>
      </c>
      <c r="M2555" t="s">
        <v>138</v>
      </c>
      <c r="N2555" t="s">
        <v>2881</v>
      </c>
      <c r="O2555" t="s">
        <v>82</v>
      </c>
      <c r="P2555" t="str">
        <f>"4170055348                    "</f>
        <v xml:space="preserve">4170055348                    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0</v>
      </c>
      <c r="AL2555">
        <v>0</v>
      </c>
      <c r="AM2555">
        <v>0</v>
      </c>
      <c r="AN2555">
        <v>0</v>
      </c>
      <c r="AO2555">
        <v>0</v>
      </c>
      <c r="AP2555">
        <v>0</v>
      </c>
      <c r="AQ2555">
        <v>23.09</v>
      </c>
      <c r="AR2555">
        <v>0</v>
      </c>
      <c r="AS2555">
        <v>0</v>
      </c>
      <c r="AT2555">
        <v>0</v>
      </c>
      <c r="AU2555">
        <v>0</v>
      </c>
      <c r="AV2555">
        <v>0</v>
      </c>
      <c r="AW2555">
        <v>0</v>
      </c>
      <c r="AX2555">
        <v>0</v>
      </c>
      <c r="AY2555">
        <v>0</v>
      </c>
      <c r="AZ2555">
        <v>0</v>
      </c>
      <c r="BA2555">
        <v>0</v>
      </c>
      <c r="BB2555">
        <v>0</v>
      </c>
      <c r="BC2555">
        <v>0</v>
      </c>
      <c r="BD2555">
        <v>0</v>
      </c>
      <c r="BE2555">
        <v>0</v>
      </c>
      <c r="BF2555">
        <v>0</v>
      </c>
      <c r="BG2555">
        <v>0</v>
      </c>
      <c r="BH2555">
        <v>1</v>
      </c>
      <c r="BI2555">
        <v>2</v>
      </c>
      <c r="BJ2555">
        <v>1.4</v>
      </c>
      <c r="BK2555">
        <v>2</v>
      </c>
      <c r="BL2555">
        <v>71.69</v>
      </c>
      <c r="BM2555">
        <v>10.75</v>
      </c>
      <c r="BN2555">
        <v>82.44</v>
      </c>
      <c r="BO2555">
        <v>82.44</v>
      </c>
      <c r="BQ2555" t="s">
        <v>2882</v>
      </c>
      <c r="BR2555" t="s">
        <v>84</v>
      </c>
      <c r="BS2555" t="s">
        <v>96</v>
      </c>
      <c r="BY2555">
        <v>7000</v>
      </c>
      <c r="CC2555" t="s">
        <v>138</v>
      </c>
      <c r="CD2555">
        <v>3610</v>
      </c>
      <c r="CE2555" t="s">
        <v>147</v>
      </c>
      <c r="CI2555">
        <v>1</v>
      </c>
      <c r="CJ2555" t="s">
        <v>96</v>
      </c>
      <c r="CK2555">
        <v>21</v>
      </c>
      <c r="CL2555" t="s">
        <v>90</v>
      </c>
    </row>
    <row r="2556" spans="1:90" x14ac:dyDescent="0.3">
      <c r="A2556" t="s">
        <v>72</v>
      </c>
      <c r="B2556" t="s">
        <v>73</v>
      </c>
      <c r="C2556" t="s">
        <v>74</v>
      </c>
      <c r="E2556" t="str">
        <f>"080067302887"</f>
        <v>080067302887</v>
      </c>
      <c r="F2556" s="3">
        <v>45887</v>
      </c>
      <c r="G2556">
        <v>202605</v>
      </c>
      <c r="H2556" t="s">
        <v>75</v>
      </c>
      <c r="I2556" t="s">
        <v>76</v>
      </c>
      <c r="J2556" t="s">
        <v>77</v>
      </c>
      <c r="K2556" t="s">
        <v>78</v>
      </c>
      <c r="L2556" t="s">
        <v>123</v>
      </c>
      <c r="M2556" t="s">
        <v>124</v>
      </c>
      <c r="N2556" t="s">
        <v>1841</v>
      </c>
      <c r="O2556" t="s">
        <v>82</v>
      </c>
      <c r="P2556" t="str">
        <f>"4170055367                    "</f>
        <v xml:space="preserve">4170055367                    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0</v>
      </c>
      <c r="AI2556">
        <v>0</v>
      </c>
      <c r="AJ2556">
        <v>0</v>
      </c>
      <c r="AK2556">
        <v>0</v>
      </c>
      <c r="AL2556">
        <v>0</v>
      </c>
      <c r="AM2556">
        <v>0</v>
      </c>
      <c r="AN2556">
        <v>0</v>
      </c>
      <c r="AO2556">
        <v>0</v>
      </c>
      <c r="AP2556">
        <v>0</v>
      </c>
      <c r="AQ2556">
        <v>23.09</v>
      </c>
      <c r="AR2556">
        <v>0</v>
      </c>
      <c r="AS2556">
        <v>0</v>
      </c>
      <c r="AT2556">
        <v>0</v>
      </c>
      <c r="AU2556">
        <v>0</v>
      </c>
      <c r="AV2556">
        <v>0</v>
      </c>
      <c r="AW2556">
        <v>0</v>
      </c>
      <c r="AX2556">
        <v>0</v>
      </c>
      <c r="AY2556">
        <v>0</v>
      </c>
      <c r="AZ2556">
        <v>0</v>
      </c>
      <c r="BA2556">
        <v>0</v>
      </c>
      <c r="BB2556">
        <v>0</v>
      </c>
      <c r="BC2556">
        <v>0</v>
      </c>
      <c r="BD2556">
        <v>0</v>
      </c>
      <c r="BE2556">
        <v>0</v>
      </c>
      <c r="BF2556">
        <v>0</v>
      </c>
      <c r="BG2556">
        <v>0</v>
      </c>
      <c r="BH2556">
        <v>1</v>
      </c>
      <c r="BI2556">
        <v>1</v>
      </c>
      <c r="BJ2556">
        <v>0.2</v>
      </c>
      <c r="BK2556">
        <v>1</v>
      </c>
      <c r="BL2556">
        <v>71.69</v>
      </c>
      <c r="BM2556">
        <v>10.75</v>
      </c>
      <c r="BN2556">
        <v>82.44</v>
      </c>
      <c r="BO2556">
        <v>82.44</v>
      </c>
      <c r="BQ2556" t="s">
        <v>1842</v>
      </c>
      <c r="BR2556" t="s">
        <v>84</v>
      </c>
      <c r="BS2556" t="s">
        <v>96</v>
      </c>
      <c r="BY2556">
        <v>1200</v>
      </c>
      <c r="CC2556" t="s">
        <v>124</v>
      </c>
      <c r="CD2556">
        <v>7441</v>
      </c>
      <c r="CE2556" t="s">
        <v>109</v>
      </c>
      <c r="CI2556">
        <v>1</v>
      </c>
      <c r="CJ2556" t="s">
        <v>96</v>
      </c>
      <c r="CK2556">
        <v>21</v>
      </c>
      <c r="CL2556" t="s">
        <v>90</v>
      </c>
    </row>
    <row r="2557" spans="1:90" x14ac:dyDescent="0.3">
      <c r="A2557" t="s">
        <v>72</v>
      </c>
      <c r="B2557" t="s">
        <v>73</v>
      </c>
      <c r="C2557" t="s">
        <v>74</v>
      </c>
      <c r="E2557" t="str">
        <f>"080067302928"</f>
        <v>080067302928</v>
      </c>
      <c r="F2557" s="3">
        <v>45887</v>
      </c>
      <c r="G2557">
        <v>202605</v>
      </c>
      <c r="H2557" t="s">
        <v>75</v>
      </c>
      <c r="I2557" t="s">
        <v>76</v>
      </c>
      <c r="J2557" t="s">
        <v>77</v>
      </c>
      <c r="K2557" t="s">
        <v>78</v>
      </c>
      <c r="L2557" t="s">
        <v>137</v>
      </c>
      <c r="M2557" t="s">
        <v>138</v>
      </c>
      <c r="N2557" t="s">
        <v>815</v>
      </c>
      <c r="O2557" t="s">
        <v>82</v>
      </c>
      <c r="P2557" t="str">
        <f>"4170055337                    "</f>
        <v xml:space="preserve">4170055337                    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0</v>
      </c>
      <c r="AI2557">
        <v>0</v>
      </c>
      <c r="AJ2557">
        <v>0</v>
      </c>
      <c r="AK2557">
        <v>0</v>
      </c>
      <c r="AL2557">
        <v>0</v>
      </c>
      <c r="AM2557">
        <v>0</v>
      </c>
      <c r="AN2557">
        <v>0</v>
      </c>
      <c r="AO2557">
        <v>0</v>
      </c>
      <c r="AP2557">
        <v>0</v>
      </c>
      <c r="AQ2557">
        <v>40.380000000000003</v>
      </c>
      <c r="AR2557">
        <v>0</v>
      </c>
      <c r="AS2557">
        <v>0</v>
      </c>
      <c r="AT2557">
        <v>0</v>
      </c>
      <c r="AU2557">
        <v>0</v>
      </c>
      <c r="AV2557">
        <v>0</v>
      </c>
      <c r="AW2557">
        <v>0</v>
      </c>
      <c r="AX2557">
        <v>0</v>
      </c>
      <c r="AY2557">
        <v>0</v>
      </c>
      <c r="AZ2557">
        <v>0</v>
      </c>
      <c r="BA2557">
        <v>0</v>
      </c>
      <c r="BB2557">
        <v>0</v>
      </c>
      <c r="BC2557">
        <v>0</v>
      </c>
      <c r="BD2557">
        <v>0</v>
      </c>
      <c r="BE2557">
        <v>0</v>
      </c>
      <c r="BF2557">
        <v>0</v>
      </c>
      <c r="BG2557">
        <v>0</v>
      </c>
      <c r="BH2557">
        <v>1</v>
      </c>
      <c r="BI2557">
        <v>3</v>
      </c>
      <c r="BJ2557">
        <v>3.1</v>
      </c>
      <c r="BK2557">
        <v>3.5</v>
      </c>
      <c r="BL2557">
        <v>125.4</v>
      </c>
      <c r="BM2557">
        <v>18.809999999999999</v>
      </c>
      <c r="BN2557">
        <v>144.21</v>
      </c>
      <c r="BO2557">
        <v>144.21</v>
      </c>
      <c r="BQ2557" t="s">
        <v>2908</v>
      </c>
      <c r="BR2557" t="s">
        <v>84</v>
      </c>
      <c r="BS2557" t="s">
        <v>96</v>
      </c>
      <c r="BY2557">
        <v>15360</v>
      </c>
      <c r="CC2557" t="s">
        <v>138</v>
      </c>
      <c r="CD2557">
        <v>3610</v>
      </c>
      <c r="CE2557" t="s">
        <v>147</v>
      </c>
      <c r="CI2557">
        <v>1</v>
      </c>
      <c r="CJ2557" t="s">
        <v>96</v>
      </c>
      <c r="CK2557">
        <v>21</v>
      </c>
      <c r="CL2557" t="s">
        <v>90</v>
      </c>
    </row>
    <row r="2558" spans="1:90" x14ac:dyDescent="0.3">
      <c r="A2558" t="s">
        <v>72</v>
      </c>
      <c r="B2558" t="s">
        <v>73</v>
      </c>
      <c r="C2558" t="s">
        <v>74</v>
      </c>
      <c r="E2558" t="str">
        <f>"080067302946"</f>
        <v>080067302946</v>
      </c>
      <c r="F2558" s="3">
        <v>45887</v>
      </c>
      <c r="G2558">
        <v>202605</v>
      </c>
      <c r="H2558" t="s">
        <v>75</v>
      </c>
      <c r="I2558" t="s">
        <v>76</v>
      </c>
      <c r="J2558" t="s">
        <v>77</v>
      </c>
      <c r="K2558" t="s">
        <v>78</v>
      </c>
      <c r="L2558" t="s">
        <v>241</v>
      </c>
      <c r="M2558" t="s">
        <v>242</v>
      </c>
      <c r="N2558" t="s">
        <v>978</v>
      </c>
      <c r="O2558" t="s">
        <v>82</v>
      </c>
      <c r="P2558" t="str">
        <f>"4170055373                    "</f>
        <v xml:space="preserve">4170055373                    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0</v>
      </c>
      <c r="AI2558">
        <v>0</v>
      </c>
      <c r="AJ2558">
        <v>0</v>
      </c>
      <c r="AK2558">
        <v>0</v>
      </c>
      <c r="AL2558">
        <v>0</v>
      </c>
      <c r="AM2558">
        <v>0</v>
      </c>
      <c r="AN2558">
        <v>0</v>
      </c>
      <c r="AO2558">
        <v>0</v>
      </c>
      <c r="AP2558">
        <v>0</v>
      </c>
      <c r="AQ2558">
        <v>18.03</v>
      </c>
      <c r="AR2558">
        <v>0</v>
      </c>
      <c r="AS2558">
        <v>0</v>
      </c>
      <c r="AT2558">
        <v>0</v>
      </c>
      <c r="AU2558">
        <v>0</v>
      </c>
      <c r="AV2558">
        <v>0</v>
      </c>
      <c r="AW2558">
        <v>0</v>
      </c>
      <c r="AX2558">
        <v>0</v>
      </c>
      <c r="AY2558">
        <v>0</v>
      </c>
      <c r="AZ2558">
        <v>0</v>
      </c>
      <c r="BA2558">
        <v>0</v>
      </c>
      <c r="BB2558">
        <v>0</v>
      </c>
      <c r="BC2558">
        <v>0</v>
      </c>
      <c r="BD2558">
        <v>0</v>
      </c>
      <c r="BE2558">
        <v>0</v>
      </c>
      <c r="BF2558">
        <v>0</v>
      </c>
      <c r="BG2558">
        <v>0</v>
      </c>
      <c r="BH2558">
        <v>1</v>
      </c>
      <c r="BI2558">
        <v>1</v>
      </c>
      <c r="BJ2558">
        <v>0.2</v>
      </c>
      <c r="BK2558">
        <v>1</v>
      </c>
      <c r="BL2558">
        <v>55.99</v>
      </c>
      <c r="BM2558">
        <v>8.4</v>
      </c>
      <c r="BN2558">
        <v>64.39</v>
      </c>
      <c r="BO2558">
        <v>64.39</v>
      </c>
      <c r="BQ2558" t="s">
        <v>1774</v>
      </c>
      <c r="BR2558" t="s">
        <v>84</v>
      </c>
      <c r="BS2558" s="3">
        <v>45888</v>
      </c>
      <c r="BT2558" s="4">
        <v>0.34930555555555554</v>
      </c>
      <c r="BU2558" t="s">
        <v>900</v>
      </c>
      <c r="BV2558" t="s">
        <v>86</v>
      </c>
      <c r="BY2558">
        <v>1200</v>
      </c>
      <c r="CA2558" t="s">
        <v>720</v>
      </c>
      <c r="CC2558" t="s">
        <v>242</v>
      </c>
      <c r="CD2558">
        <v>1459</v>
      </c>
      <c r="CE2558" t="s">
        <v>109</v>
      </c>
      <c r="CI2558">
        <v>1</v>
      </c>
      <c r="CJ2558">
        <v>1</v>
      </c>
      <c r="CK2558">
        <v>22</v>
      </c>
      <c r="CL2558" t="s">
        <v>90</v>
      </c>
    </row>
    <row r="2559" spans="1:90" x14ac:dyDescent="0.3">
      <c r="A2559" t="s">
        <v>72</v>
      </c>
      <c r="B2559" t="s">
        <v>73</v>
      </c>
      <c r="C2559" t="s">
        <v>74</v>
      </c>
      <c r="E2559" t="str">
        <f>"080067302989"</f>
        <v>080067302989</v>
      </c>
      <c r="F2559" s="3">
        <v>45887</v>
      </c>
      <c r="G2559">
        <v>202605</v>
      </c>
      <c r="H2559" t="s">
        <v>75</v>
      </c>
      <c r="I2559" t="s">
        <v>76</v>
      </c>
      <c r="J2559" t="s">
        <v>77</v>
      </c>
      <c r="K2559" t="s">
        <v>78</v>
      </c>
      <c r="L2559" t="s">
        <v>1275</v>
      </c>
      <c r="M2559" t="s">
        <v>1276</v>
      </c>
      <c r="N2559" t="s">
        <v>2553</v>
      </c>
      <c r="O2559" t="s">
        <v>113</v>
      </c>
      <c r="P2559" t="str">
        <f>"4170055359                    "</f>
        <v xml:space="preserve">4170055359                    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0</v>
      </c>
      <c r="AI2559">
        <v>0</v>
      </c>
      <c r="AJ2559">
        <v>0</v>
      </c>
      <c r="AK2559">
        <v>0</v>
      </c>
      <c r="AL2559">
        <v>0</v>
      </c>
      <c r="AM2559">
        <v>0</v>
      </c>
      <c r="AN2559">
        <v>0</v>
      </c>
      <c r="AO2559">
        <v>0</v>
      </c>
      <c r="AP2559">
        <v>0</v>
      </c>
      <c r="AQ2559">
        <v>115.06</v>
      </c>
      <c r="AR2559">
        <v>0</v>
      </c>
      <c r="AS2559">
        <v>0</v>
      </c>
      <c r="AT2559">
        <v>0</v>
      </c>
      <c r="AU2559">
        <v>0</v>
      </c>
      <c r="AV2559">
        <v>0</v>
      </c>
      <c r="AW2559">
        <v>0</v>
      </c>
      <c r="AX2559">
        <v>0</v>
      </c>
      <c r="AY2559">
        <v>0</v>
      </c>
      <c r="AZ2559">
        <v>0</v>
      </c>
      <c r="BA2559">
        <v>0</v>
      </c>
      <c r="BB2559">
        <v>0</v>
      </c>
      <c r="BC2559">
        <v>0</v>
      </c>
      <c r="BD2559">
        <v>0</v>
      </c>
      <c r="BE2559">
        <v>0</v>
      </c>
      <c r="BF2559">
        <v>0</v>
      </c>
      <c r="BG2559">
        <v>0</v>
      </c>
      <c r="BH2559">
        <v>1</v>
      </c>
      <c r="BI2559">
        <v>5</v>
      </c>
      <c r="BJ2559">
        <v>3.1</v>
      </c>
      <c r="BK2559">
        <v>5</v>
      </c>
      <c r="BL2559">
        <v>357.3</v>
      </c>
      <c r="BM2559">
        <v>53.6</v>
      </c>
      <c r="BN2559">
        <v>410.9</v>
      </c>
      <c r="BO2559">
        <v>410.9</v>
      </c>
      <c r="BQ2559" t="s">
        <v>2554</v>
      </c>
      <c r="BR2559" t="s">
        <v>84</v>
      </c>
      <c r="BS2559" t="s">
        <v>96</v>
      </c>
      <c r="BY2559">
        <v>15360</v>
      </c>
      <c r="CC2559" t="s">
        <v>1276</v>
      </c>
      <c r="CD2559">
        <v>1911</v>
      </c>
      <c r="CE2559" t="s">
        <v>147</v>
      </c>
      <c r="CI2559">
        <v>1</v>
      </c>
      <c r="CJ2559" t="s">
        <v>96</v>
      </c>
      <c r="CK2559">
        <v>33</v>
      </c>
      <c r="CL2559" t="s">
        <v>90</v>
      </c>
    </row>
    <row r="2560" spans="1:90" x14ac:dyDescent="0.3">
      <c r="A2560" t="s">
        <v>72</v>
      </c>
      <c r="B2560" t="s">
        <v>73</v>
      </c>
      <c r="C2560" t="s">
        <v>74</v>
      </c>
      <c r="E2560" t="str">
        <f>"080067302998"</f>
        <v>080067302998</v>
      </c>
      <c r="F2560" s="3">
        <v>45887</v>
      </c>
      <c r="G2560">
        <v>202605</v>
      </c>
      <c r="H2560" t="s">
        <v>75</v>
      </c>
      <c r="I2560" t="s">
        <v>76</v>
      </c>
      <c r="J2560" t="s">
        <v>77</v>
      </c>
      <c r="K2560" t="s">
        <v>78</v>
      </c>
      <c r="L2560" t="s">
        <v>229</v>
      </c>
      <c r="M2560" t="s">
        <v>230</v>
      </c>
      <c r="N2560" t="s">
        <v>231</v>
      </c>
      <c r="O2560" t="s">
        <v>82</v>
      </c>
      <c r="P2560" t="str">
        <f>"4170055343                    "</f>
        <v xml:space="preserve">4170055343                    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0</v>
      </c>
      <c r="AI2560">
        <v>0</v>
      </c>
      <c r="AJ2560">
        <v>0</v>
      </c>
      <c r="AK2560">
        <v>0</v>
      </c>
      <c r="AL2560">
        <v>0</v>
      </c>
      <c r="AM2560">
        <v>0</v>
      </c>
      <c r="AN2560">
        <v>0</v>
      </c>
      <c r="AO2560">
        <v>0</v>
      </c>
      <c r="AP2560">
        <v>0</v>
      </c>
      <c r="AQ2560">
        <v>44.73</v>
      </c>
      <c r="AR2560">
        <v>0</v>
      </c>
      <c r="AS2560">
        <v>0</v>
      </c>
      <c r="AT2560">
        <v>0</v>
      </c>
      <c r="AU2560">
        <v>0</v>
      </c>
      <c r="AV2560">
        <v>0</v>
      </c>
      <c r="AW2560">
        <v>0</v>
      </c>
      <c r="AX2560">
        <v>0</v>
      </c>
      <c r="AY2560">
        <v>0</v>
      </c>
      <c r="AZ2560">
        <v>0</v>
      </c>
      <c r="BA2560">
        <v>0</v>
      </c>
      <c r="BB2560">
        <v>0</v>
      </c>
      <c r="BC2560">
        <v>0</v>
      </c>
      <c r="BD2560">
        <v>0</v>
      </c>
      <c r="BE2560">
        <v>0</v>
      </c>
      <c r="BF2560">
        <v>0</v>
      </c>
      <c r="BG2560">
        <v>0</v>
      </c>
      <c r="BH2560">
        <v>1</v>
      </c>
      <c r="BI2560">
        <v>1</v>
      </c>
      <c r="BJ2560">
        <v>0.2</v>
      </c>
      <c r="BK2560">
        <v>1</v>
      </c>
      <c r="BL2560">
        <v>138.88999999999999</v>
      </c>
      <c r="BM2560">
        <v>20.83</v>
      </c>
      <c r="BN2560">
        <v>159.72</v>
      </c>
      <c r="BO2560">
        <v>159.72</v>
      </c>
      <c r="BQ2560" t="s">
        <v>232</v>
      </c>
      <c r="BR2560" t="s">
        <v>84</v>
      </c>
      <c r="BS2560" t="s">
        <v>96</v>
      </c>
      <c r="BY2560">
        <v>1200</v>
      </c>
      <c r="CC2560" t="s">
        <v>230</v>
      </c>
      <c r="CD2560">
        <v>2740</v>
      </c>
      <c r="CE2560" t="s">
        <v>109</v>
      </c>
      <c r="CI2560">
        <v>1</v>
      </c>
      <c r="CJ2560" t="s">
        <v>96</v>
      </c>
      <c r="CK2560">
        <v>23</v>
      </c>
      <c r="CL2560" t="s">
        <v>90</v>
      </c>
    </row>
    <row r="2561" spans="1:90" x14ac:dyDescent="0.3">
      <c r="A2561" t="s">
        <v>72</v>
      </c>
      <c r="B2561" t="s">
        <v>73</v>
      </c>
      <c r="C2561" t="s">
        <v>74</v>
      </c>
      <c r="E2561" t="str">
        <f>"080067303037"</f>
        <v>080067303037</v>
      </c>
      <c r="F2561" s="3">
        <v>45887</v>
      </c>
      <c r="G2561">
        <v>202605</v>
      </c>
      <c r="H2561" t="s">
        <v>75</v>
      </c>
      <c r="I2561" t="s">
        <v>76</v>
      </c>
      <c r="J2561" t="s">
        <v>77</v>
      </c>
      <c r="K2561" t="s">
        <v>78</v>
      </c>
      <c r="L2561" t="s">
        <v>75</v>
      </c>
      <c r="M2561" t="s">
        <v>76</v>
      </c>
      <c r="N2561" t="s">
        <v>1100</v>
      </c>
      <c r="O2561" t="s">
        <v>82</v>
      </c>
      <c r="P2561" t="str">
        <f>"4170055355                    "</f>
        <v xml:space="preserve">4170055355                    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0</v>
      </c>
      <c r="AI2561">
        <v>0</v>
      </c>
      <c r="AJ2561">
        <v>0</v>
      </c>
      <c r="AK2561">
        <v>0</v>
      </c>
      <c r="AL2561">
        <v>0</v>
      </c>
      <c r="AM2561">
        <v>0</v>
      </c>
      <c r="AN2561">
        <v>0</v>
      </c>
      <c r="AO2561">
        <v>0</v>
      </c>
      <c r="AP2561">
        <v>0</v>
      </c>
      <c r="AQ2561">
        <v>18.03</v>
      </c>
      <c r="AR2561">
        <v>0</v>
      </c>
      <c r="AS2561">
        <v>0</v>
      </c>
      <c r="AT2561">
        <v>0</v>
      </c>
      <c r="AU2561">
        <v>0</v>
      </c>
      <c r="AV2561">
        <v>0</v>
      </c>
      <c r="AW2561">
        <v>0</v>
      </c>
      <c r="AX2561">
        <v>0</v>
      </c>
      <c r="AY2561">
        <v>0</v>
      </c>
      <c r="AZ2561">
        <v>0</v>
      </c>
      <c r="BA2561">
        <v>0</v>
      </c>
      <c r="BB2561">
        <v>0</v>
      </c>
      <c r="BC2561">
        <v>0</v>
      </c>
      <c r="BD2561">
        <v>0</v>
      </c>
      <c r="BE2561">
        <v>0</v>
      </c>
      <c r="BF2561">
        <v>0</v>
      </c>
      <c r="BG2561">
        <v>0</v>
      </c>
      <c r="BH2561">
        <v>1</v>
      </c>
      <c r="BI2561">
        <v>1</v>
      </c>
      <c r="BJ2561">
        <v>0.2</v>
      </c>
      <c r="BK2561">
        <v>1</v>
      </c>
      <c r="BL2561">
        <v>55.99</v>
      </c>
      <c r="BM2561">
        <v>8.4</v>
      </c>
      <c r="BN2561">
        <v>64.39</v>
      </c>
      <c r="BO2561">
        <v>64.39</v>
      </c>
      <c r="BQ2561" t="s">
        <v>1101</v>
      </c>
      <c r="BR2561" t="s">
        <v>84</v>
      </c>
      <c r="BS2561" s="3">
        <v>45888</v>
      </c>
      <c r="BT2561" s="4">
        <v>0.38541666666666669</v>
      </c>
      <c r="BU2561" t="s">
        <v>1892</v>
      </c>
      <c r="BV2561" t="s">
        <v>86</v>
      </c>
      <c r="BY2561">
        <v>1200</v>
      </c>
      <c r="CA2561" t="s">
        <v>1743</v>
      </c>
      <c r="CC2561" t="s">
        <v>76</v>
      </c>
      <c r="CD2561">
        <v>1600</v>
      </c>
      <c r="CE2561" t="s">
        <v>109</v>
      </c>
      <c r="CI2561">
        <v>1</v>
      </c>
      <c r="CJ2561">
        <v>1</v>
      </c>
      <c r="CK2561">
        <v>22</v>
      </c>
      <c r="CL2561" t="s">
        <v>90</v>
      </c>
    </row>
    <row r="2562" spans="1:90" x14ac:dyDescent="0.3">
      <c r="A2562" t="s">
        <v>72</v>
      </c>
      <c r="B2562" t="s">
        <v>73</v>
      </c>
      <c r="C2562" t="s">
        <v>74</v>
      </c>
      <c r="E2562" t="str">
        <f>"080067303074"</f>
        <v>080067303074</v>
      </c>
      <c r="F2562" s="3">
        <v>45887</v>
      </c>
      <c r="G2562">
        <v>202605</v>
      </c>
      <c r="H2562" t="s">
        <v>75</v>
      </c>
      <c r="I2562" t="s">
        <v>76</v>
      </c>
      <c r="J2562" t="s">
        <v>77</v>
      </c>
      <c r="K2562" t="s">
        <v>78</v>
      </c>
      <c r="L2562" t="s">
        <v>123</v>
      </c>
      <c r="M2562" t="s">
        <v>124</v>
      </c>
      <c r="N2562" t="s">
        <v>406</v>
      </c>
      <c r="O2562" t="s">
        <v>82</v>
      </c>
      <c r="P2562" t="str">
        <f>"4170055361                    "</f>
        <v xml:space="preserve">4170055361                    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0</v>
      </c>
      <c r="AI2562">
        <v>0</v>
      </c>
      <c r="AJ2562">
        <v>0</v>
      </c>
      <c r="AK2562">
        <v>0</v>
      </c>
      <c r="AL2562">
        <v>0</v>
      </c>
      <c r="AM2562">
        <v>0</v>
      </c>
      <c r="AN2562">
        <v>0</v>
      </c>
      <c r="AO2562">
        <v>0</v>
      </c>
      <c r="AP2562">
        <v>0</v>
      </c>
      <c r="AQ2562">
        <v>23.09</v>
      </c>
      <c r="AR2562">
        <v>0</v>
      </c>
      <c r="AS2562">
        <v>0</v>
      </c>
      <c r="AT2562">
        <v>0</v>
      </c>
      <c r="AU2562">
        <v>0</v>
      </c>
      <c r="AV2562">
        <v>0</v>
      </c>
      <c r="AW2562">
        <v>0</v>
      </c>
      <c r="AX2562">
        <v>0</v>
      </c>
      <c r="AY2562">
        <v>0</v>
      </c>
      <c r="AZ2562">
        <v>0</v>
      </c>
      <c r="BA2562">
        <v>0</v>
      </c>
      <c r="BB2562">
        <v>0</v>
      </c>
      <c r="BC2562">
        <v>0</v>
      </c>
      <c r="BD2562">
        <v>0</v>
      </c>
      <c r="BE2562">
        <v>0</v>
      </c>
      <c r="BF2562">
        <v>0</v>
      </c>
      <c r="BG2562">
        <v>0</v>
      </c>
      <c r="BH2562">
        <v>1</v>
      </c>
      <c r="BI2562">
        <v>1</v>
      </c>
      <c r="BJ2562">
        <v>0.2</v>
      </c>
      <c r="BK2562">
        <v>1</v>
      </c>
      <c r="BL2562">
        <v>71.69</v>
      </c>
      <c r="BM2562">
        <v>10.75</v>
      </c>
      <c r="BN2562">
        <v>82.44</v>
      </c>
      <c r="BO2562">
        <v>82.44</v>
      </c>
      <c r="BQ2562" t="s">
        <v>407</v>
      </c>
      <c r="BR2562" t="s">
        <v>84</v>
      </c>
      <c r="BS2562" t="s">
        <v>96</v>
      </c>
      <c r="BY2562">
        <v>1200</v>
      </c>
      <c r="CC2562" t="s">
        <v>124</v>
      </c>
      <c r="CD2562">
        <v>7441</v>
      </c>
      <c r="CE2562" t="s">
        <v>109</v>
      </c>
      <c r="CI2562">
        <v>1</v>
      </c>
      <c r="CJ2562" t="s">
        <v>96</v>
      </c>
      <c r="CK2562">
        <v>21</v>
      </c>
      <c r="CL2562" t="s">
        <v>90</v>
      </c>
    </row>
    <row r="2563" spans="1:90" x14ac:dyDescent="0.3">
      <c r="A2563" t="s">
        <v>72</v>
      </c>
      <c r="B2563" t="s">
        <v>73</v>
      </c>
      <c r="C2563" t="s">
        <v>74</v>
      </c>
      <c r="E2563" t="str">
        <f>"080067303201"</f>
        <v>080067303201</v>
      </c>
      <c r="F2563" s="3">
        <v>45887</v>
      </c>
      <c r="G2563">
        <v>202605</v>
      </c>
      <c r="H2563" t="s">
        <v>75</v>
      </c>
      <c r="I2563" t="s">
        <v>76</v>
      </c>
      <c r="J2563" t="s">
        <v>77</v>
      </c>
      <c r="K2563" t="s">
        <v>78</v>
      </c>
      <c r="L2563" t="s">
        <v>855</v>
      </c>
      <c r="M2563" t="s">
        <v>856</v>
      </c>
      <c r="N2563" t="s">
        <v>857</v>
      </c>
      <c r="O2563" t="s">
        <v>82</v>
      </c>
      <c r="P2563" t="str">
        <f>"4170055342                    "</f>
        <v xml:space="preserve">4170055342                    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0</v>
      </c>
      <c r="AI2563">
        <v>0</v>
      </c>
      <c r="AJ2563">
        <v>0</v>
      </c>
      <c r="AK2563">
        <v>0</v>
      </c>
      <c r="AL2563">
        <v>0</v>
      </c>
      <c r="AM2563">
        <v>0</v>
      </c>
      <c r="AN2563">
        <v>0</v>
      </c>
      <c r="AO2563">
        <v>0</v>
      </c>
      <c r="AP2563">
        <v>0</v>
      </c>
      <c r="AQ2563">
        <v>18.03</v>
      </c>
      <c r="AR2563">
        <v>0</v>
      </c>
      <c r="AS2563">
        <v>0</v>
      </c>
      <c r="AT2563">
        <v>0</v>
      </c>
      <c r="AU2563">
        <v>0</v>
      </c>
      <c r="AV2563">
        <v>0</v>
      </c>
      <c r="AW2563">
        <v>0</v>
      </c>
      <c r="AX2563">
        <v>0</v>
      </c>
      <c r="AY2563">
        <v>0</v>
      </c>
      <c r="AZ2563">
        <v>0</v>
      </c>
      <c r="BA2563">
        <v>0</v>
      </c>
      <c r="BB2563">
        <v>0</v>
      </c>
      <c r="BC2563">
        <v>0</v>
      </c>
      <c r="BD2563">
        <v>0</v>
      </c>
      <c r="BE2563">
        <v>0</v>
      </c>
      <c r="BF2563">
        <v>0</v>
      </c>
      <c r="BG2563">
        <v>0</v>
      </c>
      <c r="BH2563">
        <v>1</v>
      </c>
      <c r="BI2563">
        <v>1</v>
      </c>
      <c r="BJ2563">
        <v>0.2</v>
      </c>
      <c r="BK2563">
        <v>1</v>
      </c>
      <c r="BL2563">
        <v>55.99</v>
      </c>
      <c r="BM2563">
        <v>8.4</v>
      </c>
      <c r="BN2563">
        <v>64.39</v>
      </c>
      <c r="BO2563">
        <v>64.39</v>
      </c>
      <c r="BQ2563" t="s">
        <v>858</v>
      </c>
      <c r="BR2563" t="s">
        <v>84</v>
      </c>
      <c r="BS2563" t="s">
        <v>96</v>
      </c>
      <c r="BY2563">
        <v>1200</v>
      </c>
      <c r="CC2563" t="s">
        <v>856</v>
      </c>
      <c r="CD2563">
        <v>1682</v>
      </c>
      <c r="CE2563" t="s">
        <v>109</v>
      </c>
      <c r="CI2563">
        <v>1</v>
      </c>
      <c r="CJ2563" t="s">
        <v>96</v>
      </c>
      <c r="CK2563">
        <v>22</v>
      </c>
      <c r="CL2563" t="s">
        <v>90</v>
      </c>
    </row>
    <row r="2564" spans="1:90" x14ac:dyDescent="0.3">
      <c r="A2564" t="s">
        <v>72</v>
      </c>
      <c r="B2564" t="s">
        <v>73</v>
      </c>
      <c r="C2564" t="s">
        <v>74</v>
      </c>
      <c r="E2564" t="str">
        <f>"080067303247"</f>
        <v>080067303247</v>
      </c>
      <c r="F2564" s="3">
        <v>45887</v>
      </c>
      <c r="G2564">
        <v>202605</v>
      </c>
      <c r="H2564" t="s">
        <v>75</v>
      </c>
      <c r="I2564" t="s">
        <v>76</v>
      </c>
      <c r="J2564" t="s">
        <v>77</v>
      </c>
      <c r="K2564" t="s">
        <v>78</v>
      </c>
      <c r="L2564" t="s">
        <v>123</v>
      </c>
      <c r="M2564" t="s">
        <v>124</v>
      </c>
      <c r="N2564" t="s">
        <v>406</v>
      </c>
      <c r="O2564" t="s">
        <v>82</v>
      </c>
      <c r="P2564" t="str">
        <f>"4170055347                    "</f>
        <v xml:space="preserve">4170055347                    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0</v>
      </c>
      <c r="AI2564">
        <v>0</v>
      </c>
      <c r="AJ2564">
        <v>0</v>
      </c>
      <c r="AK2564">
        <v>0</v>
      </c>
      <c r="AL2564">
        <v>0</v>
      </c>
      <c r="AM2564">
        <v>0</v>
      </c>
      <c r="AN2564">
        <v>0</v>
      </c>
      <c r="AO2564">
        <v>0</v>
      </c>
      <c r="AP2564">
        <v>0</v>
      </c>
      <c r="AQ2564">
        <v>23.09</v>
      </c>
      <c r="AR2564">
        <v>0</v>
      </c>
      <c r="AS2564">
        <v>0</v>
      </c>
      <c r="AT2564">
        <v>0</v>
      </c>
      <c r="AU2564">
        <v>0</v>
      </c>
      <c r="AV2564">
        <v>0</v>
      </c>
      <c r="AW2564">
        <v>0</v>
      </c>
      <c r="AX2564">
        <v>0</v>
      </c>
      <c r="AY2564">
        <v>0</v>
      </c>
      <c r="AZ2564">
        <v>0</v>
      </c>
      <c r="BA2564">
        <v>0</v>
      </c>
      <c r="BB2564">
        <v>0</v>
      </c>
      <c r="BC2564">
        <v>0</v>
      </c>
      <c r="BD2564">
        <v>0</v>
      </c>
      <c r="BE2564">
        <v>0</v>
      </c>
      <c r="BF2564">
        <v>0</v>
      </c>
      <c r="BG2564">
        <v>0</v>
      </c>
      <c r="BH2564">
        <v>1</v>
      </c>
      <c r="BI2564">
        <v>1</v>
      </c>
      <c r="BJ2564">
        <v>0.2</v>
      </c>
      <c r="BK2564">
        <v>1</v>
      </c>
      <c r="BL2564">
        <v>71.69</v>
      </c>
      <c r="BM2564">
        <v>10.75</v>
      </c>
      <c r="BN2564">
        <v>82.44</v>
      </c>
      <c r="BO2564">
        <v>82.44</v>
      </c>
      <c r="BQ2564" t="s">
        <v>407</v>
      </c>
      <c r="BR2564" t="s">
        <v>84</v>
      </c>
      <c r="BS2564" t="s">
        <v>96</v>
      </c>
      <c r="BY2564">
        <v>1200</v>
      </c>
      <c r="CC2564" t="s">
        <v>124</v>
      </c>
      <c r="CD2564">
        <v>7441</v>
      </c>
      <c r="CE2564" t="s">
        <v>109</v>
      </c>
      <c r="CI2564">
        <v>1</v>
      </c>
      <c r="CJ2564" t="s">
        <v>96</v>
      </c>
      <c r="CK2564">
        <v>21</v>
      </c>
      <c r="CL2564" t="s">
        <v>90</v>
      </c>
    </row>
    <row r="2565" spans="1:90" x14ac:dyDescent="0.3">
      <c r="A2565" t="s">
        <v>72</v>
      </c>
      <c r="B2565" t="s">
        <v>73</v>
      </c>
      <c r="C2565" t="s">
        <v>74</v>
      </c>
      <c r="E2565" t="str">
        <f>"R080067222537"</f>
        <v>R080067222537</v>
      </c>
      <c r="F2565" s="3">
        <v>45887</v>
      </c>
      <c r="G2565">
        <v>202605</v>
      </c>
      <c r="H2565" t="s">
        <v>75</v>
      </c>
      <c r="I2565" t="s">
        <v>76</v>
      </c>
      <c r="J2565" t="s">
        <v>971</v>
      </c>
      <c r="K2565" t="s">
        <v>78</v>
      </c>
      <c r="L2565" t="s">
        <v>325</v>
      </c>
      <c r="M2565" t="s">
        <v>326</v>
      </c>
      <c r="N2565" t="s">
        <v>2909</v>
      </c>
      <c r="O2565" t="s">
        <v>82</v>
      </c>
      <c r="P2565" t="str">
        <f>"4170054513                    "</f>
        <v xml:space="preserve">4170054513                    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0</v>
      </c>
      <c r="AI2565">
        <v>0</v>
      </c>
      <c r="AJ2565">
        <v>0</v>
      </c>
      <c r="AK2565">
        <v>0</v>
      </c>
      <c r="AL2565">
        <v>0</v>
      </c>
      <c r="AM2565">
        <v>0</v>
      </c>
      <c r="AN2565">
        <v>0</v>
      </c>
      <c r="AO2565">
        <v>0</v>
      </c>
      <c r="AP2565">
        <v>0</v>
      </c>
      <c r="AQ2565">
        <v>18.03</v>
      </c>
      <c r="AR2565">
        <v>0</v>
      </c>
      <c r="AS2565">
        <v>0</v>
      </c>
      <c r="AT2565">
        <v>0</v>
      </c>
      <c r="AU2565">
        <v>0</v>
      </c>
      <c r="AV2565">
        <v>0</v>
      </c>
      <c r="AW2565">
        <v>0</v>
      </c>
      <c r="AX2565">
        <v>0</v>
      </c>
      <c r="AY2565">
        <v>0</v>
      </c>
      <c r="AZ2565">
        <v>0</v>
      </c>
      <c r="BA2565">
        <v>0</v>
      </c>
      <c r="BB2565">
        <v>0</v>
      </c>
      <c r="BC2565">
        <v>0</v>
      </c>
      <c r="BD2565">
        <v>0</v>
      </c>
      <c r="BE2565">
        <v>0</v>
      </c>
      <c r="BF2565">
        <v>0</v>
      </c>
      <c r="BG2565">
        <v>0</v>
      </c>
      <c r="BH2565">
        <v>1</v>
      </c>
      <c r="BI2565">
        <v>1</v>
      </c>
      <c r="BJ2565">
        <v>0.2</v>
      </c>
      <c r="BK2565">
        <v>1</v>
      </c>
      <c r="BL2565">
        <v>55.99</v>
      </c>
      <c r="BM2565">
        <v>8.4</v>
      </c>
      <c r="BN2565">
        <v>64.39</v>
      </c>
      <c r="BO2565">
        <v>64.39</v>
      </c>
      <c r="BQ2565" t="s">
        <v>2910</v>
      </c>
      <c r="BR2565" t="s">
        <v>84</v>
      </c>
      <c r="BS2565" s="3">
        <v>45888</v>
      </c>
      <c r="BT2565" s="4">
        <v>0.39166666666666666</v>
      </c>
      <c r="BU2565" t="s">
        <v>2039</v>
      </c>
      <c r="BV2565" t="s">
        <v>86</v>
      </c>
      <c r="BY2565">
        <v>1200</v>
      </c>
      <c r="BZ2565" t="s">
        <v>330</v>
      </c>
      <c r="CA2565" t="s">
        <v>2911</v>
      </c>
      <c r="CC2565" t="s">
        <v>326</v>
      </c>
      <c r="CD2565">
        <v>2000</v>
      </c>
      <c r="CE2565" t="s">
        <v>597</v>
      </c>
      <c r="CI2565">
        <v>1</v>
      </c>
      <c r="CJ2565">
        <v>1</v>
      </c>
      <c r="CK2565">
        <v>22</v>
      </c>
      <c r="CL2565" t="s">
        <v>90</v>
      </c>
    </row>
    <row r="2566" spans="1:90" x14ac:dyDescent="0.3">
      <c r="A2566" t="s">
        <v>72</v>
      </c>
      <c r="B2566" t="s">
        <v>73</v>
      </c>
      <c r="C2566" t="s">
        <v>74</v>
      </c>
      <c r="E2566" t="str">
        <f>"080067303844"</f>
        <v>080067303844</v>
      </c>
      <c r="F2566" s="3">
        <v>45887</v>
      </c>
      <c r="G2566">
        <v>202605</v>
      </c>
      <c r="H2566" t="s">
        <v>75</v>
      </c>
      <c r="I2566" t="s">
        <v>76</v>
      </c>
      <c r="J2566" t="s">
        <v>77</v>
      </c>
      <c r="K2566" t="s">
        <v>78</v>
      </c>
      <c r="L2566" t="s">
        <v>385</v>
      </c>
      <c r="M2566" t="s">
        <v>386</v>
      </c>
      <c r="N2566" t="s">
        <v>397</v>
      </c>
      <c r="O2566" t="s">
        <v>82</v>
      </c>
      <c r="P2566" t="str">
        <f>"4170055379                    "</f>
        <v xml:space="preserve">4170055379                    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0</v>
      </c>
      <c r="AI2566">
        <v>0</v>
      </c>
      <c r="AJ2566">
        <v>0</v>
      </c>
      <c r="AK2566">
        <v>0</v>
      </c>
      <c r="AL2566">
        <v>0</v>
      </c>
      <c r="AM2566">
        <v>0</v>
      </c>
      <c r="AN2566">
        <v>0</v>
      </c>
      <c r="AO2566">
        <v>0</v>
      </c>
      <c r="AP2566">
        <v>0</v>
      </c>
      <c r="AQ2566">
        <v>18.03</v>
      </c>
      <c r="AR2566">
        <v>0</v>
      </c>
      <c r="AS2566">
        <v>0</v>
      </c>
      <c r="AT2566">
        <v>0</v>
      </c>
      <c r="AU2566">
        <v>0</v>
      </c>
      <c r="AV2566">
        <v>0</v>
      </c>
      <c r="AW2566">
        <v>0</v>
      </c>
      <c r="AX2566">
        <v>0</v>
      </c>
      <c r="AY2566">
        <v>0</v>
      </c>
      <c r="AZ2566">
        <v>0</v>
      </c>
      <c r="BA2566">
        <v>0</v>
      </c>
      <c r="BB2566">
        <v>0</v>
      </c>
      <c r="BC2566">
        <v>0</v>
      </c>
      <c r="BD2566">
        <v>0</v>
      </c>
      <c r="BE2566">
        <v>0</v>
      </c>
      <c r="BF2566">
        <v>0</v>
      </c>
      <c r="BG2566">
        <v>0</v>
      </c>
      <c r="BH2566">
        <v>1</v>
      </c>
      <c r="BI2566">
        <v>2</v>
      </c>
      <c r="BJ2566">
        <v>1.4</v>
      </c>
      <c r="BK2566">
        <v>2</v>
      </c>
      <c r="BL2566">
        <v>55.99</v>
      </c>
      <c r="BM2566">
        <v>8.4</v>
      </c>
      <c r="BN2566">
        <v>64.39</v>
      </c>
      <c r="BO2566">
        <v>64.39</v>
      </c>
      <c r="BQ2566" t="s">
        <v>398</v>
      </c>
      <c r="BR2566" t="s">
        <v>84</v>
      </c>
      <c r="BS2566" t="s">
        <v>96</v>
      </c>
      <c r="BY2566">
        <v>7000</v>
      </c>
      <c r="CC2566" t="s">
        <v>386</v>
      </c>
      <c r="CD2566">
        <v>1559</v>
      </c>
      <c r="CE2566" t="s">
        <v>147</v>
      </c>
      <c r="CI2566">
        <v>1</v>
      </c>
      <c r="CJ2566" t="s">
        <v>96</v>
      </c>
      <c r="CK2566">
        <v>22</v>
      </c>
      <c r="CL2566" t="s">
        <v>90</v>
      </c>
    </row>
    <row r="2567" spans="1:90" x14ac:dyDescent="0.3">
      <c r="A2567" t="s">
        <v>72</v>
      </c>
      <c r="B2567" t="s">
        <v>73</v>
      </c>
      <c r="C2567" t="s">
        <v>74</v>
      </c>
      <c r="E2567" t="str">
        <f>"080067303873"</f>
        <v>080067303873</v>
      </c>
      <c r="F2567" s="3">
        <v>45887</v>
      </c>
      <c r="G2567">
        <v>202605</v>
      </c>
      <c r="H2567" t="s">
        <v>75</v>
      </c>
      <c r="I2567" t="s">
        <v>76</v>
      </c>
      <c r="J2567" t="s">
        <v>77</v>
      </c>
      <c r="K2567" t="s">
        <v>78</v>
      </c>
      <c r="L2567" t="s">
        <v>110</v>
      </c>
      <c r="M2567" t="s">
        <v>111</v>
      </c>
      <c r="N2567" t="s">
        <v>480</v>
      </c>
      <c r="O2567" t="s">
        <v>82</v>
      </c>
      <c r="P2567" t="str">
        <f>"4170055376                    "</f>
        <v xml:space="preserve">4170055376                    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0</v>
      </c>
      <c r="AI2567">
        <v>0</v>
      </c>
      <c r="AJ2567">
        <v>0</v>
      </c>
      <c r="AK2567">
        <v>0</v>
      </c>
      <c r="AL2567">
        <v>0</v>
      </c>
      <c r="AM2567">
        <v>0</v>
      </c>
      <c r="AN2567">
        <v>0</v>
      </c>
      <c r="AO2567">
        <v>0</v>
      </c>
      <c r="AP2567">
        <v>0</v>
      </c>
      <c r="AQ2567">
        <v>18.03</v>
      </c>
      <c r="AR2567">
        <v>0</v>
      </c>
      <c r="AS2567">
        <v>0</v>
      </c>
      <c r="AT2567">
        <v>0</v>
      </c>
      <c r="AU2567">
        <v>0</v>
      </c>
      <c r="AV2567">
        <v>0</v>
      </c>
      <c r="AW2567">
        <v>0</v>
      </c>
      <c r="AX2567">
        <v>0</v>
      </c>
      <c r="AY2567">
        <v>0</v>
      </c>
      <c r="AZ2567">
        <v>0</v>
      </c>
      <c r="BA2567">
        <v>0</v>
      </c>
      <c r="BB2567">
        <v>0</v>
      </c>
      <c r="BC2567">
        <v>0</v>
      </c>
      <c r="BD2567">
        <v>0</v>
      </c>
      <c r="BE2567">
        <v>0</v>
      </c>
      <c r="BF2567">
        <v>0</v>
      </c>
      <c r="BG2567">
        <v>0</v>
      </c>
      <c r="BH2567">
        <v>1</v>
      </c>
      <c r="BI2567">
        <v>1</v>
      </c>
      <c r="BJ2567">
        <v>1.1000000000000001</v>
      </c>
      <c r="BK2567">
        <v>2</v>
      </c>
      <c r="BL2567">
        <v>55.99</v>
      </c>
      <c r="BM2567">
        <v>8.4</v>
      </c>
      <c r="BN2567">
        <v>64.39</v>
      </c>
      <c r="BO2567">
        <v>64.39</v>
      </c>
      <c r="BQ2567" t="s">
        <v>481</v>
      </c>
      <c r="BR2567" t="s">
        <v>84</v>
      </c>
      <c r="BS2567" t="s">
        <v>96</v>
      </c>
      <c r="BY2567">
        <v>5320</v>
      </c>
      <c r="CC2567" t="s">
        <v>111</v>
      </c>
      <c r="CD2567">
        <v>2163</v>
      </c>
      <c r="CE2567" t="s">
        <v>147</v>
      </c>
      <c r="CI2567">
        <v>1</v>
      </c>
      <c r="CJ2567" t="s">
        <v>96</v>
      </c>
      <c r="CK2567">
        <v>22</v>
      </c>
      <c r="CL2567" t="s">
        <v>90</v>
      </c>
    </row>
    <row r="2568" spans="1:90" x14ac:dyDescent="0.3">
      <c r="A2568" t="s">
        <v>72</v>
      </c>
      <c r="B2568" t="s">
        <v>73</v>
      </c>
      <c r="C2568" t="s">
        <v>74</v>
      </c>
      <c r="E2568" t="str">
        <f>"080067303911"</f>
        <v>080067303911</v>
      </c>
      <c r="F2568" s="3">
        <v>45887</v>
      </c>
      <c r="G2568">
        <v>202605</v>
      </c>
      <c r="H2568" t="s">
        <v>75</v>
      </c>
      <c r="I2568" t="s">
        <v>76</v>
      </c>
      <c r="J2568" t="s">
        <v>77</v>
      </c>
      <c r="K2568" t="s">
        <v>78</v>
      </c>
      <c r="L2568" t="s">
        <v>75</v>
      </c>
      <c r="M2568" t="s">
        <v>76</v>
      </c>
      <c r="N2568" t="s">
        <v>537</v>
      </c>
      <c r="O2568" t="s">
        <v>82</v>
      </c>
      <c r="P2568" t="str">
        <f>"4170055350                    "</f>
        <v xml:space="preserve">4170055350                    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0</v>
      </c>
      <c r="AI2568">
        <v>0</v>
      </c>
      <c r="AJ2568">
        <v>0</v>
      </c>
      <c r="AK2568">
        <v>0</v>
      </c>
      <c r="AL2568">
        <v>0</v>
      </c>
      <c r="AM2568">
        <v>0</v>
      </c>
      <c r="AN2568">
        <v>0</v>
      </c>
      <c r="AO2568">
        <v>0</v>
      </c>
      <c r="AP2568">
        <v>0</v>
      </c>
      <c r="AQ2568">
        <v>18.03</v>
      </c>
      <c r="AR2568">
        <v>0</v>
      </c>
      <c r="AS2568">
        <v>0</v>
      </c>
      <c r="AT2568">
        <v>0</v>
      </c>
      <c r="AU2568">
        <v>0</v>
      </c>
      <c r="AV2568">
        <v>0</v>
      </c>
      <c r="AW2568">
        <v>0</v>
      </c>
      <c r="AX2568">
        <v>0</v>
      </c>
      <c r="AY2568">
        <v>0</v>
      </c>
      <c r="AZ2568">
        <v>0</v>
      </c>
      <c r="BA2568">
        <v>0</v>
      </c>
      <c r="BB2568">
        <v>0</v>
      </c>
      <c r="BC2568">
        <v>0</v>
      </c>
      <c r="BD2568">
        <v>0</v>
      </c>
      <c r="BE2568">
        <v>0</v>
      </c>
      <c r="BF2568">
        <v>0</v>
      </c>
      <c r="BG2568">
        <v>0</v>
      </c>
      <c r="BH2568">
        <v>1</v>
      </c>
      <c r="BI2568">
        <v>1</v>
      </c>
      <c r="BJ2568">
        <v>0.2</v>
      </c>
      <c r="BK2568">
        <v>1</v>
      </c>
      <c r="BL2568">
        <v>55.99</v>
      </c>
      <c r="BM2568">
        <v>8.4</v>
      </c>
      <c r="BN2568">
        <v>64.39</v>
      </c>
      <c r="BO2568">
        <v>64.39</v>
      </c>
      <c r="BQ2568" t="s">
        <v>538</v>
      </c>
      <c r="BR2568" t="s">
        <v>84</v>
      </c>
      <c r="BS2568" t="s">
        <v>96</v>
      </c>
      <c r="BY2568">
        <v>1200</v>
      </c>
      <c r="CC2568" t="s">
        <v>76</v>
      </c>
      <c r="CD2568">
        <v>1619</v>
      </c>
      <c r="CE2568" t="s">
        <v>109</v>
      </c>
      <c r="CI2568">
        <v>1</v>
      </c>
      <c r="CJ2568" t="s">
        <v>96</v>
      </c>
      <c r="CK2568">
        <v>22</v>
      </c>
      <c r="CL2568" t="s">
        <v>90</v>
      </c>
    </row>
    <row r="2569" spans="1:90" x14ac:dyDescent="0.3">
      <c r="A2569" t="s">
        <v>72</v>
      </c>
      <c r="B2569" t="s">
        <v>73</v>
      </c>
      <c r="C2569" t="s">
        <v>74</v>
      </c>
      <c r="E2569" t="str">
        <f>"080067304016"</f>
        <v>080067304016</v>
      </c>
      <c r="F2569" s="3">
        <v>45887</v>
      </c>
      <c r="G2569">
        <v>202605</v>
      </c>
      <c r="H2569" t="s">
        <v>75</v>
      </c>
      <c r="I2569" t="s">
        <v>76</v>
      </c>
      <c r="J2569" t="s">
        <v>77</v>
      </c>
      <c r="K2569" t="s">
        <v>78</v>
      </c>
      <c r="L2569" t="s">
        <v>198</v>
      </c>
      <c r="M2569" t="s">
        <v>199</v>
      </c>
      <c r="N2569" t="s">
        <v>920</v>
      </c>
      <c r="O2569" t="s">
        <v>82</v>
      </c>
      <c r="P2569" t="str">
        <f>"4170055378                    "</f>
        <v xml:space="preserve">4170055378                    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0</v>
      </c>
      <c r="AI2569">
        <v>0</v>
      </c>
      <c r="AJ2569">
        <v>0</v>
      </c>
      <c r="AK2569">
        <v>0</v>
      </c>
      <c r="AL2569">
        <v>0</v>
      </c>
      <c r="AM2569">
        <v>0</v>
      </c>
      <c r="AN2569">
        <v>0</v>
      </c>
      <c r="AO2569">
        <v>0</v>
      </c>
      <c r="AP2569">
        <v>0</v>
      </c>
      <c r="AQ2569">
        <v>34.619999999999997</v>
      </c>
      <c r="AR2569">
        <v>0</v>
      </c>
      <c r="AS2569">
        <v>0</v>
      </c>
      <c r="AT2569">
        <v>0</v>
      </c>
      <c r="AU2569">
        <v>0</v>
      </c>
      <c r="AV2569">
        <v>0</v>
      </c>
      <c r="AW2569">
        <v>0</v>
      </c>
      <c r="AX2569">
        <v>0</v>
      </c>
      <c r="AY2569">
        <v>0</v>
      </c>
      <c r="AZ2569">
        <v>0</v>
      </c>
      <c r="BA2569">
        <v>0</v>
      </c>
      <c r="BB2569">
        <v>0</v>
      </c>
      <c r="BC2569">
        <v>0</v>
      </c>
      <c r="BD2569">
        <v>0</v>
      </c>
      <c r="BE2569">
        <v>0</v>
      </c>
      <c r="BF2569">
        <v>0</v>
      </c>
      <c r="BG2569">
        <v>0</v>
      </c>
      <c r="BH2569">
        <v>1</v>
      </c>
      <c r="BI2569">
        <v>3</v>
      </c>
      <c r="BJ2569">
        <v>1.4</v>
      </c>
      <c r="BK2569">
        <v>3</v>
      </c>
      <c r="BL2569">
        <v>107.5</v>
      </c>
      <c r="BM2569">
        <v>16.13</v>
      </c>
      <c r="BN2569">
        <v>123.63</v>
      </c>
      <c r="BO2569">
        <v>123.63</v>
      </c>
      <c r="BQ2569" t="s">
        <v>921</v>
      </c>
      <c r="BR2569" t="s">
        <v>84</v>
      </c>
      <c r="BS2569" t="s">
        <v>96</v>
      </c>
      <c r="BY2569">
        <v>7000</v>
      </c>
      <c r="CC2569" t="s">
        <v>199</v>
      </c>
      <c r="CD2569">
        <v>6056</v>
      </c>
      <c r="CE2569" t="s">
        <v>147</v>
      </c>
      <c r="CI2569">
        <v>1</v>
      </c>
      <c r="CJ2569" t="s">
        <v>96</v>
      </c>
      <c r="CK2569">
        <v>21</v>
      </c>
      <c r="CL2569" t="s">
        <v>90</v>
      </c>
    </row>
    <row r="2570" spans="1:90" x14ac:dyDescent="0.3">
      <c r="A2570" t="s">
        <v>72</v>
      </c>
      <c r="B2570" t="s">
        <v>73</v>
      </c>
      <c r="C2570" t="s">
        <v>74</v>
      </c>
      <c r="E2570" t="str">
        <f>"080067304432"</f>
        <v>080067304432</v>
      </c>
      <c r="F2570" s="3">
        <v>45887</v>
      </c>
      <c r="G2570">
        <v>202605</v>
      </c>
      <c r="H2570" t="s">
        <v>75</v>
      </c>
      <c r="I2570" t="s">
        <v>76</v>
      </c>
      <c r="J2570" t="s">
        <v>77</v>
      </c>
      <c r="K2570" t="s">
        <v>78</v>
      </c>
      <c r="L2570" t="s">
        <v>75</v>
      </c>
      <c r="M2570" t="s">
        <v>76</v>
      </c>
      <c r="N2570" t="s">
        <v>537</v>
      </c>
      <c r="O2570" t="s">
        <v>82</v>
      </c>
      <c r="P2570" t="str">
        <f>"4170055357                    "</f>
        <v xml:space="preserve">4170055357                    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0</v>
      </c>
      <c r="AI2570">
        <v>0</v>
      </c>
      <c r="AJ2570">
        <v>0</v>
      </c>
      <c r="AK2570">
        <v>0</v>
      </c>
      <c r="AL2570">
        <v>0</v>
      </c>
      <c r="AM2570">
        <v>0</v>
      </c>
      <c r="AN2570">
        <v>0</v>
      </c>
      <c r="AO2570">
        <v>0</v>
      </c>
      <c r="AP2570">
        <v>0</v>
      </c>
      <c r="AQ2570">
        <v>18.03</v>
      </c>
      <c r="AR2570">
        <v>0</v>
      </c>
      <c r="AS2570">
        <v>0</v>
      </c>
      <c r="AT2570">
        <v>0</v>
      </c>
      <c r="AU2570">
        <v>0</v>
      </c>
      <c r="AV2570">
        <v>0</v>
      </c>
      <c r="AW2570">
        <v>0</v>
      </c>
      <c r="AX2570">
        <v>0</v>
      </c>
      <c r="AY2570">
        <v>0</v>
      </c>
      <c r="AZ2570">
        <v>0</v>
      </c>
      <c r="BA2570">
        <v>0</v>
      </c>
      <c r="BB2570">
        <v>0</v>
      </c>
      <c r="BC2570">
        <v>0</v>
      </c>
      <c r="BD2570">
        <v>0</v>
      </c>
      <c r="BE2570">
        <v>0</v>
      </c>
      <c r="BF2570">
        <v>0</v>
      </c>
      <c r="BG2570">
        <v>0</v>
      </c>
      <c r="BH2570">
        <v>1</v>
      </c>
      <c r="BI2570">
        <v>2</v>
      </c>
      <c r="BJ2570">
        <v>1.9</v>
      </c>
      <c r="BK2570">
        <v>2</v>
      </c>
      <c r="BL2570">
        <v>55.99</v>
      </c>
      <c r="BM2570">
        <v>8.4</v>
      </c>
      <c r="BN2570">
        <v>64.39</v>
      </c>
      <c r="BO2570">
        <v>64.39</v>
      </c>
      <c r="BQ2570" t="s">
        <v>538</v>
      </c>
      <c r="BR2570" t="s">
        <v>84</v>
      </c>
      <c r="BS2570" t="s">
        <v>96</v>
      </c>
      <c r="BY2570">
        <v>9600</v>
      </c>
      <c r="CC2570" t="s">
        <v>76</v>
      </c>
      <c r="CD2570">
        <v>1619</v>
      </c>
      <c r="CE2570" t="s">
        <v>147</v>
      </c>
      <c r="CI2570">
        <v>1</v>
      </c>
      <c r="CJ2570" t="s">
        <v>96</v>
      </c>
      <c r="CK2570">
        <v>22</v>
      </c>
      <c r="CL2570" t="s">
        <v>90</v>
      </c>
    </row>
    <row r="2571" spans="1:90" x14ac:dyDescent="0.3">
      <c r="A2571" t="s">
        <v>72</v>
      </c>
      <c r="B2571" t="s">
        <v>73</v>
      </c>
      <c r="C2571" t="s">
        <v>74</v>
      </c>
      <c r="E2571" t="str">
        <f>"080067304469"</f>
        <v>080067304469</v>
      </c>
      <c r="F2571" s="3">
        <v>45887</v>
      </c>
      <c r="G2571">
        <v>202605</v>
      </c>
      <c r="H2571" t="s">
        <v>75</v>
      </c>
      <c r="I2571" t="s">
        <v>76</v>
      </c>
      <c r="J2571" t="s">
        <v>77</v>
      </c>
      <c r="K2571" t="s">
        <v>78</v>
      </c>
      <c r="L2571" t="s">
        <v>75</v>
      </c>
      <c r="M2571" t="s">
        <v>76</v>
      </c>
      <c r="N2571" t="s">
        <v>1886</v>
      </c>
      <c r="O2571" t="s">
        <v>82</v>
      </c>
      <c r="P2571" t="str">
        <f>"4170055351                    "</f>
        <v xml:space="preserve">4170055351                    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0</v>
      </c>
      <c r="AI2571">
        <v>0</v>
      </c>
      <c r="AJ2571"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>
        <v>0</v>
      </c>
      <c r="AQ2571">
        <v>18.03</v>
      </c>
      <c r="AR2571">
        <v>0</v>
      </c>
      <c r="AS2571">
        <v>0</v>
      </c>
      <c r="AT2571">
        <v>0</v>
      </c>
      <c r="AU2571">
        <v>0</v>
      </c>
      <c r="AV2571">
        <v>0</v>
      </c>
      <c r="AW2571">
        <v>0</v>
      </c>
      <c r="AX2571">
        <v>0</v>
      </c>
      <c r="AY2571">
        <v>0</v>
      </c>
      <c r="AZ2571">
        <v>0</v>
      </c>
      <c r="BA2571">
        <v>0</v>
      </c>
      <c r="BB2571">
        <v>0</v>
      </c>
      <c r="BC2571">
        <v>0</v>
      </c>
      <c r="BD2571">
        <v>0</v>
      </c>
      <c r="BE2571">
        <v>0</v>
      </c>
      <c r="BF2571">
        <v>0</v>
      </c>
      <c r="BG2571">
        <v>0</v>
      </c>
      <c r="BH2571">
        <v>1</v>
      </c>
      <c r="BI2571">
        <v>1</v>
      </c>
      <c r="BJ2571">
        <v>0.2</v>
      </c>
      <c r="BK2571">
        <v>1</v>
      </c>
      <c r="BL2571">
        <v>55.99</v>
      </c>
      <c r="BM2571">
        <v>8.4</v>
      </c>
      <c r="BN2571">
        <v>64.39</v>
      </c>
      <c r="BO2571">
        <v>64.39</v>
      </c>
      <c r="BQ2571" t="s">
        <v>1887</v>
      </c>
      <c r="BR2571" t="s">
        <v>84</v>
      </c>
      <c r="BS2571" t="s">
        <v>96</v>
      </c>
      <c r="BY2571">
        <v>1200</v>
      </c>
      <c r="CC2571" t="s">
        <v>76</v>
      </c>
      <c r="CD2571">
        <v>1624</v>
      </c>
      <c r="CE2571" t="s">
        <v>109</v>
      </c>
      <c r="CI2571">
        <v>1</v>
      </c>
      <c r="CJ2571" t="s">
        <v>96</v>
      </c>
      <c r="CK2571">
        <v>22</v>
      </c>
      <c r="CL2571" t="s">
        <v>90</v>
      </c>
    </row>
    <row r="2572" spans="1:90" x14ac:dyDescent="0.3">
      <c r="A2572" t="s">
        <v>72</v>
      </c>
      <c r="B2572" t="s">
        <v>73</v>
      </c>
      <c r="C2572" t="s">
        <v>74</v>
      </c>
      <c r="E2572" t="str">
        <f>"080067304492"</f>
        <v>080067304492</v>
      </c>
      <c r="F2572" s="3">
        <v>45887</v>
      </c>
      <c r="G2572">
        <v>202605</v>
      </c>
      <c r="H2572" t="s">
        <v>75</v>
      </c>
      <c r="I2572" t="s">
        <v>76</v>
      </c>
      <c r="J2572" t="s">
        <v>77</v>
      </c>
      <c r="K2572" t="s">
        <v>78</v>
      </c>
      <c r="L2572" t="s">
        <v>234</v>
      </c>
      <c r="M2572" t="s">
        <v>235</v>
      </c>
      <c r="N2572" t="s">
        <v>236</v>
      </c>
      <c r="O2572" t="s">
        <v>82</v>
      </c>
      <c r="P2572" t="str">
        <f>"4170055382                    "</f>
        <v xml:space="preserve">4170055382                    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0</v>
      </c>
      <c r="AI2572">
        <v>0</v>
      </c>
      <c r="AJ2572"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>
        <v>0</v>
      </c>
      <c r="AQ2572">
        <v>23.09</v>
      </c>
      <c r="AR2572">
        <v>0</v>
      </c>
      <c r="AS2572">
        <v>0</v>
      </c>
      <c r="AT2572">
        <v>0</v>
      </c>
      <c r="AU2572">
        <v>0</v>
      </c>
      <c r="AV2572">
        <v>0</v>
      </c>
      <c r="AW2572">
        <v>0</v>
      </c>
      <c r="AX2572">
        <v>0</v>
      </c>
      <c r="AY2572">
        <v>0</v>
      </c>
      <c r="AZ2572">
        <v>0</v>
      </c>
      <c r="BA2572">
        <v>0</v>
      </c>
      <c r="BB2572">
        <v>0</v>
      </c>
      <c r="BC2572">
        <v>0</v>
      </c>
      <c r="BD2572">
        <v>0</v>
      </c>
      <c r="BE2572">
        <v>0</v>
      </c>
      <c r="BF2572">
        <v>0</v>
      </c>
      <c r="BG2572">
        <v>0</v>
      </c>
      <c r="BH2572">
        <v>1</v>
      </c>
      <c r="BI2572">
        <v>2</v>
      </c>
      <c r="BJ2572">
        <v>1.3</v>
      </c>
      <c r="BK2572">
        <v>2</v>
      </c>
      <c r="BL2572">
        <v>71.69</v>
      </c>
      <c r="BM2572">
        <v>10.75</v>
      </c>
      <c r="BN2572">
        <v>82.44</v>
      </c>
      <c r="BO2572">
        <v>82.44</v>
      </c>
      <c r="BQ2572" t="s">
        <v>237</v>
      </c>
      <c r="BR2572" t="s">
        <v>84</v>
      </c>
      <c r="BS2572" s="3">
        <v>45888</v>
      </c>
      <c r="BT2572" s="4">
        <v>0.34930555555555554</v>
      </c>
      <c r="BU2572" t="s">
        <v>650</v>
      </c>
      <c r="BV2572" t="s">
        <v>86</v>
      </c>
      <c r="BY2572">
        <v>6525</v>
      </c>
      <c r="CA2572" t="s">
        <v>239</v>
      </c>
      <c r="CC2572" t="s">
        <v>235</v>
      </c>
      <c r="CD2572" s="5" t="s">
        <v>240</v>
      </c>
      <c r="CE2572" t="s">
        <v>147</v>
      </c>
      <c r="CI2572">
        <v>1</v>
      </c>
      <c r="CJ2572">
        <v>1</v>
      </c>
      <c r="CK2572">
        <v>21</v>
      </c>
      <c r="CL2572" t="s">
        <v>90</v>
      </c>
    </row>
    <row r="2573" spans="1:90" x14ac:dyDescent="0.3">
      <c r="A2573" t="s">
        <v>72</v>
      </c>
      <c r="B2573" t="s">
        <v>73</v>
      </c>
      <c r="C2573" t="s">
        <v>74</v>
      </c>
      <c r="E2573" t="str">
        <f>"080067304501"</f>
        <v>080067304501</v>
      </c>
      <c r="F2573" s="3">
        <v>45887</v>
      </c>
      <c r="G2573">
        <v>202605</v>
      </c>
      <c r="H2573" t="s">
        <v>75</v>
      </c>
      <c r="I2573" t="s">
        <v>76</v>
      </c>
      <c r="J2573" t="s">
        <v>77</v>
      </c>
      <c r="K2573" t="s">
        <v>78</v>
      </c>
      <c r="L2573" t="s">
        <v>1880</v>
      </c>
      <c r="M2573" t="s">
        <v>1881</v>
      </c>
      <c r="N2573" t="s">
        <v>2912</v>
      </c>
      <c r="O2573" t="s">
        <v>82</v>
      </c>
      <c r="P2573" t="str">
        <f>"4170055270                    "</f>
        <v xml:space="preserve">4170055270                    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0</v>
      </c>
      <c r="AI2573">
        <v>0</v>
      </c>
      <c r="AJ2573">
        <v>0</v>
      </c>
      <c r="AK2573">
        <v>0</v>
      </c>
      <c r="AL2573">
        <v>0</v>
      </c>
      <c r="AM2573">
        <v>0</v>
      </c>
      <c r="AN2573">
        <v>0</v>
      </c>
      <c r="AO2573">
        <v>0</v>
      </c>
      <c r="AP2573">
        <v>0</v>
      </c>
      <c r="AQ2573">
        <v>32.47</v>
      </c>
      <c r="AR2573">
        <v>0</v>
      </c>
      <c r="AS2573">
        <v>0</v>
      </c>
      <c r="AT2573">
        <v>0</v>
      </c>
      <c r="AU2573">
        <v>0</v>
      </c>
      <c r="AV2573">
        <v>0</v>
      </c>
      <c r="AW2573">
        <v>0</v>
      </c>
      <c r="AX2573">
        <v>0</v>
      </c>
      <c r="AY2573">
        <v>0</v>
      </c>
      <c r="AZ2573">
        <v>0</v>
      </c>
      <c r="BA2573">
        <v>0</v>
      </c>
      <c r="BB2573">
        <v>0</v>
      </c>
      <c r="BC2573">
        <v>0</v>
      </c>
      <c r="BD2573">
        <v>0</v>
      </c>
      <c r="BE2573">
        <v>0</v>
      </c>
      <c r="BF2573">
        <v>0</v>
      </c>
      <c r="BG2573">
        <v>0</v>
      </c>
      <c r="BH2573">
        <v>1</v>
      </c>
      <c r="BI2573">
        <v>1</v>
      </c>
      <c r="BJ2573">
        <v>0.2</v>
      </c>
      <c r="BK2573">
        <v>1</v>
      </c>
      <c r="BL2573">
        <v>100.82</v>
      </c>
      <c r="BM2573">
        <v>15.12</v>
      </c>
      <c r="BN2573">
        <v>115.94</v>
      </c>
      <c r="BO2573">
        <v>115.94</v>
      </c>
      <c r="BQ2573" t="s">
        <v>2913</v>
      </c>
      <c r="BR2573" t="s">
        <v>84</v>
      </c>
      <c r="BS2573" t="s">
        <v>96</v>
      </c>
      <c r="BY2573">
        <v>1200</v>
      </c>
      <c r="CC2573" t="s">
        <v>1881</v>
      </c>
      <c r="CD2573">
        <v>1441</v>
      </c>
      <c r="CE2573" t="s">
        <v>109</v>
      </c>
      <c r="CI2573">
        <v>1</v>
      </c>
      <c r="CJ2573" t="s">
        <v>96</v>
      </c>
      <c r="CK2573">
        <v>24</v>
      </c>
      <c r="CL2573" t="s">
        <v>90</v>
      </c>
    </row>
    <row r="2574" spans="1:90" x14ac:dyDescent="0.3">
      <c r="A2574" t="s">
        <v>72</v>
      </c>
      <c r="B2574" t="s">
        <v>73</v>
      </c>
      <c r="C2574" t="s">
        <v>74</v>
      </c>
      <c r="E2574" t="str">
        <f>"080067304547"</f>
        <v>080067304547</v>
      </c>
      <c r="F2574" s="3">
        <v>45887</v>
      </c>
      <c r="G2574">
        <v>202605</v>
      </c>
      <c r="H2574" t="s">
        <v>75</v>
      </c>
      <c r="I2574" t="s">
        <v>76</v>
      </c>
      <c r="J2574" t="s">
        <v>77</v>
      </c>
      <c r="K2574" t="s">
        <v>78</v>
      </c>
      <c r="L2574" t="s">
        <v>123</v>
      </c>
      <c r="M2574" t="s">
        <v>124</v>
      </c>
      <c r="N2574" t="s">
        <v>125</v>
      </c>
      <c r="O2574" t="s">
        <v>82</v>
      </c>
      <c r="P2574" t="str">
        <f>"4170055352                    "</f>
        <v xml:space="preserve">4170055352                    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0</v>
      </c>
      <c r="AI2574">
        <v>0</v>
      </c>
      <c r="AJ2574">
        <v>0</v>
      </c>
      <c r="AK2574">
        <v>0</v>
      </c>
      <c r="AL2574">
        <v>0</v>
      </c>
      <c r="AM2574">
        <v>0</v>
      </c>
      <c r="AN2574">
        <v>0</v>
      </c>
      <c r="AO2574">
        <v>0</v>
      </c>
      <c r="AP2574">
        <v>0</v>
      </c>
      <c r="AQ2574">
        <v>40.380000000000003</v>
      </c>
      <c r="AR2574">
        <v>0</v>
      </c>
      <c r="AS2574">
        <v>0</v>
      </c>
      <c r="AT2574">
        <v>0</v>
      </c>
      <c r="AU2574">
        <v>0</v>
      </c>
      <c r="AV2574">
        <v>0</v>
      </c>
      <c r="AW2574">
        <v>0</v>
      </c>
      <c r="AX2574">
        <v>0</v>
      </c>
      <c r="AY2574">
        <v>0</v>
      </c>
      <c r="AZ2574">
        <v>0</v>
      </c>
      <c r="BA2574">
        <v>0</v>
      </c>
      <c r="BB2574">
        <v>0</v>
      </c>
      <c r="BC2574">
        <v>0</v>
      </c>
      <c r="BD2574">
        <v>0</v>
      </c>
      <c r="BE2574">
        <v>0</v>
      </c>
      <c r="BF2574">
        <v>0</v>
      </c>
      <c r="BG2574">
        <v>0</v>
      </c>
      <c r="BH2574">
        <v>1</v>
      </c>
      <c r="BI2574">
        <v>3</v>
      </c>
      <c r="BJ2574">
        <v>3.1</v>
      </c>
      <c r="BK2574">
        <v>3.5</v>
      </c>
      <c r="BL2574">
        <v>125.4</v>
      </c>
      <c r="BM2574">
        <v>18.809999999999999</v>
      </c>
      <c r="BN2574">
        <v>144.21</v>
      </c>
      <c r="BO2574">
        <v>144.21</v>
      </c>
      <c r="BQ2574" t="s">
        <v>126</v>
      </c>
      <c r="BR2574" t="s">
        <v>84</v>
      </c>
      <c r="BS2574" s="3">
        <v>45888</v>
      </c>
      <c r="BT2574" s="4">
        <v>0.32569444444444445</v>
      </c>
      <c r="BU2574" t="s">
        <v>2798</v>
      </c>
      <c r="BV2574" t="s">
        <v>86</v>
      </c>
      <c r="BY2574">
        <v>15360</v>
      </c>
      <c r="CA2574" t="s">
        <v>128</v>
      </c>
      <c r="CC2574" t="s">
        <v>124</v>
      </c>
      <c r="CD2574">
        <v>7530</v>
      </c>
      <c r="CE2574" t="s">
        <v>147</v>
      </c>
      <c r="CI2574">
        <v>1</v>
      </c>
      <c r="CJ2574">
        <v>1</v>
      </c>
      <c r="CK2574">
        <v>21</v>
      </c>
      <c r="CL2574" t="s">
        <v>90</v>
      </c>
    </row>
    <row r="2575" spans="1:90" x14ac:dyDescent="0.3">
      <c r="A2575" t="s">
        <v>72</v>
      </c>
      <c r="B2575" t="s">
        <v>73</v>
      </c>
      <c r="C2575" t="s">
        <v>74</v>
      </c>
      <c r="E2575" t="str">
        <f>"080067304655"</f>
        <v>080067304655</v>
      </c>
      <c r="F2575" s="3">
        <v>45887</v>
      </c>
      <c r="G2575">
        <v>202605</v>
      </c>
      <c r="H2575" t="s">
        <v>75</v>
      </c>
      <c r="I2575" t="s">
        <v>76</v>
      </c>
      <c r="J2575" t="s">
        <v>77</v>
      </c>
      <c r="K2575" t="s">
        <v>78</v>
      </c>
      <c r="L2575" t="s">
        <v>75</v>
      </c>
      <c r="M2575" t="s">
        <v>76</v>
      </c>
      <c r="N2575" t="s">
        <v>1126</v>
      </c>
      <c r="O2575" t="s">
        <v>95</v>
      </c>
      <c r="P2575" t="str">
        <f>"4170055387                    "</f>
        <v xml:space="preserve">4170055387                    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0</v>
      </c>
      <c r="AI2575">
        <v>0</v>
      </c>
      <c r="AJ2575">
        <v>0</v>
      </c>
      <c r="AK2575">
        <v>0</v>
      </c>
      <c r="AL2575">
        <v>0</v>
      </c>
      <c r="AM2575">
        <v>0</v>
      </c>
      <c r="AN2575">
        <v>0</v>
      </c>
      <c r="AO2575">
        <v>0</v>
      </c>
      <c r="AP2575">
        <v>0</v>
      </c>
      <c r="AQ2575">
        <v>47.54</v>
      </c>
      <c r="AR2575">
        <v>0</v>
      </c>
      <c r="AS2575">
        <v>0</v>
      </c>
      <c r="AT2575">
        <v>0</v>
      </c>
      <c r="AU2575">
        <v>0</v>
      </c>
      <c r="AV2575">
        <v>0</v>
      </c>
      <c r="AW2575">
        <v>0</v>
      </c>
      <c r="AX2575">
        <v>0</v>
      </c>
      <c r="AY2575">
        <v>0</v>
      </c>
      <c r="AZ2575">
        <v>0</v>
      </c>
      <c r="BA2575">
        <v>0</v>
      </c>
      <c r="BB2575">
        <v>0</v>
      </c>
      <c r="BC2575">
        <v>0</v>
      </c>
      <c r="BD2575">
        <v>0</v>
      </c>
      <c r="BE2575">
        <v>0</v>
      </c>
      <c r="BF2575">
        <v>0</v>
      </c>
      <c r="BG2575">
        <v>0</v>
      </c>
      <c r="BH2575">
        <v>1</v>
      </c>
      <c r="BI2575">
        <v>28</v>
      </c>
      <c r="BJ2575">
        <v>8.1</v>
      </c>
      <c r="BK2575">
        <v>28</v>
      </c>
      <c r="BL2575">
        <v>153.49</v>
      </c>
      <c r="BM2575">
        <v>23.02</v>
      </c>
      <c r="BN2575">
        <v>176.51</v>
      </c>
      <c r="BO2575">
        <v>176.51</v>
      </c>
      <c r="BQ2575" t="s">
        <v>1127</v>
      </c>
      <c r="BR2575" t="s">
        <v>84</v>
      </c>
      <c r="BS2575" t="s">
        <v>96</v>
      </c>
      <c r="BY2575">
        <v>40320</v>
      </c>
      <c r="CC2575" t="s">
        <v>76</v>
      </c>
      <c r="CD2575">
        <v>1619</v>
      </c>
      <c r="CE2575" t="s">
        <v>2914</v>
      </c>
      <c r="CI2575">
        <v>1</v>
      </c>
      <c r="CJ2575" t="s">
        <v>96</v>
      </c>
      <c r="CK2575">
        <v>42</v>
      </c>
      <c r="CL257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sdrascd7-IENOMKE134939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2025-08-19T12:24:57Z</dcterms:created>
  <dcterms:modified xsi:type="dcterms:W3CDTF">2025-08-19T12:25:14Z</dcterms:modified>
</cp:coreProperties>
</file>