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329" i="1"/>
  <c r="E329"/>
  <c r="P328"/>
  <c r="E328"/>
  <c r="P327"/>
  <c r="E327"/>
  <c r="P326"/>
  <c r="E326"/>
  <c r="P325"/>
  <c r="E325"/>
  <c r="P324"/>
  <c r="E324"/>
  <c r="P323"/>
  <c r="E323"/>
  <c r="P322"/>
  <c r="E322"/>
  <c r="P321"/>
  <c r="E321"/>
  <c r="P320"/>
  <c r="E320"/>
  <c r="P319"/>
  <c r="E319"/>
  <c r="P318"/>
  <c r="E318"/>
  <c r="P317"/>
  <c r="E317"/>
  <c r="P316"/>
  <c r="E316"/>
  <c r="P315"/>
  <c r="E315"/>
  <c r="P314"/>
  <c r="E314"/>
  <c r="P313"/>
  <c r="E313"/>
  <c r="P312"/>
  <c r="E312"/>
  <c r="P311"/>
  <c r="E311"/>
  <c r="P310"/>
  <c r="E310"/>
  <c r="P309"/>
  <c r="E309"/>
  <c r="P308"/>
  <c r="E308"/>
  <c r="P307"/>
  <c r="E307"/>
  <c r="P306"/>
  <c r="E306"/>
  <c r="P305"/>
  <c r="E305"/>
  <c r="P304"/>
  <c r="E304"/>
  <c r="P303"/>
  <c r="E303"/>
  <c r="P302"/>
  <c r="E302"/>
  <c r="P301"/>
  <c r="E301"/>
  <c r="P300"/>
  <c r="E300"/>
  <c r="P299"/>
  <c r="E299"/>
  <c r="P298"/>
  <c r="E298"/>
  <c r="P297"/>
  <c r="E297"/>
  <c r="P296"/>
  <c r="E296"/>
  <c r="P295"/>
  <c r="E295"/>
  <c r="P294"/>
  <c r="E294"/>
  <c r="P293"/>
  <c r="E293"/>
  <c r="P292"/>
  <c r="E292"/>
  <c r="P291"/>
  <c r="E291"/>
  <c r="P290"/>
  <c r="E290"/>
  <c r="P289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<sst xmlns="http://schemas.openxmlformats.org/spreadsheetml/2006/main" count="6481" uniqueCount="648">
  <si>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</si>
  <si>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</si>
  <si>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</si>
  <si>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</si>
  <si>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</si>
  <si>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</si>
  <si>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</si>
  <si>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</si>
  <si>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</si>
  <si>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</si>
  <si>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</si>
  <si>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</si>
  <si>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</si>
  <si>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</si>
  <si>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</si>
  <si>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</si>
  <si>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</si>
  <si>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</si>
  <si>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</si>
  <si>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</si>
  <si>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</si>
  <si>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</si>
  <si>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</si>
  <si>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</si>
  <si>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</si>
  <si>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</si>
  <si>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</si>
  <si>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</si>
  <si>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</si>
  <si>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</si>
  <si>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</si>
  <si>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</si>
  <si>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</si>
  <si>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</si>
  <si>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</si>
  <si>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</si>
  <si>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</si>
  <si>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</si>
  <si>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</si>
  <si>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</si>
  <si>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</si>
  <si>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</si>
  <si>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</si>
  <si>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</si>
  <si>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</si>
  <si>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</si>
  <si>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</si>
  <si>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</si>
  <si>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</si>
  <si>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</si>
  <si>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</si>
  <si>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</si>
  <si>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</si>
  <si>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</si>
  <si>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</si>
  <si>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</si>
  <si>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</si>
  <si>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</si>
  <si>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</si>
  <si>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</si>
  <si>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</si>
  <si>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</si>
  <si>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</si>
  <si>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</si>
  <si>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</si>
  <si>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</si>
  <si>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</si>
  <si>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</si>
  <si>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</si>
  <si>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nelsp</t>
  </si>
  <si>
    <t>NELSPRUIT</t>
  </si>
  <si>
    <t xml:space="preserve">ATM SOLUTIONS NELS                 </t>
  </si>
  <si>
    <t>RD</t>
  </si>
  <si>
    <t>SAMSON</t>
  </si>
  <si>
    <t>ALBERT</t>
  </si>
  <si>
    <t xml:space="preserve">samson                        </t>
  </si>
  <si>
    <t>no</t>
  </si>
  <si>
    <t xml:space="preserve">POD received from cell 0648706757 M     </t>
  </si>
  <si>
    <t>PARCEL</t>
  </si>
  <si>
    <t>RD1</t>
  </si>
  <si>
    <t>VRYBU</t>
  </si>
  <si>
    <t>VRYBURG</t>
  </si>
  <si>
    <t xml:space="preserve">ATM SOLUTION                       </t>
  </si>
  <si>
    <t>JERRY</t>
  </si>
  <si>
    <t>MORA</t>
  </si>
  <si>
    <t>isaac</t>
  </si>
  <si>
    <t>yes</t>
  </si>
  <si>
    <t>POD received from cell 0820760349 M</t>
  </si>
  <si>
    <t>RDY</t>
  </si>
  <si>
    <t>WHITE</t>
  </si>
  <si>
    <t>WHITE RIVER</t>
  </si>
  <si>
    <t>BOITUMELO MELK</t>
  </si>
  <si>
    <t>ASHLEY</t>
  </si>
  <si>
    <t>noma</t>
  </si>
  <si>
    <t>POD received from cell 0789905770 M</t>
  </si>
  <si>
    <t>RDD</t>
  </si>
  <si>
    <t>PIET2</t>
  </si>
  <si>
    <t>PIETERSBURG</t>
  </si>
  <si>
    <t>M PHOTOLO</t>
  </si>
  <si>
    <t>GEORGE</t>
  </si>
  <si>
    <t>george</t>
  </si>
  <si>
    <t>WELKO</t>
  </si>
  <si>
    <t>WELKOM</t>
  </si>
  <si>
    <t>JOHAN</t>
  </si>
  <si>
    <t>JOHANNESBURG</t>
  </si>
  <si>
    <t>FAULTY STORES</t>
  </si>
  <si>
    <t>TSHEPO MOYA</t>
  </si>
  <si>
    <t>rdD</t>
  </si>
  <si>
    <t>PORT3</t>
  </si>
  <si>
    <t>PORT ELIZABETH</t>
  </si>
  <si>
    <t xml:space="preserve">ATM SOLUTIONS - PE                 </t>
  </si>
  <si>
    <t xml:space="preserve">ATM SOLUTIONS - JHB                </t>
  </si>
  <si>
    <t>ZWELAKHE</t>
  </si>
  <si>
    <t>EUGENE</t>
  </si>
  <si>
    <t>BOXES</t>
  </si>
  <si>
    <t>RD2</t>
  </si>
  <si>
    <t>DURBA</t>
  </si>
  <si>
    <t>DURBAN</t>
  </si>
  <si>
    <t xml:space="preserve">ATM SOLUTIONS DURBAN               </t>
  </si>
  <si>
    <t xml:space="preserve">ATM SOLUTIONS-SANDTON-JHB          </t>
  </si>
  <si>
    <t>ON1</t>
  </si>
  <si>
    <t>TONI</t>
  </si>
  <si>
    <t>RUSTE</t>
  </si>
  <si>
    <t>RUSTENBURG</t>
  </si>
  <si>
    <t xml:space="preserve">ATMSOL RUSTENBURG                  </t>
  </si>
  <si>
    <t>NICOL</t>
  </si>
  <si>
    <t>Nicodemus</t>
  </si>
  <si>
    <t>POD received from cell 0769390451 M</t>
  </si>
  <si>
    <t>QUEEN</t>
  </si>
  <si>
    <t>QUEENSTOWN</t>
  </si>
  <si>
    <t>NORMAN</t>
  </si>
  <si>
    <t>BURG1</t>
  </si>
  <si>
    <t>BURGERSFORT</t>
  </si>
  <si>
    <t xml:space="preserve">ATM SOLUTIONS BURGERS              </t>
  </si>
  <si>
    <t>AMOS</t>
  </si>
  <si>
    <t>ELLIG</t>
  </si>
  <si>
    <t>POD received from cell 0797801097 M</t>
  </si>
  <si>
    <t>CAPET</t>
  </si>
  <si>
    <t>CAPE TOWN</t>
  </si>
  <si>
    <t>ZWELAKHE MOLEFE</t>
  </si>
  <si>
    <t>MAHMOOD</t>
  </si>
  <si>
    <t>GEORG</t>
  </si>
  <si>
    <t xml:space="preserve">ATM SOLUTIONS GEORGE               </t>
  </si>
  <si>
    <t>JIHAN MAX</t>
  </si>
  <si>
    <t>DEBRA</t>
  </si>
  <si>
    <t>johan</t>
  </si>
  <si>
    <t>RD3</t>
  </si>
  <si>
    <t>MMABA</t>
  </si>
  <si>
    <t>MMABATHO</t>
  </si>
  <si>
    <t xml:space="preserve">ATM SOLUTIONS MAFIKENG             </t>
  </si>
  <si>
    <t>PETER</t>
  </si>
  <si>
    <t>peter</t>
  </si>
  <si>
    <t>TZANE</t>
  </si>
  <si>
    <t>TZANEEN</t>
  </si>
  <si>
    <t xml:space="preserve">ATM SOLTUIONS TZANEENE             </t>
  </si>
  <si>
    <t>PIET</t>
  </si>
  <si>
    <t>makoma</t>
  </si>
  <si>
    <t>POD received from cell 0827335182 M</t>
  </si>
  <si>
    <t>...</t>
  </si>
  <si>
    <t>broam</t>
  </si>
  <si>
    <t>POD received from cell 0725506697 M</t>
  </si>
  <si>
    <t>kgaugelo</t>
  </si>
  <si>
    <t>POD received from cell 0721832419 M</t>
  </si>
  <si>
    <t xml:space="preserve">ATM SOLUTIONS NELSP                </t>
  </si>
  <si>
    <t>JOHN</t>
  </si>
  <si>
    <t xml:space="preserve">John                          </t>
  </si>
  <si>
    <t xml:space="preserve">POD received from cell 0762973601 M     </t>
  </si>
  <si>
    <t>SIGNED</t>
  </si>
  <si>
    <t xml:space="preserve">ATM SOLUTIONS P.E                  </t>
  </si>
  <si>
    <t>MALCOLM</t>
  </si>
  <si>
    <t>lauren</t>
  </si>
  <si>
    <t>POD received from cell 0848977566 M</t>
  </si>
  <si>
    <t xml:space="preserve">NICODEMUS                          </t>
  </si>
  <si>
    <t>STORES</t>
  </si>
  <si>
    <t>GERHARD</t>
  </si>
  <si>
    <t>illage</t>
  </si>
  <si>
    <t>PARCELS</t>
  </si>
  <si>
    <t>RDR</t>
  </si>
  <si>
    <t>COERT SMITH</t>
  </si>
  <si>
    <t>coert</t>
  </si>
  <si>
    <t>j17989</t>
  </si>
  <si>
    <t>BLOE1</t>
  </si>
  <si>
    <t>BLOEMFONTEIN</t>
  </si>
  <si>
    <t>BIOTUMELO</t>
  </si>
  <si>
    <t>ALETTA</t>
  </si>
  <si>
    <t>SPENCER</t>
  </si>
  <si>
    <t>JOHANNES</t>
  </si>
  <si>
    <t>karuna</t>
  </si>
  <si>
    <t>POD received from cell 0848255037 M</t>
  </si>
  <si>
    <t>LOUIS</t>
  </si>
  <si>
    <t>LOUIS TRICHARDT</t>
  </si>
  <si>
    <t xml:space="preserve">ATM SOL LOUIS TRICHARD             </t>
  </si>
  <si>
    <t>MICHEAL</t>
  </si>
  <si>
    <t>SOPHIE</t>
  </si>
  <si>
    <t>Ludere</t>
  </si>
  <si>
    <t>POD received from cell 0766170219 M</t>
  </si>
  <si>
    <t xml:space="preserve">ATM SOLUTIONS CAPE TOWN            </t>
  </si>
  <si>
    <t>ASHELY</t>
  </si>
  <si>
    <t>TAMARA</t>
  </si>
  <si>
    <t>ROBERT</t>
  </si>
  <si>
    <t>rosy</t>
  </si>
  <si>
    <t>MKHOMBISENI NXONGO</t>
  </si>
  <si>
    <t>NOZUKO</t>
  </si>
  <si>
    <t>REGINALD</t>
  </si>
  <si>
    <t>kgaugelog</t>
  </si>
  <si>
    <t xml:space="preserve">ATM SOLUTION JHB                   </t>
  </si>
  <si>
    <t>MARBL</t>
  </si>
  <si>
    <t>MARBLE HALL</t>
  </si>
  <si>
    <t>P LIEBENBERG</t>
  </si>
  <si>
    <t>JOHN MAVUSO</t>
  </si>
  <si>
    <t xml:space="preserve">SIGNATURE                     </t>
  </si>
  <si>
    <t xml:space="preserve">POD received from cell 0739367812 M     </t>
  </si>
  <si>
    <t xml:space="preserve">ATM SOLLOCKS                       </t>
  </si>
  <si>
    <t>HENRICH RONNEBECK</t>
  </si>
  <si>
    <t>KERSHEN</t>
  </si>
  <si>
    <t>georges</t>
  </si>
  <si>
    <t>MIDD2</t>
  </si>
  <si>
    <t>MIDDELBURG (Mpumalanga)</t>
  </si>
  <si>
    <t xml:space="preserve">ATM SOL                            </t>
  </si>
  <si>
    <t>GYS</t>
  </si>
  <si>
    <t>Jonathan</t>
  </si>
  <si>
    <t>POD received from cell 0733250519 M</t>
  </si>
  <si>
    <t>EAST</t>
  </si>
  <si>
    <t>EAST LONDON</t>
  </si>
  <si>
    <t>JASON</t>
  </si>
  <si>
    <t>eugene</t>
  </si>
  <si>
    <t>POD received from cell 0610951998 M</t>
  </si>
  <si>
    <t xml:space="preserve">ATMSOL MAFIKENG                    </t>
  </si>
  <si>
    <t>PETER L</t>
  </si>
  <si>
    <t>jerry</t>
  </si>
  <si>
    <t xml:space="preserve">ATMSOL TZANEEN                     </t>
  </si>
  <si>
    <t>ELIAS</t>
  </si>
  <si>
    <t>kholofelo</t>
  </si>
  <si>
    <t>NATASHA</t>
  </si>
  <si>
    <t xml:space="preserve">ATM  SOLUTIONS JHB                 </t>
  </si>
  <si>
    <t>RAJESH</t>
  </si>
  <si>
    <t xml:space="preserve">ATM SOLUTIONS MIDDELBURGH          </t>
  </si>
  <si>
    <t>BOITUMELO</t>
  </si>
  <si>
    <t>NATASHA OLDS</t>
  </si>
  <si>
    <t>PRESHEN</t>
  </si>
  <si>
    <t xml:space="preserve">ATM SOLUTIONS BLOEMFO              </t>
  </si>
  <si>
    <t>JEROME</t>
  </si>
  <si>
    <t>memory</t>
  </si>
  <si>
    <t>POD received from cell 0847649236 M</t>
  </si>
  <si>
    <t xml:space="preserve">THABO                              </t>
  </si>
  <si>
    <t>LOCKS DEPART</t>
  </si>
  <si>
    <t>THABO</t>
  </si>
  <si>
    <t>capet</t>
  </si>
  <si>
    <t xml:space="preserve">KAZNG                              </t>
  </si>
  <si>
    <t>GRANT CARTER</t>
  </si>
  <si>
    <t>bongiwe</t>
  </si>
  <si>
    <t>POD received from cell 0617856156 M</t>
  </si>
  <si>
    <t>..</t>
  </si>
  <si>
    <t>Reginald</t>
  </si>
  <si>
    <t>LINCO</t>
  </si>
  <si>
    <t>PIET1</t>
  </si>
  <si>
    <t>PIETERMARITZBURG</t>
  </si>
  <si>
    <t xml:space="preserve">ATM SOLUTIONS P                    </t>
  </si>
  <si>
    <t>MERRIEN</t>
  </si>
  <si>
    <t>ALBER</t>
  </si>
  <si>
    <t>MEEVLYN</t>
  </si>
  <si>
    <t>POD received from cell 0834103236 M</t>
  </si>
  <si>
    <t>RDX</t>
  </si>
  <si>
    <t xml:space="preserve">MERVLYN                       </t>
  </si>
  <si>
    <t>Hold for Collection</t>
  </si>
  <si>
    <t>NIS</t>
  </si>
  <si>
    <t xml:space="preserve">POD received from cell 0834103236 M     </t>
  </si>
  <si>
    <t xml:space="preserve">ATM SOLUTIONS TZANEEN              </t>
  </si>
  <si>
    <t>PIET MASHANA</t>
  </si>
  <si>
    <t>kholofeelo</t>
  </si>
  <si>
    <t>PIETER LINCO</t>
  </si>
  <si>
    <t>MICHEL</t>
  </si>
  <si>
    <t>MOR</t>
  </si>
  <si>
    <t>RYSLEE</t>
  </si>
  <si>
    <t xml:space="preserve">ATM SOLUTIONS BURGER               </t>
  </si>
  <si>
    <t xml:space="preserve">SEROTO                        </t>
  </si>
  <si>
    <t xml:space="preserve">POD received from cell 0797801097 M     </t>
  </si>
  <si>
    <t>BETHL</t>
  </si>
  <si>
    <t>BETHLEHEM</t>
  </si>
  <si>
    <t xml:space="preserve">ATM SOLUTIONS BETHLEHEM            </t>
  </si>
  <si>
    <t>TAHBO</t>
  </si>
  <si>
    <t>T TSHABALALA</t>
  </si>
  <si>
    <t>POD received from cell 0736019967 M</t>
  </si>
  <si>
    <t>BANELE</t>
  </si>
  <si>
    <t>NOMA</t>
  </si>
  <si>
    <t>SPARES</t>
  </si>
  <si>
    <t>HAMOOD</t>
  </si>
  <si>
    <t>GULIIAN</t>
  </si>
  <si>
    <t>POD received from cell 0764958693 M</t>
  </si>
  <si>
    <t>sibangani</t>
  </si>
  <si>
    <t>POD received from cell 0630533933 M</t>
  </si>
  <si>
    <t>rd1</t>
  </si>
  <si>
    <t>MARATUMA PHOTOLO</t>
  </si>
  <si>
    <t xml:space="preserve">j  d                          </t>
  </si>
  <si>
    <t xml:space="preserve">POD received from cell 0725506697 M     </t>
  </si>
  <si>
    <t>SEROTO</t>
  </si>
  <si>
    <t xml:space="preserve">ATM SOLUTION WAREHOUSE             </t>
  </si>
  <si>
    <t>EDDIE</t>
  </si>
  <si>
    <t>SIG</t>
  </si>
  <si>
    <t>JOHAN MARX</t>
  </si>
  <si>
    <t>SWEETNESS</t>
  </si>
  <si>
    <t>NOM</t>
  </si>
  <si>
    <t xml:space="preserve">ATMS SOLUTIONS                     </t>
  </si>
  <si>
    <t>MORATUWA PHOTOLO</t>
  </si>
  <si>
    <t>NORMAN RALARALA</t>
  </si>
  <si>
    <t xml:space="preserve">LINCO                         </t>
  </si>
  <si>
    <t>ZIKHONA</t>
  </si>
  <si>
    <t>NELSP</t>
  </si>
  <si>
    <t xml:space="preserve">ATM SOL JHB                        </t>
  </si>
  <si>
    <t>GORGES</t>
  </si>
  <si>
    <t>kqreinq</t>
  </si>
  <si>
    <t>LIEBERNBERG</t>
  </si>
  <si>
    <t>PIETER</t>
  </si>
  <si>
    <t>POD received from cell 0739367812 M</t>
  </si>
  <si>
    <t xml:space="preserve">ATM SOLUTINS WITBANK               </t>
  </si>
  <si>
    <t>MK</t>
  </si>
  <si>
    <t>MAHMOED</t>
  </si>
  <si>
    <t>MORATUWA</t>
  </si>
  <si>
    <t>BOX</t>
  </si>
  <si>
    <t>MORAFOWA POTOLO</t>
  </si>
  <si>
    <t>thapelo</t>
  </si>
  <si>
    <t xml:space="preserve"> MORA</t>
  </si>
  <si>
    <t>Simon</t>
  </si>
  <si>
    <t xml:space="preserve">ATM SOLUTIONS BLOMF                </t>
  </si>
  <si>
    <t>classen</t>
  </si>
  <si>
    <t>Late linehaul</t>
  </si>
  <si>
    <t>kod</t>
  </si>
  <si>
    <t>POD received from cell 0815464054 M</t>
  </si>
  <si>
    <t xml:space="preserve">ATM SOL PE                         </t>
  </si>
  <si>
    <t>Eugene</t>
  </si>
  <si>
    <t>reginald</t>
  </si>
  <si>
    <t>NICO</t>
  </si>
  <si>
    <t>boitumelo</t>
  </si>
  <si>
    <t>POD received from cell 0786510203 M</t>
  </si>
  <si>
    <t>ILLEG</t>
  </si>
  <si>
    <t>MALCOM</t>
  </si>
  <si>
    <t>Laura</t>
  </si>
  <si>
    <t>POD received from cell 0849877566 M</t>
  </si>
  <si>
    <t>rdd</t>
  </si>
  <si>
    <t xml:space="preserve">ATM SOLUTONS                       </t>
  </si>
  <si>
    <t>BIOTUYMELO</t>
  </si>
  <si>
    <t>ALTTE</t>
  </si>
  <si>
    <t xml:space="preserve">ATM SOLUTIONS WITBANK              </t>
  </si>
  <si>
    <t>GEORGES</t>
  </si>
  <si>
    <t>PAUL ACKERMAN</t>
  </si>
  <si>
    <t xml:space="preserve">atm solutions                      </t>
  </si>
  <si>
    <t xml:space="preserve">atm sol                            </t>
  </si>
  <si>
    <t>box</t>
  </si>
  <si>
    <t>ADMON</t>
  </si>
  <si>
    <t>A BOTHA</t>
  </si>
  <si>
    <t>KIMBE</t>
  </si>
  <si>
    <t>KIMBERLEY</t>
  </si>
  <si>
    <t>ATM STORE</t>
  </si>
  <si>
    <t xml:space="preserve">ATM SOL LOCKS                      </t>
  </si>
  <si>
    <t>SOPHIE LENTSOANE</t>
  </si>
  <si>
    <t>JHANNES</t>
  </si>
  <si>
    <t>TSHEPO</t>
  </si>
  <si>
    <t>MEMORY</t>
  </si>
  <si>
    <t xml:space="preserve">TSEPO                         </t>
  </si>
  <si>
    <t xml:space="preserve">POD received from cell 0737539985 M     </t>
  </si>
  <si>
    <t xml:space="preserve">ATM SOLUTIONS MAKHADO              </t>
  </si>
  <si>
    <t>HEIN</t>
  </si>
  <si>
    <t>INNUS RADEMAN</t>
  </si>
  <si>
    <t>innus</t>
  </si>
  <si>
    <t>EUGENE VAND</t>
  </si>
  <si>
    <t>POD received from cell 0670285361 M</t>
  </si>
  <si>
    <t>FLYER</t>
  </si>
  <si>
    <t>Nthabiseng</t>
  </si>
  <si>
    <t xml:space="preserve">ATM SOL NELSP                      </t>
  </si>
  <si>
    <t>JOHN MULLER</t>
  </si>
  <si>
    <t xml:space="preserve">johan                         </t>
  </si>
  <si>
    <t>Tamara</t>
  </si>
  <si>
    <t>POD received from cell 0747227056 M</t>
  </si>
  <si>
    <t>MERULEN REDDY</t>
  </si>
  <si>
    <t>Mahwood</t>
  </si>
  <si>
    <t>NIC</t>
  </si>
  <si>
    <t>POD received from cell 0824745801 M</t>
  </si>
  <si>
    <t>GULIAN</t>
  </si>
  <si>
    <t xml:space="preserve">ATM SOLUTIONS BO                   </t>
  </si>
  <si>
    <t>illeg</t>
  </si>
  <si>
    <t>Boitumelo</t>
  </si>
  <si>
    <t>P LEIBENBERG</t>
  </si>
  <si>
    <t>SIGNATURE</t>
  </si>
  <si>
    <t>VERWO</t>
  </si>
  <si>
    <t>CENTURION</t>
  </si>
  <si>
    <t xml:space="preserve">CONNECT NET                        </t>
  </si>
  <si>
    <t>ADRI</t>
  </si>
  <si>
    <t>mmashaku</t>
  </si>
  <si>
    <t>POD received from cell 0766143929 M</t>
  </si>
  <si>
    <t>RICHA</t>
  </si>
  <si>
    <t>RICHARDS BAY</t>
  </si>
  <si>
    <t xml:space="preserve">ATM SOLUTIONS RICHARDS BAY         </t>
  </si>
  <si>
    <t>john</t>
  </si>
  <si>
    <t>rd2</t>
  </si>
  <si>
    <t>MORATIWA  DEBRA</t>
  </si>
  <si>
    <t>PIET MASHABA</t>
  </si>
  <si>
    <t>KARABO</t>
  </si>
  <si>
    <t xml:space="preserve">ATM SOLUTION WAREH                 </t>
  </si>
  <si>
    <t>GORGES BANZA</t>
  </si>
  <si>
    <t>MICHAEL</t>
  </si>
  <si>
    <t xml:space="preserve">ATM SOLUTION  WARE HOUSE           </t>
  </si>
  <si>
    <t>3 BOX</t>
  </si>
  <si>
    <t xml:space="preserve">ATM SOLUTION HEAD OFFICE           </t>
  </si>
  <si>
    <t>SWEETNES  BANELE</t>
  </si>
  <si>
    <t xml:space="preserve">SKYNET DEPT                        </t>
  </si>
  <si>
    <t>PIET MOTSWALAKGORO</t>
  </si>
  <si>
    <t>piet</t>
  </si>
  <si>
    <t>POD received from cell 0782552431 M</t>
  </si>
  <si>
    <t>FAULTY STORE</t>
  </si>
  <si>
    <t>PHINDIWE</t>
  </si>
  <si>
    <t xml:space="preserve">ATM SOLUTIONS (JNB)                </t>
  </si>
  <si>
    <t>ATM SOLUTIONS  JNB</t>
  </si>
  <si>
    <t>Anastasia</t>
  </si>
  <si>
    <t xml:space="preserve">ATM SOLUTINS BURGERS               </t>
  </si>
  <si>
    <t>COERT</t>
  </si>
  <si>
    <t>PIET MASHALA</t>
  </si>
  <si>
    <t xml:space="preserve">makoma                        </t>
  </si>
  <si>
    <t xml:space="preserve">POD received from cell 0827335182 M     </t>
  </si>
  <si>
    <t>STILF</t>
  </si>
  <si>
    <t>STILFONTEIN</t>
  </si>
  <si>
    <t xml:space="preserve">ATM SOLUTIONS KLERKS               </t>
  </si>
  <si>
    <t>STPEHAN</t>
  </si>
  <si>
    <t>STEPHAN</t>
  </si>
  <si>
    <t>POD received from cell 0836280065 M</t>
  </si>
  <si>
    <t xml:space="preserve">AM SOLUTIONS BETHLEHEM             </t>
  </si>
  <si>
    <t>PAUL</t>
  </si>
  <si>
    <t>Natasha</t>
  </si>
  <si>
    <t>YASS</t>
  </si>
  <si>
    <t>shivasti</t>
  </si>
  <si>
    <t>KLERK</t>
  </si>
  <si>
    <t>KLERKSDORP</t>
  </si>
  <si>
    <t xml:space="preserve">ATM SOLUTION KLERKS                </t>
  </si>
  <si>
    <t>MO</t>
  </si>
  <si>
    <t xml:space="preserve">Stephan                       </t>
  </si>
  <si>
    <t>asm</t>
  </si>
  <si>
    <t xml:space="preserve">POD received from cell 0833641700 M     </t>
  </si>
  <si>
    <t>YASHEN</t>
  </si>
  <si>
    <t>OTHMEL</t>
  </si>
  <si>
    <t>malcolm</t>
  </si>
  <si>
    <t>ZWELAKHE MOFELE</t>
  </si>
  <si>
    <t>MAHOMMD</t>
  </si>
  <si>
    <t xml:space="preserve">ATM SOLUTIONS PIMB                 </t>
  </si>
  <si>
    <t>MERVIEN</t>
  </si>
  <si>
    <t>MERVLYN</t>
  </si>
  <si>
    <t>UPING</t>
  </si>
  <si>
    <t>UPINGTON</t>
  </si>
  <si>
    <t xml:space="preserve">ATM SOLUTIONS UPINGTON             </t>
  </si>
  <si>
    <t>WILLIE</t>
  </si>
  <si>
    <t xml:space="preserve">WILLIE                        </t>
  </si>
  <si>
    <t xml:space="preserve">                                        </t>
  </si>
  <si>
    <t>NEWCA</t>
  </si>
  <si>
    <t>NEWCASTLE</t>
  </si>
  <si>
    <t xml:space="preserve">ATM SOLUTIONS NEWCASTLE            </t>
  </si>
  <si>
    <t>LINDO</t>
  </si>
  <si>
    <t>ASHLEY SOLUTION</t>
  </si>
  <si>
    <t xml:space="preserve">NOMA                          </t>
  </si>
  <si>
    <t xml:space="preserve">ATM  SOLUTIONS                     </t>
  </si>
  <si>
    <t>THABO TSHABALALA</t>
  </si>
  <si>
    <t>MEMORY CLAASSENS</t>
  </si>
  <si>
    <t xml:space="preserve">ATM SOLUTION JNB                   </t>
  </si>
  <si>
    <t>CE ADMIN STEPHINA</t>
  </si>
  <si>
    <t>ANN</t>
  </si>
  <si>
    <t>ACHELELE</t>
  </si>
  <si>
    <t>ATM SOL</t>
  </si>
  <si>
    <t>POD received from cell 0827008879 M</t>
  </si>
  <si>
    <t>SIPHIWE</t>
  </si>
  <si>
    <t>COETZEE</t>
  </si>
  <si>
    <t>M MARLI</t>
  </si>
  <si>
    <t>Erick</t>
  </si>
  <si>
    <t>lindra</t>
  </si>
  <si>
    <t>MORATUMA</t>
  </si>
  <si>
    <t>Tshepo</t>
  </si>
  <si>
    <t xml:space="preserve">NICO                               </t>
  </si>
  <si>
    <t>PIET M</t>
  </si>
  <si>
    <t xml:space="preserve">atm solu                           </t>
  </si>
  <si>
    <t>EDDIE LITABE</t>
  </si>
  <si>
    <t>FLYUER</t>
  </si>
  <si>
    <t>LIANDR</t>
  </si>
  <si>
    <t>A</t>
  </si>
  <si>
    <t>ATM SOLUTION</t>
  </si>
  <si>
    <t xml:space="preserve">BOX                                               </t>
  </si>
  <si>
    <t>Isaac</t>
  </si>
  <si>
    <t xml:space="preserve">PAYCORP                            </t>
  </si>
  <si>
    <t>NTHABISENG</t>
  </si>
  <si>
    <t>liandra</t>
  </si>
  <si>
    <t>POD received from cell 0780040220 M</t>
  </si>
  <si>
    <t>POD received from cell 0648706757 M</t>
  </si>
  <si>
    <t xml:space="preserve">KAZANG                             </t>
  </si>
  <si>
    <t>GRANT</t>
  </si>
  <si>
    <t>MKHOMBISENI</t>
  </si>
  <si>
    <t>SIMA</t>
  </si>
  <si>
    <t xml:space="preserve">ATM SOLUTIONS UPINGOTN             </t>
  </si>
  <si>
    <t>WILLI COETZEE</t>
  </si>
  <si>
    <t>SU-MARI</t>
  </si>
  <si>
    <t>stores</t>
  </si>
  <si>
    <t xml:space="preserve">george                        </t>
  </si>
  <si>
    <t>locks</t>
  </si>
  <si>
    <t>STOIRES</t>
  </si>
  <si>
    <t>MORATIWA DEBRA</t>
  </si>
  <si>
    <t>SWETNEESS</t>
  </si>
  <si>
    <t>signed</t>
  </si>
  <si>
    <t>MORATUMA PHOTOLO</t>
  </si>
  <si>
    <t xml:space="preserve">ATN SOLUTIONS DURBAN               </t>
  </si>
  <si>
    <t>PRSHEN</t>
  </si>
  <si>
    <t>spencer</t>
  </si>
  <si>
    <t>OBERT</t>
  </si>
  <si>
    <t>FAULTY</t>
  </si>
  <si>
    <t>GOODS</t>
  </si>
  <si>
    <t xml:space="preserve">ATM SOLUTION NELSPRUIT             </t>
  </si>
  <si>
    <t xml:space="preserve">atm solution                       </t>
  </si>
  <si>
    <t>flyer</t>
  </si>
  <si>
    <t>TUKS</t>
  </si>
  <si>
    <t>linco</t>
  </si>
  <si>
    <t xml:space="preserve">ATM SOLUTIONS CPT                  </t>
  </si>
  <si>
    <t>mahmood</t>
  </si>
  <si>
    <t xml:space="preserve">ATM SOLUTIONS KIMBERLY             </t>
  </si>
  <si>
    <t>POD received from cell 0736616419 M</t>
  </si>
  <si>
    <t xml:space="preserve">ATM SOLUTIONS PLZ                  </t>
  </si>
  <si>
    <t>laura</t>
  </si>
  <si>
    <t>ABLERT</t>
  </si>
  <si>
    <t>TUMI</t>
  </si>
  <si>
    <t xml:space="preserve">ATM SOLUTIONS BURGERSFORT          </t>
  </si>
  <si>
    <t>Benn</t>
  </si>
  <si>
    <t xml:space="preserve">ATM SOLUTIONS REPAIR CENTRE        </t>
  </si>
  <si>
    <t>DANIEL MOKONYANNA</t>
  </si>
  <si>
    <t>WILLIE COETZEE</t>
  </si>
  <si>
    <t>TES</t>
  </si>
  <si>
    <t>FLAYER</t>
  </si>
  <si>
    <t>Melinda</t>
  </si>
  <si>
    <t>POD received from cell 0611435250 M</t>
  </si>
  <si>
    <t>BERNICE</t>
  </si>
  <si>
    <t xml:space="preserve">AT SOLUTIONS                       </t>
  </si>
  <si>
    <t>RAJEN</t>
  </si>
  <si>
    <t xml:space="preserve">C O SKYNET GEORGE                  </t>
  </si>
  <si>
    <t>PLEASE CALL JOHAN TO COLLECT @ SKYNET GEORGE 0832298677</t>
  </si>
  <si>
    <t>MAHMOOED</t>
  </si>
  <si>
    <t>Enock</t>
  </si>
  <si>
    <t xml:space="preserve">ATM SOLUTIONS BLO                  </t>
  </si>
  <si>
    <t xml:space="preserve">ATM SOLUTIONS DURBA                </t>
  </si>
  <si>
    <t>sibagani</t>
  </si>
  <si>
    <t>sibanaani</t>
  </si>
  <si>
    <t>DBC</t>
  </si>
  <si>
    <t>Lauren</t>
  </si>
  <si>
    <t xml:space="preserve">Returned to sender on waybill </t>
  </si>
  <si>
    <t>Returned to sender on waybill number R00</t>
  </si>
  <si>
    <t xml:space="preserve">skynet                             </t>
  </si>
  <si>
    <t>alr</t>
  </si>
  <si>
    <t xml:space="preserve">ATM SOLUTIONA                      </t>
  </si>
  <si>
    <t>Tamarah</t>
  </si>
  <si>
    <t>portia</t>
  </si>
  <si>
    <t>PEI MASHALA</t>
  </si>
  <si>
    <t xml:space="preserve">ATM SOLUTIONS WIRTBAN              </t>
  </si>
  <si>
    <t xml:space="preserve">ATM SOLUTIONS BLOEM                </t>
  </si>
  <si>
    <t>POD received from cell 0847048531 M</t>
  </si>
  <si>
    <t xml:space="preserve">ATM SOLUTIOS WELKOM                </t>
  </si>
  <si>
    <t>THSEP MOYO</t>
  </si>
  <si>
    <t>POD received from cell 0737539985 M</t>
  </si>
  <si>
    <t>POTCH</t>
  </si>
  <si>
    <t>POTCHEFSTROOM</t>
  </si>
  <si>
    <t>Stephan</t>
  </si>
  <si>
    <t>POD received from cell 0833641700 M</t>
  </si>
  <si>
    <t>ATMSOL LOCKS</t>
  </si>
  <si>
    <t xml:space="preserve">GEORGE                        </t>
  </si>
  <si>
    <t xml:space="preserve">POD received from cell 0789905770 M     </t>
  </si>
  <si>
    <t>JHN MAVUSI</t>
  </si>
  <si>
    <t>P LIEBEMNBERG</t>
  </si>
  <si>
    <t>MORAA</t>
  </si>
  <si>
    <t>?</t>
  </si>
  <si>
    <t>botha</t>
  </si>
  <si>
    <t>POD received from cell 0734787843 M</t>
  </si>
  <si>
    <t>P LIEBERNBERG</t>
  </si>
  <si>
    <t xml:space="preserve">ATM SOLUTINS                       </t>
  </si>
  <si>
    <t>Thabo</t>
  </si>
  <si>
    <t>POD received from cell 0787652707 M</t>
  </si>
  <si>
    <t>Malcolm</t>
  </si>
  <si>
    <t>jd swanepoel</t>
  </si>
  <si>
    <t>MKHOMBESENI</t>
  </si>
  <si>
    <t>ROSY</t>
  </si>
  <si>
    <t>LADYS</t>
  </si>
  <si>
    <t>LADYSMITH (NTL)</t>
  </si>
  <si>
    <t>LINDO KHUMALO</t>
  </si>
  <si>
    <t xml:space="preserve">LINDO                         </t>
  </si>
  <si>
    <t>MERVLEN REDDY</t>
  </si>
  <si>
    <t>Nolwazi</t>
  </si>
  <si>
    <t>PETER LETSOALO</t>
  </si>
  <si>
    <t xml:space="preserve">ATM SOLUTIONS NLP                  </t>
  </si>
  <si>
    <t xml:space="preserve">ATM SOLUTIONS                 </t>
  </si>
  <si>
    <t xml:space="preserve">POD received from cell 0787652707 M     </t>
  </si>
  <si>
    <t xml:space="preserve">jd swanepoel                  </t>
  </si>
  <si>
    <t>MARATUMA</t>
  </si>
  <si>
    <t xml:space="preserve">ATM SOLUTIONS PE                   </t>
  </si>
  <si>
    <t xml:space="preserve">ATM SOLUTIN                        </t>
  </si>
  <si>
    <t xml:space="preserve">ATM SOLUTIONS JHB                  </t>
  </si>
  <si>
    <t>MORATWA</t>
  </si>
  <si>
    <t>SPENCER CINA</t>
  </si>
  <si>
    <t xml:space="preserve">illage                        </t>
  </si>
  <si>
    <t>JOHAN MAVUSO</t>
  </si>
  <si>
    <t>Appointment required</t>
  </si>
  <si>
    <t>ssh</t>
  </si>
  <si>
    <t>ATM SOLUTIONS-SANDTON-JHB</t>
  </si>
  <si>
    <t>buyiswa</t>
  </si>
  <si>
    <t>Missed cutoff</t>
  </si>
  <si>
    <t>avw</t>
  </si>
  <si>
    <t>POD received from cell 0738058187 M</t>
  </si>
  <si>
    <t>hold for collection</t>
  </si>
  <si>
    <t xml:space="preserve">ATM SOLUTIONS BURGERSFO            </t>
  </si>
  <si>
    <t>AMOS MPHEHLELE</t>
  </si>
  <si>
    <t>SOPHIE (LOCKS)</t>
  </si>
  <si>
    <t>PVT</t>
  </si>
  <si>
    <t>ATM SOLUTIONS</t>
  </si>
  <si>
    <t>PIET MASHAU</t>
  </si>
  <si>
    <t>ATM SOLUTIONS JHB</t>
  </si>
  <si>
    <t xml:space="preserve">ATM SOLUTIONS TZANEE               </t>
  </si>
  <si>
    <t>goods</t>
  </si>
  <si>
    <t xml:space="preserve">Enock                         </t>
  </si>
  <si>
    <t xml:space="preserve">POD received from cell 0766170219 M     </t>
  </si>
  <si>
    <t>MERRIN HEDDY</t>
  </si>
  <si>
    <t xml:space="preserve">ATM SOLTIONS                       </t>
  </si>
  <si>
    <t>aibongani</t>
  </si>
  <si>
    <t>AMOS MPHAHLELE</t>
  </si>
  <si>
    <t>SAMSON KHOZA</t>
  </si>
  <si>
    <t>samson</t>
  </si>
  <si>
    <t>BITUMELO MELK</t>
  </si>
  <si>
    <t>POD received from cell 0713017212 M</t>
  </si>
  <si>
    <t>mkhombiseni</t>
  </si>
  <si>
    <t xml:space="preserve">ATM SOLUTIONS WELKOM               </t>
  </si>
  <si>
    <t>THSEPO</t>
  </si>
  <si>
    <t>GERGES</t>
  </si>
  <si>
    <t>JERME</t>
  </si>
  <si>
    <t xml:space="preserve">ATM SOLUTIONS WITBAK               </t>
  </si>
  <si>
    <t>STEPHANS</t>
  </si>
  <si>
    <t xml:space="preserve">ATMSOL JHB                         </t>
  </si>
  <si>
    <t>GAWIE DU TOIT</t>
  </si>
  <si>
    <t>MARIA</t>
  </si>
  <si>
    <t xml:space="preserve">ATM SOLUTIONS WAREHOUSE            </t>
  </si>
  <si>
    <t>REGMALD</t>
  </si>
  <si>
    <t>STEPHNA</t>
  </si>
  <si>
    <t>Account Total</t>
  </si>
  <si>
    <t>Acc No</t>
  </si>
  <si>
    <t>Date</t>
  </si>
  <si>
    <t>Start Town</t>
  </si>
  <si>
    <t>Dest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</si>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</sst>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331"/>
  <sheetViews>
    <sheetView tabSelected="1" workbookViewId="0">
      <selection activeCell="D9" sqref="D9"/>
    </sheetView>
  </sheetViews>
  <sheetFormatPr defaultRowHeight="15"/>
  <cols>
    <col min="64" max="67" width="9.140625" style="5"/>
  </cols>
  <sheetData>
    <row r="1" spans="1:92" ht="45">
      <c r="A1" s="3" t="s">
        <v>638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639</v>
      </c>
      <c r="G1" s="3" t="s">
        <v>4</v>
      </c>
      <c r="H1" s="3" t="s">
        <v>5</v>
      </c>
      <c r="I1" s="3" t="s">
        <v>640</v>
      </c>
      <c r="J1" s="3" t="s">
        <v>6</v>
      </c>
      <c r="K1" s="3" t="s">
        <v>7</v>
      </c>
      <c r="L1" s="3" t="s">
        <v>641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13</v>
      </c>
      <c r="U1" s="3" t="s">
        <v>15</v>
      </c>
      <c r="V1" s="3" t="s">
        <v>13</v>
      </c>
      <c r="W1" s="3" t="s">
        <v>16</v>
      </c>
      <c r="X1" s="3" t="s">
        <v>13</v>
      </c>
      <c r="Y1" s="3" t="s">
        <v>17</v>
      </c>
      <c r="Z1" s="3" t="s">
        <v>13</v>
      </c>
      <c r="AA1" s="3" t="s">
        <v>18</v>
      </c>
      <c r="AB1" s="3" t="s">
        <v>13</v>
      </c>
      <c r="AC1" s="3" t="s">
        <v>19</v>
      </c>
      <c r="AD1" s="3" t="s">
        <v>13</v>
      </c>
      <c r="AE1" s="3" t="s">
        <v>20</v>
      </c>
      <c r="AF1" s="3" t="s">
        <v>13</v>
      </c>
      <c r="AG1" s="3" t="s">
        <v>21</v>
      </c>
      <c r="AH1" s="3" t="s">
        <v>13</v>
      </c>
      <c r="AI1" s="3" t="s">
        <v>22</v>
      </c>
      <c r="AJ1" s="3" t="s">
        <v>13</v>
      </c>
      <c r="AK1" s="3" t="s">
        <v>23</v>
      </c>
      <c r="AL1" s="3" t="s">
        <v>13</v>
      </c>
      <c r="AM1" s="3" t="s">
        <v>24</v>
      </c>
      <c r="AN1" s="3" t="s">
        <v>13</v>
      </c>
      <c r="AO1" s="3" t="s">
        <v>25</v>
      </c>
      <c r="AP1" s="3" t="s">
        <v>13</v>
      </c>
      <c r="AQ1" s="3" t="s">
        <v>26</v>
      </c>
      <c r="AR1" s="3" t="s">
        <v>13</v>
      </c>
      <c r="AS1" s="3" t="s">
        <v>27</v>
      </c>
      <c r="AT1" s="3" t="s">
        <v>13</v>
      </c>
      <c r="AU1" s="3" t="s">
        <v>28</v>
      </c>
      <c r="AV1" s="3" t="s">
        <v>13</v>
      </c>
      <c r="AW1" s="3" t="s">
        <v>29</v>
      </c>
      <c r="AX1" s="3" t="s">
        <v>13</v>
      </c>
      <c r="AY1" s="3" t="s">
        <v>30</v>
      </c>
      <c r="AZ1" s="3" t="s">
        <v>13</v>
      </c>
      <c r="BA1" s="3" t="s">
        <v>31</v>
      </c>
      <c r="BB1" s="3" t="s">
        <v>13</v>
      </c>
      <c r="BC1" s="3" t="s">
        <v>32</v>
      </c>
      <c r="BD1" s="3" t="s">
        <v>13</v>
      </c>
      <c r="BE1" s="3" t="s">
        <v>642</v>
      </c>
      <c r="BF1" s="3" t="s">
        <v>13</v>
      </c>
      <c r="BG1" s="3" t="s">
        <v>33</v>
      </c>
      <c r="BH1" s="3" t="s">
        <v>643</v>
      </c>
      <c r="BI1" s="3" t="s">
        <v>34</v>
      </c>
      <c r="BJ1" s="3" t="s">
        <v>35</v>
      </c>
      <c r="BK1" s="3" t="s">
        <v>644</v>
      </c>
      <c r="BL1" s="4" t="s">
        <v>645</v>
      </c>
      <c r="BM1" s="4" t="s">
        <v>646</v>
      </c>
      <c r="BN1" s="4" t="s">
        <v>36</v>
      </c>
      <c r="BO1" s="4" t="s">
        <v>37</v>
      </c>
      <c r="BP1" s="3" t="s">
        <v>38</v>
      </c>
      <c r="BQ1" s="3" t="s">
        <v>39</v>
      </c>
      <c r="BR1" s="3" t="s">
        <v>40</v>
      </c>
      <c r="BS1" s="3" t="s">
        <v>41</v>
      </c>
      <c r="BT1" s="3" t="s">
        <v>42</v>
      </c>
      <c r="BU1" s="3" t="s">
        <v>43</v>
      </c>
      <c r="BV1" s="3" t="s">
        <v>44</v>
      </c>
      <c r="BW1" s="3" t="s">
        <v>45</v>
      </c>
      <c r="BX1" s="3" t="s">
        <v>46</v>
      </c>
      <c r="BY1" s="3" t="s">
        <v>47</v>
      </c>
      <c r="BZ1" s="3" t="s">
        <v>48</v>
      </c>
      <c r="CA1" s="3" t="s">
        <v>49</v>
      </c>
      <c r="CB1" s="3" t="s">
        <v>50</v>
      </c>
      <c r="CC1" s="3" t="s">
        <v>51</v>
      </c>
      <c r="CD1" s="3" t="s">
        <v>52</v>
      </c>
      <c r="CE1" s="3" t="s">
        <v>53</v>
      </c>
      <c r="CF1" s="3" t="s">
        <v>54</v>
      </c>
      <c r="CG1" s="3" t="s">
        <v>55</v>
      </c>
      <c r="CH1" s="3" t="s">
        <v>56</v>
      </c>
      <c r="CI1" s="3" t="s">
        <v>57</v>
      </c>
      <c r="CJ1" s="3" t="s">
        <v>58</v>
      </c>
      <c r="CK1" s="3" t="s">
        <v>59</v>
      </c>
      <c r="CL1" s="3" t="s">
        <v>60</v>
      </c>
      <c r="CM1" s="3" t="s">
        <v>61</v>
      </c>
      <c r="CN1" s="3" t="s">
        <v>647</v>
      </c>
    </row>
    <row r="2" spans="1:92">
      <c r="A2" t="s">
        <v>62</v>
      </c>
      <c r="B2" t="s">
        <v>63</v>
      </c>
      <c r="C2" t="s">
        <v>64</v>
      </c>
      <c r="E2" t="str">
        <f>"009939030228"</f>
        <v>009939030228</v>
      </c>
      <c r="F2" s="1">
        <v>43657</v>
      </c>
      <c r="G2">
        <v>202001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28.81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49</v>
      </c>
      <c r="BJ2">
        <v>50</v>
      </c>
      <c r="BK2">
        <v>50</v>
      </c>
      <c r="BL2" s="5">
        <v>171.26</v>
      </c>
      <c r="BM2" s="5">
        <v>25.69</v>
      </c>
      <c r="BN2" s="5">
        <v>196.95</v>
      </c>
      <c r="BO2" s="5">
        <v>196.95</v>
      </c>
      <c r="BQ2" t="s">
        <v>73</v>
      </c>
      <c r="BR2" t="s">
        <v>74</v>
      </c>
      <c r="BS2" s="1">
        <v>43661</v>
      </c>
      <c r="BT2" s="2">
        <v>0.61805555555555558</v>
      </c>
      <c r="BU2" t="s">
        <v>75</v>
      </c>
      <c r="BV2" t="s">
        <v>76</v>
      </c>
      <c r="BY2">
        <v>249912</v>
      </c>
      <c r="CA2" t="s">
        <v>77</v>
      </c>
      <c r="CC2" t="s">
        <v>70</v>
      </c>
      <c r="CD2">
        <v>1200</v>
      </c>
      <c r="CE2" t="s">
        <v>78</v>
      </c>
      <c r="CF2" s="1">
        <v>43661</v>
      </c>
      <c r="CI2">
        <v>1</v>
      </c>
      <c r="CJ2">
        <v>2</v>
      </c>
      <c r="CK2" t="s">
        <v>79</v>
      </c>
      <c r="CL2" t="s">
        <v>76</v>
      </c>
    </row>
    <row r="3" spans="1:92">
      <c r="A3" t="s">
        <v>62</v>
      </c>
      <c r="B3" t="s">
        <v>63</v>
      </c>
      <c r="C3" t="s">
        <v>64</v>
      </c>
      <c r="E3" t="str">
        <f>"009937287955"</f>
        <v>009937287955</v>
      </c>
      <c r="F3" s="1">
        <v>43654</v>
      </c>
      <c r="G3">
        <v>202001</v>
      </c>
      <c r="H3" t="s">
        <v>65</v>
      </c>
      <c r="I3" t="s">
        <v>66</v>
      </c>
      <c r="J3" t="s">
        <v>67</v>
      </c>
      <c r="K3" t="s">
        <v>68</v>
      </c>
      <c r="L3" t="s">
        <v>80</v>
      </c>
      <c r="M3" t="s">
        <v>81</v>
      </c>
      <c r="N3" t="s">
        <v>82</v>
      </c>
      <c r="O3" t="s">
        <v>72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57.09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33.5</v>
      </c>
      <c r="BJ3">
        <v>45.8</v>
      </c>
      <c r="BK3">
        <v>46</v>
      </c>
      <c r="BL3" s="5">
        <v>334.45</v>
      </c>
      <c r="BM3" s="5">
        <v>50.17</v>
      </c>
      <c r="BN3" s="5">
        <v>384.62</v>
      </c>
      <c r="BO3" s="5">
        <v>384.62</v>
      </c>
      <c r="BQ3" t="s">
        <v>83</v>
      </c>
      <c r="BR3" t="s">
        <v>84</v>
      </c>
      <c r="BS3" s="1">
        <v>43655</v>
      </c>
      <c r="BT3" s="2">
        <v>0.47361111111111115</v>
      </c>
      <c r="BU3" t="s">
        <v>85</v>
      </c>
      <c r="BV3" t="s">
        <v>86</v>
      </c>
      <c r="BY3">
        <v>229145.71</v>
      </c>
      <c r="CA3" t="s">
        <v>87</v>
      </c>
      <c r="CC3" t="s">
        <v>81</v>
      </c>
      <c r="CD3">
        <v>8600</v>
      </c>
      <c r="CE3" t="s">
        <v>78</v>
      </c>
      <c r="CF3" s="1">
        <v>43657</v>
      </c>
      <c r="CI3">
        <v>1</v>
      </c>
      <c r="CJ3">
        <v>1</v>
      </c>
      <c r="CK3" t="s">
        <v>88</v>
      </c>
      <c r="CL3" t="s">
        <v>76</v>
      </c>
    </row>
    <row r="4" spans="1:92">
      <c r="A4" t="s">
        <v>62</v>
      </c>
      <c r="B4" t="s">
        <v>63</v>
      </c>
      <c r="C4" t="s">
        <v>64</v>
      </c>
      <c r="E4" t="str">
        <f>"009937194609"</f>
        <v>009937194609</v>
      </c>
      <c r="F4" s="1">
        <v>43648</v>
      </c>
      <c r="G4">
        <v>202001</v>
      </c>
      <c r="H4" t="s">
        <v>89</v>
      </c>
      <c r="I4" t="s">
        <v>90</v>
      </c>
      <c r="J4" t="s">
        <v>82</v>
      </c>
      <c r="K4" t="s">
        <v>68</v>
      </c>
      <c r="L4" t="s">
        <v>65</v>
      </c>
      <c r="M4" t="s">
        <v>66</v>
      </c>
      <c r="N4" t="s">
        <v>67</v>
      </c>
      <c r="O4" t="s">
        <v>72</v>
      </c>
      <c r="P4" t="str">
        <f>"....                          "</f>
        <v xml:space="preserve">....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17.36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 s="5">
        <v>96.42</v>
      </c>
      <c r="BM4" s="5">
        <v>14.46</v>
      </c>
      <c r="BN4" s="5">
        <v>110.88</v>
      </c>
      <c r="BO4" s="5">
        <v>110.88</v>
      </c>
      <c r="BQ4" t="s">
        <v>91</v>
      </c>
      <c r="BR4" t="s">
        <v>92</v>
      </c>
      <c r="BS4" s="1">
        <v>43649</v>
      </c>
      <c r="BT4" s="2">
        <v>0.41666666666666669</v>
      </c>
      <c r="BU4" t="s">
        <v>93</v>
      </c>
      <c r="BV4" t="s">
        <v>86</v>
      </c>
      <c r="BY4">
        <v>1200</v>
      </c>
      <c r="CA4" t="s">
        <v>94</v>
      </c>
      <c r="CC4" t="s">
        <v>66</v>
      </c>
      <c r="CD4">
        <v>2146</v>
      </c>
      <c r="CE4" t="s">
        <v>78</v>
      </c>
      <c r="CF4" s="1">
        <v>43651</v>
      </c>
      <c r="CI4">
        <v>1</v>
      </c>
      <c r="CJ4">
        <v>1</v>
      </c>
      <c r="CK4" t="s">
        <v>95</v>
      </c>
      <c r="CL4" t="s">
        <v>76</v>
      </c>
    </row>
    <row r="5" spans="1:92">
      <c r="A5" t="s">
        <v>62</v>
      </c>
      <c r="B5" t="s">
        <v>63</v>
      </c>
      <c r="C5" t="s">
        <v>64</v>
      </c>
      <c r="E5" t="str">
        <f>"009936763521"</f>
        <v>009936763521</v>
      </c>
      <c r="F5" s="1">
        <v>43656</v>
      </c>
      <c r="G5">
        <v>202001</v>
      </c>
      <c r="H5" t="s">
        <v>96</v>
      </c>
      <c r="I5" t="s">
        <v>97</v>
      </c>
      <c r="J5" t="s">
        <v>67</v>
      </c>
      <c r="K5" t="s">
        <v>68</v>
      </c>
      <c r="L5" t="s">
        <v>65</v>
      </c>
      <c r="M5" t="s">
        <v>66</v>
      </c>
      <c r="N5" t="s">
        <v>67</v>
      </c>
      <c r="O5" t="s">
        <v>72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79.709999999999994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</v>
      </c>
      <c r="BI5">
        <v>42</v>
      </c>
      <c r="BJ5">
        <v>127.3</v>
      </c>
      <c r="BK5">
        <v>128</v>
      </c>
      <c r="BL5" s="5">
        <v>465</v>
      </c>
      <c r="BM5" s="5">
        <v>69.75</v>
      </c>
      <c r="BN5" s="5">
        <v>534.75</v>
      </c>
      <c r="BO5" s="5">
        <v>534.75</v>
      </c>
      <c r="BQ5" t="s">
        <v>98</v>
      </c>
      <c r="BS5" s="1">
        <v>43657</v>
      </c>
      <c r="BT5" s="2">
        <v>0.4513888888888889</v>
      </c>
      <c r="BU5" t="s">
        <v>99</v>
      </c>
      <c r="BV5" t="s">
        <v>86</v>
      </c>
      <c r="BY5">
        <v>636480</v>
      </c>
      <c r="CC5" t="s">
        <v>66</v>
      </c>
      <c r="CD5">
        <v>2146</v>
      </c>
      <c r="CE5">
        <v>1</v>
      </c>
      <c r="CF5" s="1">
        <v>43658</v>
      </c>
      <c r="CI5">
        <v>1</v>
      </c>
      <c r="CJ5">
        <v>1</v>
      </c>
      <c r="CK5" t="s">
        <v>95</v>
      </c>
      <c r="CL5" t="s">
        <v>76</v>
      </c>
    </row>
    <row r="6" spans="1:92">
      <c r="A6" t="s">
        <v>62</v>
      </c>
      <c r="B6" t="s">
        <v>63</v>
      </c>
      <c r="C6" t="s">
        <v>64</v>
      </c>
      <c r="E6" t="str">
        <f>"009936763520"</f>
        <v>009936763520</v>
      </c>
      <c r="F6" s="1">
        <v>43654</v>
      </c>
      <c r="G6">
        <v>202001</v>
      </c>
      <c r="H6" t="s">
        <v>96</v>
      </c>
      <c r="I6" t="s">
        <v>97</v>
      </c>
      <c r="J6" t="s">
        <v>67</v>
      </c>
      <c r="K6" t="s">
        <v>68</v>
      </c>
      <c r="L6" t="s">
        <v>65</v>
      </c>
      <c r="M6" t="s">
        <v>66</v>
      </c>
      <c r="N6" t="s">
        <v>82</v>
      </c>
      <c r="O6" t="s">
        <v>72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32.56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13</v>
      </c>
      <c r="BJ6">
        <v>44.9</v>
      </c>
      <c r="BK6">
        <v>45</v>
      </c>
      <c r="BL6" s="5">
        <v>192.92</v>
      </c>
      <c r="BM6" s="5">
        <v>28.94</v>
      </c>
      <c r="BN6" s="5">
        <v>221.86</v>
      </c>
      <c r="BO6" s="5">
        <v>221.86</v>
      </c>
      <c r="BQ6" t="s">
        <v>98</v>
      </c>
      <c r="BS6" s="1">
        <v>43655</v>
      </c>
      <c r="BT6" s="2">
        <v>0.4548611111111111</v>
      </c>
      <c r="BU6" t="s">
        <v>100</v>
      </c>
      <c r="BV6" t="s">
        <v>86</v>
      </c>
      <c r="BY6">
        <v>224625</v>
      </c>
      <c r="CC6" t="s">
        <v>66</v>
      </c>
      <c r="CD6">
        <v>2146</v>
      </c>
      <c r="CE6">
        <v>1</v>
      </c>
      <c r="CF6" s="1">
        <v>43656</v>
      </c>
      <c r="CI6">
        <v>1</v>
      </c>
      <c r="CJ6">
        <v>1</v>
      </c>
      <c r="CK6" t="s">
        <v>95</v>
      </c>
      <c r="CL6" t="s">
        <v>76</v>
      </c>
    </row>
    <row r="7" spans="1:92">
      <c r="A7" t="s">
        <v>62</v>
      </c>
      <c r="B7" t="s">
        <v>63</v>
      </c>
      <c r="C7" t="s">
        <v>64</v>
      </c>
      <c r="E7" t="str">
        <f>"089901560486"</f>
        <v>089901560486</v>
      </c>
      <c r="F7" s="1">
        <v>43654</v>
      </c>
      <c r="G7">
        <v>202001</v>
      </c>
      <c r="H7" t="s">
        <v>101</v>
      </c>
      <c r="I7" t="s">
        <v>102</v>
      </c>
      <c r="J7" t="s">
        <v>82</v>
      </c>
      <c r="K7" t="s">
        <v>68</v>
      </c>
      <c r="L7" t="s">
        <v>103</v>
      </c>
      <c r="M7" t="s">
        <v>104</v>
      </c>
      <c r="N7" t="s">
        <v>67</v>
      </c>
      <c r="O7" t="s">
        <v>72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29.72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26.8</v>
      </c>
      <c r="BJ7">
        <v>39.299999999999997</v>
      </c>
      <c r="BK7">
        <v>40</v>
      </c>
      <c r="BL7" s="5">
        <v>176.53</v>
      </c>
      <c r="BM7" s="5">
        <v>26.48</v>
      </c>
      <c r="BN7" s="5">
        <v>203.01</v>
      </c>
      <c r="BO7" s="5">
        <v>203.01</v>
      </c>
      <c r="BQ7" t="s">
        <v>105</v>
      </c>
      <c r="BR7" t="s">
        <v>106</v>
      </c>
      <c r="BS7" s="1">
        <v>43655</v>
      </c>
      <c r="BT7" s="2">
        <v>0.4548611111111111</v>
      </c>
      <c r="BU7" t="s">
        <v>100</v>
      </c>
      <c r="BV7" t="s">
        <v>86</v>
      </c>
      <c r="BY7">
        <v>196641.72</v>
      </c>
      <c r="CC7" t="s">
        <v>104</v>
      </c>
      <c r="CD7">
        <v>2000</v>
      </c>
      <c r="CE7" t="s">
        <v>78</v>
      </c>
      <c r="CF7" s="1">
        <v>43656</v>
      </c>
      <c r="CI7">
        <v>1</v>
      </c>
      <c r="CJ7">
        <v>1</v>
      </c>
      <c r="CK7" t="s">
        <v>107</v>
      </c>
      <c r="CL7" t="s">
        <v>76</v>
      </c>
    </row>
    <row r="8" spans="1:92">
      <c r="A8" t="s">
        <v>62</v>
      </c>
      <c r="B8" t="s">
        <v>63</v>
      </c>
      <c r="C8" t="s">
        <v>64</v>
      </c>
      <c r="E8" t="str">
        <f>"039902814820"</f>
        <v>039902814820</v>
      </c>
      <c r="F8" s="1">
        <v>43649</v>
      </c>
      <c r="G8">
        <v>202001</v>
      </c>
      <c r="H8" t="s">
        <v>108</v>
      </c>
      <c r="I8" t="s">
        <v>109</v>
      </c>
      <c r="J8" t="s">
        <v>110</v>
      </c>
      <c r="K8" t="s">
        <v>68</v>
      </c>
      <c r="L8" t="s">
        <v>103</v>
      </c>
      <c r="M8" t="s">
        <v>104</v>
      </c>
      <c r="N8" t="s">
        <v>111</v>
      </c>
      <c r="O8" t="s">
        <v>72</v>
      </c>
      <c r="P8" t="str">
        <f>"JNX 1907220969                "</f>
        <v xml:space="preserve">JNX 1907220969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97.45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7</v>
      </c>
      <c r="BI8">
        <v>87.5</v>
      </c>
      <c r="BJ8">
        <v>125.2</v>
      </c>
      <c r="BK8">
        <v>126</v>
      </c>
      <c r="BL8" s="5">
        <v>567.37</v>
      </c>
      <c r="BM8" s="5">
        <v>85.11</v>
      </c>
      <c r="BN8" s="5">
        <v>652.48</v>
      </c>
      <c r="BO8" s="5">
        <v>652.48</v>
      </c>
      <c r="BQ8" t="s">
        <v>112</v>
      </c>
      <c r="BR8" t="s">
        <v>113</v>
      </c>
      <c r="BS8" s="1">
        <v>43651</v>
      </c>
      <c r="BT8" s="2">
        <v>0.5</v>
      </c>
      <c r="BU8" t="s">
        <v>100</v>
      </c>
      <c r="BV8" t="s">
        <v>86</v>
      </c>
      <c r="BY8">
        <v>625830.82999999996</v>
      </c>
      <c r="CC8" t="s">
        <v>104</v>
      </c>
      <c r="CD8">
        <v>2000</v>
      </c>
      <c r="CE8" t="s">
        <v>114</v>
      </c>
      <c r="CF8" s="1">
        <v>43654</v>
      </c>
      <c r="CI8">
        <v>7</v>
      </c>
      <c r="CJ8">
        <v>2</v>
      </c>
      <c r="CK8" t="s">
        <v>115</v>
      </c>
      <c r="CL8" t="s">
        <v>76</v>
      </c>
    </row>
    <row r="9" spans="1:92">
      <c r="A9" t="s">
        <v>62</v>
      </c>
      <c r="B9" t="s">
        <v>63</v>
      </c>
      <c r="C9" t="s">
        <v>64</v>
      </c>
      <c r="E9" t="str">
        <f>"029908431928"</f>
        <v>029908431928</v>
      </c>
      <c r="F9" s="1">
        <v>43647</v>
      </c>
      <c r="G9">
        <v>202001</v>
      </c>
      <c r="H9" t="s">
        <v>116</v>
      </c>
      <c r="I9" t="s">
        <v>117</v>
      </c>
      <c r="J9" t="s">
        <v>118</v>
      </c>
      <c r="K9" t="s">
        <v>68</v>
      </c>
      <c r="L9" t="s">
        <v>65</v>
      </c>
      <c r="M9" t="s">
        <v>66</v>
      </c>
      <c r="N9" t="s">
        <v>119</v>
      </c>
      <c r="O9" t="s">
        <v>120</v>
      </c>
      <c r="P9" t="str">
        <f>"JNB 1907010096                "</f>
        <v xml:space="preserve">JNB 1907010096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9.26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</v>
      </c>
      <c r="BK9">
        <v>1</v>
      </c>
      <c r="BL9" s="5">
        <v>48.76</v>
      </c>
      <c r="BM9" s="5">
        <v>7.31</v>
      </c>
      <c r="BN9" s="5">
        <v>56.07</v>
      </c>
      <c r="BO9" s="5">
        <v>56.07</v>
      </c>
      <c r="BQ9" t="s">
        <v>91</v>
      </c>
      <c r="BR9" t="s">
        <v>121</v>
      </c>
      <c r="BS9" s="1">
        <v>43648</v>
      </c>
      <c r="BT9" s="2">
        <v>0.40902777777777777</v>
      </c>
      <c r="BU9" t="s">
        <v>93</v>
      </c>
      <c r="BV9" t="s">
        <v>86</v>
      </c>
      <c r="BY9">
        <v>30</v>
      </c>
      <c r="BZ9" t="s">
        <v>23</v>
      </c>
      <c r="CA9" t="s">
        <v>94</v>
      </c>
      <c r="CC9" t="s">
        <v>66</v>
      </c>
      <c r="CD9">
        <v>2146</v>
      </c>
      <c r="CE9" t="s">
        <v>78</v>
      </c>
      <c r="CF9" s="1">
        <v>43649</v>
      </c>
      <c r="CI9">
        <v>1</v>
      </c>
      <c r="CJ9">
        <v>1</v>
      </c>
      <c r="CK9">
        <v>21</v>
      </c>
      <c r="CL9" t="s">
        <v>76</v>
      </c>
    </row>
    <row r="10" spans="1:92">
      <c r="A10" t="s">
        <v>62</v>
      </c>
      <c r="B10" t="s">
        <v>63</v>
      </c>
      <c r="C10" t="s">
        <v>64</v>
      </c>
      <c r="E10" t="str">
        <f>"009938400839"</f>
        <v>009938400839</v>
      </c>
      <c r="F10" s="1">
        <v>43647</v>
      </c>
      <c r="G10">
        <v>202001</v>
      </c>
      <c r="H10" t="s">
        <v>65</v>
      </c>
      <c r="I10" t="s">
        <v>66</v>
      </c>
      <c r="J10" t="s">
        <v>67</v>
      </c>
      <c r="K10" t="s">
        <v>68</v>
      </c>
      <c r="L10" t="s">
        <v>122</v>
      </c>
      <c r="M10" t="s">
        <v>123</v>
      </c>
      <c r="N10" t="s">
        <v>124</v>
      </c>
      <c r="O10" t="s">
        <v>120</v>
      </c>
      <c r="P10" t="str">
        <f>"LOK                           "</f>
        <v xml:space="preserve">LOK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13.02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1</v>
      </c>
      <c r="BK10">
        <v>1</v>
      </c>
      <c r="BL10" s="5">
        <v>68.569999999999993</v>
      </c>
      <c r="BM10" s="5">
        <v>10.29</v>
      </c>
      <c r="BN10" s="5">
        <v>78.86</v>
      </c>
      <c r="BO10" s="5">
        <v>78.86</v>
      </c>
      <c r="BQ10" t="s">
        <v>125</v>
      </c>
      <c r="BS10" s="1">
        <v>43648</v>
      </c>
      <c r="BT10" s="2">
        <v>0.37152777777777773</v>
      </c>
      <c r="BU10" t="s">
        <v>126</v>
      </c>
      <c r="BV10" t="s">
        <v>86</v>
      </c>
      <c r="BY10">
        <v>4805.7</v>
      </c>
      <c r="BZ10" t="s">
        <v>23</v>
      </c>
      <c r="CA10" t="s">
        <v>127</v>
      </c>
      <c r="CC10" t="s">
        <v>123</v>
      </c>
      <c r="CD10">
        <v>299</v>
      </c>
      <c r="CE10" t="s">
        <v>78</v>
      </c>
      <c r="CF10" s="1">
        <v>43650</v>
      </c>
      <c r="CI10">
        <v>1</v>
      </c>
      <c r="CJ10">
        <v>1</v>
      </c>
      <c r="CK10">
        <v>24</v>
      </c>
      <c r="CL10" t="s">
        <v>76</v>
      </c>
    </row>
    <row r="11" spans="1:92">
      <c r="A11" t="s">
        <v>62</v>
      </c>
      <c r="B11" t="s">
        <v>63</v>
      </c>
      <c r="C11" t="s">
        <v>64</v>
      </c>
      <c r="E11" t="str">
        <f>"009937965154"</f>
        <v>009937965154</v>
      </c>
      <c r="F11" s="1">
        <v>43647</v>
      </c>
      <c r="G11">
        <v>202001</v>
      </c>
      <c r="H11" t="s">
        <v>65</v>
      </c>
      <c r="I11" t="s">
        <v>66</v>
      </c>
      <c r="J11" t="s">
        <v>67</v>
      </c>
      <c r="K11" t="s">
        <v>68</v>
      </c>
      <c r="L11" t="s">
        <v>128</v>
      </c>
      <c r="M11" t="s">
        <v>129</v>
      </c>
      <c r="N11" t="s">
        <v>67</v>
      </c>
      <c r="O11" t="s">
        <v>72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58.52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23</v>
      </c>
      <c r="BJ11">
        <v>41.2</v>
      </c>
      <c r="BK11">
        <v>42</v>
      </c>
      <c r="BL11" s="5">
        <v>313.16000000000003</v>
      </c>
      <c r="BM11" s="5">
        <v>46.97</v>
      </c>
      <c r="BN11" s="5">
        <v>360.13</v>
      </c>
      <c r="BO11" s="5">
        <v>360.13</v>
      </c>
      <c r="BQ11" t="s">
        <v>130</v>
      </c>
      <c r="BR11" t="s">
        <v>84</v>
      </c>
      <c r="BS11" s="1">
        <v>43649</v>
      </c>
      <c r="BT11" s="2">
        <v>0.65486111111111112</v>
      </c>
      <c r="BU11" t="s">
        <v>130</v>
      </c>
      <c r="BV11" t="s">
        <v>86</v>
      </c>
      <c r="BY11">
        <v>205920</v>
      </c>
      <c r="CC11" t="s">
        <v>129</v>
      </c>
      <c r="CD11">
        <v>5320</v>
      </c>
      <c r="CE11" t="s">
        <v>78</v>
      </c>
      <c r="CF11" s="1">
        <v>43654</v>
      </c>
      <c r="CI11">
        <v>4</v>
      </c>
      <c r="CJ11">
        <v>2</v>
      </c>
      <c r="CK11" t="s">
        <v>88</v>
      </c>
      <c r="CL11" t="s">
        <v>76</v>
      </c>
    </row>
    <row r="12" spans="1:92">
      <c r="A12" t="s">
        <v>62</v>
      </c>
      <c r="B12" t="s">
        <v>63</v>
      </c>
      <c r="C12" t="s">
        <v>64</v>
      </c>
      <c r="E12" t="str">
        <f>"009939030250"</f>
        <v>009939030250</v>
      </c>
      <c r="F12" s="1">
        <v>43647</v>
      </c>
      <c r="G12">
        <v>202001</v>
      </c>
      <c r="H12" t="s">
        <v>65</v>
      </c>
      <c r="I12" t="s">
        <v>66</v>
      </c>
      <c r="J12" t="s">
        <v>67</v>
      </c>
      <c r="K12" t="s">
        <v>68</v>
      </c>
      <c r="L12" t="s">
        <v>131</v>
      </c>
      <c r="M12" t="s">
        <v>132</v>
      </c>
      <c r="N12" t="s">
        <v>133</v>
      </c>
      <c r="O12" t="s">
        <v>72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61.18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30.7</v>
      </c>
      <c r="BJ12">
        <v>43.4</v>
      </c>
      <c r="BK12">
        <v>44</v>
      </c>
      <c r="BL12" s="5">
        <v>327.18</v>
      </c>
      <c r="BM12" s="5">
        <v>49.08</v>
      </c>
      <c r="BN12" s="5">
        <v>376.26</v>
      </c>
      <c r="BO12" s="5">
        <v>376.26</v>
      </c>
      <c r="BQ12" t="s">
        <v>134</v>
      </c>
      <c r="BR12" t="s">
        <v>74</v>
      </c>
      <c r="BS12" s="1">
        <v>43649</v>
      </c>
      <c r="BT12" s="2">
        <v>0.47083333333333338</v>
      </c>
      <c r="BU12" t="s">
        <v>135</v>
      </c>
      <c r="BV12" t="s">
        <v>86</v>
      </c>
      <c r="BY12">
        <v>217193.91</v>
      </c>
      <c r="CA12" t="s">
        <v>136</v>
      </c>
      <c r="CC12" t="s">
        <v>132</v>
      </c>
      <c r="CD12">
        <v>1150</v>
      </c>
      <c r="CE12" t="s">
        <v>78</v>
      </c>
      <c r="CF12" s="1">
        <v>43649</v>
      </c>
      <c r="CI12">
        <v>0</v>
      </c>
      <c r="CJ12">
        <v>0</v>
      </c>
      <c r="CK12" t="s">
        <v>88</v>
      </c>
      <c r="CL12" t="s">
        <v>76</v>
      </c>
    </row>
    <row r="13" spans="1:92">
      <c r="A13" t="s">
        <v>62</v>
      </c>
      <c r="B13" t="s">
        <v>63</v>
      </c>
      <c r="C13" t="s">
        <v>64</v>
      </c>
      <c r="E13" t="str">
        <f>"019910066619"</f>
        <v>019910066619</v>
      </c>
      <c r="F13" s="1">
        <v>43647</v>
      </c>
      <c r="G13">
        <v>202001</v>
      </c>
      <c r="H13" t="s">
        <v>137</v>
      </c>
      <c r="I13" t="s">
        <v>138</v>
      </c>
      <c r="J13" t="s">
        <v>67</v>
      </c>
      <c r="K13" t="s">
        <v>68</v>
      </c>
      <c r="L13" t="s">
        <v>103</v>
      </c>
      <c r="M13" t="s">
        <v>104</v>
      </c>
      <c r="N13" t="s">
        <v>67</v>
      </c>
      <c r="O13" t="s">
        <v>72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53.02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56.6</v>
      </c>
      <c r="BJ13">
        <v>53.8</v>
      </c>
      <c r="BK13">
        <v>57</v>
      </c>
      <c r="BL13" s="5">
        <v>284.2</v>
      </c>
      <c r="BM13" s="5">
        <v>42.63</v>
      </c>
      <c r="BN13" s="5">
        <v>326.83</v>
      </c>
      <c r="BO13" s="5">
        <v>326.83</v>
      </c>
      <c r="BQ13" t="s">
        <v>139</v>
      </c>
      <c r="BR13" t="s">
        <v>140</v>
      </c>
      <c r="BS13" s="1">
        <v>43649</v>
      </c>
      <c r="BT13" s="2">
        <v>0.39583333333333331</v>
      </c>
      <c r="BU13" t="s">
        <v>100</v>
      </c>
      <c r="BV13" t="s">
        <v>86</v>
      </c>
      <c r="BY13">
        <v>269172.75</v>
      </c>
      <c r="CC13" t="s">
        <v>104</v>
      </c>
      <c r="CD13">
        <v>2090</v>
      </c>
      <c r="CE13" t="s">
        <v>78</v>
      </c>
      <c r="CF13" s="1">
        <v>43651</v>
      </c>
      <c r="CI13">
        <v>2</v>
      </c>
      <c r="CJ13">
        <v>2</v>
      </c>
      <c r="CK13" t="s">
        <v>115</v>
      </c>
      <c r="CL13" t="s">
        <v>76</v>
      </c>
    </row>
    <row r="14" spans="1:92">
      <c r="A14" t="s">
        <v>62</v>
      </c>
      <c r="B14" t="s">
        <v>63</v>
      </c>
      <c r="C14" t="s">
        <v>64</v>
      </c>
      <c r="E14" t="str">
        <f>"009939030245"</f>
        <v>009939030245</v>
      </c>
      <c r="F14" s="1">
        <v>43647</v>
      </c>
      <c r="G14">
        <v>202001</v>
      </c>
      <c r="H14" t="s">
        <v>65</v>
      </c>
      <c r="I14" t="s">
        <v>66</v>
      </c>
      <c r="J14" t="s">
        <v>67</v>
      </c>
      <c r="K14" t="s">
        <v>68</v>
      </c>
      <c r="L14" t="s">
        <v>141</v>
      </c>
      <c r="M14" t="s">
        <v>99</v>
      </c>
      <c r="N14" t="s">
        <v>142</v>
      </c>
      <c r="O14" t="s">
        <v>72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61.18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24.1</v>
      </c>
      <c r="BJ14">
        <v>43.4</v>
      </c>
      <c r="BK14">
        <v>44</v>
      </c>
      <c r="BL14" s="5">
        <v>327.18</v>
      </c>
      <c r="BM14" s="5">
        <v>49.08</v>
      </c>
      <c r="BN14" s="5">
        <v>376.26</v>
      </c>
      <c r="BO14" s="5">
        <v>376.26</v>
      </c>
      <c r="BQ14" t="s">
        <v>143</v>
      </c>
      <c r="BR14" t="s">
        <v>144</v>
      </c>
      <c r="BS14" s="1">
        <v>43649</v>
      </c>
      <c r="BT14" s="2">
        <v>0.37847222222222227</v>
      </c>
      <c r="BU14" t="s">
        <v>145</v>
      </c>
      <c r="BV14" t="s">
        <v>86</v>
      </c>
      <c r="BY14">
        <v>216800.55</v>
      </c>
      <c r="CC14" t="s">
        <v>99</v>
      </c>
      <c r="CD14">
        <v>6529</v>
      </c>
      <c r="CE14" t="s">
        <v>78</v>
      </c>
      <c r="CF14" s="1">
        <v>43654</v>
      </c>
      <c r="CI14">
        <v>0</v>
      </c>
      <c r="CJ14">
        <v>0</v>
      </c>
      <c r="CK14" t="s">
        <v>146</v>
      </c>
      <c r="CL14" t="s">
        <v>76</v>
      </c>
    </row>
    <row r="15" spans="1:92">
      <c r="A15" t="s">
        <v>62</v>
      </c>
      <c r="B15" t="s">
        <v>63</v>
      </c>
      <c r="C15" t="s">
        <v>64</v>
      </c>
      <c r="E15" t="str">
        <f>"009939030246"</f>
        <v>009939030246</v>
      </c>
      <c r="F15" s="1">
        <v>43647</v>
      </c>
      <c r="G15">
        <v>202001</v>
      </c>
      <c r="H15" t="s">
        <v>65</v>
      </c>
      <c r="I15" t="s">
        <v>66</v>
      </c>
      <c r="J15" t="s">
        <v>67</v>
      </c>
      <c r="K15" t="s">
        <v>68</v>
      </c>
      <c r="L15" t="s">
        <v>147</v>
      </c>
      <c r="M15" t="s">
        <v>148</v>
      </c>
      <c r="N15" t="s">
        <v>149</v>
      </c>
      <c r="O15" t="s">
        <v>72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22.57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2.2999999999999998</v>
      </c>
      <c r="BJ15">
        <v>9.6</v>
      </c>
      <c r="BK15">
        <v>10</v>
      </c>
      <c r="BL15" s="5">
        <v>123.85</v>
      </c>
      <c r="BM15" s="5">
        <v>18.579999999999998</v>
      </c>
      <c r="BN15" s="5">
        <v>142.43</v>
      </c>
      <c r="BO15" s="5">
        <v>142.43</v>
      </c>
      <c r="BQ15" t="s">
        <v>150</v>
      </c>
      <c r="BR15" t="s">
        <v>74</v>
      </c>
      <c r="BS15" s="1">
        <v>43649</v>
      </c>
      <c r="BT15" s="2">
        <v>0.45833333333333331</v>
      </c>
      <c r="BU15" t="s">
        <v>151</v>
      </c>
      <c r="BV15" t="s">
        <v>76</v>
      </c>
      <c r="BY15">
        <v>47751.06</v>
      </c>
      <c r="CC15" t="s">
        <v>148</v>
      </c>
      <c r="CD15">
        <v>2745</v>
      </c>
      <c r="CE15" t="s">
        <v>78</v>
      </c>
      <c r="CF15" s="1">
        <v>43651</v>
      </c>
      <c r="CI15">
        <v>1</v>
      </c>
      <c r="CJ15">
        <v>2</v>
      </c>
      <c r="CK15" t="s">
        <v>88</v>
      </c>
      <c r="CL15" t="s">
        <v>76</v>
      </c>
    </row>
    <row r="16" spans="1:92">
      <c r="A16" t="s">
        <v>62</v>
      </c>
      <c r="B16" t="s">
        <v>63</v>
      </c>
      <c r="C16" t="s">
        <v>64</v>
      </c>
      <c r="E16" t="str">
        <f>"009939030244"</f>
        <v>009939030244</v>
      </c>
      <c r="F16" s="1">
        <v>43647</v>
      </c>
      <c r="G16">
        <v>202001</v>
      </c>
      <c r="H16" t="s">
        <v>65</v>
      </c>
      <c r="I16" t="s">
        <v>66</v>
      </c>
      <c r="J16" t="s">
        <v>67</v>
      </c>
      <c r="K16" t="s">
        <v>68</v>
      </c>
      <c r="L16" t="s">
        <v>152</v>
      </c>
      <c r="M16" t="s">
        <v>153</v>
      </c>
      <c r="N16" t="s">
        <v>154</v>
      </c>
      <c r="O16" t="s">
        <v>72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26.56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9.4</v>
      </c>
      <c r="BJ16">
        <v>17.8</v>
      </c>
      <c r="BK16">
        <v>18</v>
      </c>
      <c r="BL16" s="5">
        <v>144.88</v>
      </c>
      <c r="BM16" s="5">
        <v>21.73</v>
      </c>
      <c r="BN16" s="5">
        <v>166.61</v>
      </c>
      <c r="BO16" s="5">
        <v>166.61</v>
      </c>
      <c r="BQ16" t="s">
        <v>155</v>
      </c>
      <c r="BR16" t="s">
        <v>74</v>
      </c>
      <c r="BS16" s="1">
        <v>43648</v>
      </c>
      <c r="BT16" s="2">
        <v>0.56666666666666665</v>
      </c>
      <c r="BU16" t="s">
        <v>156</v>
      </c>
      <c r="BV16" t="s">
        <v>86</v>
      </c>
      <c r="BY16">
        <v>89192.33</v>
      </c>
      <c r="CA16" t="s">
        <v>157</v>
      </c>
      <c r="CC16" t="s">
        <v>153</v>
      </c>
      <c r="CD16">
        <v>850</v>
      </c>
      <c r="CE16" t="s">
        <v>78</v>
      </c>
      <c r="CF16" s="1">
        <v>43651</v>
      </c>
      <c r="CI16">
        <v>1</v>
      </c>
      <c r="CJ16">
        <v>1</v>
      </c>
      <c r="CK16" t="s">
        <v>88</v>
      </c>
      <c r="CL16" t="s">
        <v>76</v>
      </c>
    </row>
    <row r="17" spans="1:90">
      <c r="A17" t="s">
        <v>62</v>
      </c>
      <c r="B17" t="s">
        <v>63</v>
      </c>
      <c r="C17" t="s">
        <v>64</v>
      </c>
      <c r="E17" t="str">
        <f>"009937720434"</f>
        <v>009937720434</v>
      </c>
      <c r="F17" s="1">
        <v>43647</v>
      </c>
      <c r="G17">
        <v>202001</v>
      </c>
      <c r="H17" t="s">
        <v>65</v>
      </c>
      <c r="I17" t="s">
        <v>66</v>
      </c>
      <c r="J17" t="s">
        <v>67</v>
      </c>
      <c r="K17" t="s">
        <v>68</v>
      </c>
      <c r="L17" t="s">
        <v>96</v>
      </c>
      <c r="M17" t="s">
        <v>97</v>
      </c>
      <c r="N17" t="s">
        <v>67</v>
      </c>
      <c r="O17" t="s">
        <v>72</v>
      </c>
      <c r="P17" t="str">
        <f>"...                           "</f>
        <v xml:space="preserve">...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188.54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3</v>
      </c>
      <c r="BI17">
        <v>170</v>
      </c>
      <c r="BJ17">
        <v>334.4</v>
      </c>
      <c r="BK17">
        <v>335</v>
      </c>
      <c r="BL17" s="5">
        <v>997.89</v>
      </c>
      <c r="BM17" s="5">
        <v>149.68</v>
      </c>
      <c r="BN17" s="5">
        <v>1147.57</v>
      </c>
      <c r="BO17" s="5">
        <v>1147.57</v>
      </c>
      <c r="BQ17" t="s">
        <v>73</v>
      </c>
      <c r="BR17" t="s">
        <v>158</v>
      </c>
      <c r="BS17" s="1">
        <v>43649</v>
      </c>
      <c r="BT17" s="2">
        <v>0.35416666666666669</v>
      </c>
      <c r="BU17" t="s">
        <v>159</v>
      </c>
      <c r="BV17" t="s">
        <v>76</v>
      </c>
      <c r="BY17">
        <v>1340106</v>
      </c>
      <c r="CA17" t="s">
        <v>160</v>
      </c>
      <c r="CC17" t="s">
        <v>97</v>
      </c>
      <c r="CD17">
        <v>699</v>
      </c>
      <c r="CE17" t="s">
        <v>78</v>
      </c>
      <c r="CF17" s="1">
        <v>43651</v>
      </c>
      <c r="CI17">
        <v>1</v>
      </c>
      <c r="CJ17">
        <v>2</v>
      </c>
      <c r="CK17" t="s">
        <v>79</v>
      </c>
      <c r="CL17" t="s">
        <v>76</v>
      </c>
    </row>
    <row r="18" spans="1:90">
      <c r="A18" t="s">
        <v>62</v>
      </c>
      <c r="B18" t="s">
        <v>63</v>
      </c>
      <c r="C18" t="s">
        <v>64</v>
      </c>
      <c r="E18" t="str">
        <f>"009937720435"</f>
        <v>009937720435</v>
      </c>
      <c r="F18" s="1">
        <v>43647</v>
      </c>
      <c r="G18">
        <v>202001</v>
      </c>
      <c r="H18" t="s">
        <v>65</v>
      </c>
      <c r="I18" t="s">
        <v>66</v>
      </c>
      <c r="J18" t="s">
        <v>67</v>
      </c>
      <c r="K18" t="s">
        <v>68</v>
      </c>
      <c r="L18" t="s">
        <v>96</v>
      </c>
      <c r="M18" t="s">
        <v>97</v>
      </c>
      <c r="N18" t="s">
        <v>67</v>
      </c>
      <c r="O18" t="s">
        <v>72</v>
      </c>
      <c r="P18" t="str">
        <f>"...                           "</f>
        <v xml:space="preserve">...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13.02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0.5</v>
      </c>
      <c r="BK18">
        <v>1</v>
      </c>
      <c r="BL18" s="5">
        <v>73.569999999999993</v>
      </c>
      <c r="BM18" s="5">
        <v>11.04</v>
      </c>
      <c r="BN18" s="5">
        <v>84.61</v>
      </c>
      <c r="BO18" s="5">
        <v>84.61</v>
      </c>
      <c r="BQ18" t="s">
        <v>73</v>
      </c>
      <c r="BR18" t="s">
        <v>144</v>
      </c>
      <c r="BS18" s="1">
        <v>43648</v>
      </c>
      <c r="BT18" s="2">
        <v>0.44444444444444442</v>
      </c>
      <c r="BU18" t="s">
        <v>161</v>
      </c>
      <c r="BV18" t="s">
        <v>86</v>
      </c>
      <c r="BY18">
        <v>2453.7600000000002</v>
      </c>
      <c r="CA18" t="s">
        <v>162</v>
      </c>
      <c r="CC18" t="s">
        <v>97</v>
      </c>
      <c r="CD18">
        <v>699</v>
      </c>
      <c r="CE18" t="s">
        <v>78</v>
      </c>
      <c r="CF18" s="1">
        <v>43651</v>
      </c>
      <c r="CI18">
        <v>1</v>
      </c>
      <c r="CJ18">
        <v>1</v>
      </c>
      <c r="CK18" t="s">
        <v>79</v>
      </c>
      <c r="CL18" t="s">
        <v>76</v>
      </c>
    </row>
    <row r="19" spans="1:90">
      <c r="A19" t="s">
        <v>62</v>
      </c>
      <c r="B19" t="s">
        <v>63</v>
      </c>
      <c r="C19" t="s">
        <v>64</v>
      </c>
      <c r="E19" t="str">
        <f>"009939030247"</f>
        <v>009939030247</v>
      </c>
      <c r="F19" s="1">
        <v>43647</v>
      </c>
      <c r="G19">
        <v>202001</v>
      </c>
      <c r="H19" t="s">
        <v>65</v>
      </c>
      <c r="I19" t="s">
        <v>66</v>
      </c>
      <c r="J19" t="s">
        <v>67</v>
      </c>
      <c r="K19" t="s">
        <v>68</v>
      </c>
      <c r="L19" t="s">
        <v>69</v>
      </c>
      <c r="M19" t="s">
        <v>70</v>
      </c>
      <c r="N19" t="s">
        <v>163</v>
      </c>
      <c r="O19" t="s">
        <v>72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17.96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10.199999999999999</v>
      </c>
      <c r="BJ19">
        <v>23.3</v>
      </c>
      <c r="BK19">
        <v>24</v>
      </c>
      <c r="BL19" s="5">
        <v>99.57</v>
      </c>
      <c r="BM19" s="5">
        <v>14.94</v>
      </c>
      <c r="BN19" s="5">
        <v>114.51</v>
      </c>
      <c r="BO19" s="5">
        <v>114.51</v>
      </c>
      <c r="BQ19" t="s">
        <v>164</v>
      </c>
      <c r="BR19" t="s">
        <v>74</v>
      </c>
      <c r="BS19" s="1">
        <v>43649</v>
      </c>
      <c r="BT19" s="2">
        <v>0.41666666666666669</v>
      </c>
      <c r="BU19" t="s">
        <v>165</v>
      </c>
      <c r="BV19" t="s">
        <v>76</v>
      </c>
      <c r="BY19">
        <v>116464.85</v>
      </c>
      <c r="CA19" t="s">
        <v>166</v>
      </c>
      <c r="CC19" t="s">
        <v>70</v>
      </c>
      <c r="CD19">
        <v>1200</v>
      </c>
      <c r="CE19" t="s">
        <v>78</v>
      </c>
      <c r="CF19" s="1">
        <v>43649</v>
      </c>
      <c r="CI19">
        <v>1</v>
      </c>
      <c r="CJ19">
        <v>2</v>
      </c>
      <c r="CK19" t="s">
        <v>79</v>
      </c>
      <c r="CL19" t="s">
        <v>76</v>
      </c>
    </row>
    <row r="20" spans="1:90">
      <c r="A20" t="s">
        <v>62</v>
      </c>
      <c r="B20" t="s">
        <v>63</v>
      </c>
      <c r="C20" t="s">
        <v>64</v>
      </c>
      <c r="E20" t="str">
        <f>"009937287954"</f>
        <v>009937287954</v>
      </c>
      <c r="F20" s="1">
        <v>43647</v>
      </c>
      <c r="G20">
        <v>202001</v>
      </c>
      <c r="H20" t="s">
        <v>65</v>
      </c>
      <c r="I20" t="s">
        <v>66</v>
      </c>
      <c r="J20" t="s">
        <v>67</v>
      </c>
      <c r="K20" t="s">
        <v>68</v>
      </c>
      <c r="L20" t="s">
        <v>80</v>
      </c>
      <c r="M20" t="s">
        <v>81</v>
      </c>
      <c r="N20" t="s">
        <v>67</v>
      </c>
      <c r="O20" t="s">
        <v>72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107.78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3</v>
      </c>
      <c r="BI20">
        <v>40.9</v>
      </c>
      <c r="BJ20">
        <v>78.099999999999994</v>
      </c>
      <c r="BK20">
        <v>79</v>
      </c>
      <c r="BL20" s="5">
        <v>572.58000000000004</v>
      </c>
      <c r="BM20" s="5">
        <v>85.89</v>
      </c>
      <c r="BN20" s="5">
        <v>658.47</v>
      </c>
      <c r="BO20" s="5">
        <v>658.47</v>
      </c>
      <c r="BQ20" t="s">
        <v>83</v>
      </c>
      <c r="BR20" t="s">
        <v>84</v>
      </c>
      <c r="BS20" s="1">
        <v>43648</v>
      </c>
      <c r="BT20" s="2">
        <v>0.46111111111111108</v>
      </c>
      <c r="BU20" t="s">
        <v>167</v>
      </c>
      <c r="BV20" t="s">
        <v>86</v>
      </c>
      <c r="BY20">
        <v>390598.07</v>
      </c>
      <c r="CC20" t="s">
        <v>81</v>
      </c>
      <c r="CD20">
        <v>8600</v>
      </c>
      <c r="CE20" t="s">
        <v>78</v>
      </c>
      <c r="CF20" s="1">
        <v>43651</v>
      </c>
      <c r="CI20">
        <v>1</v>
      </c>
      <c r="CJ20">
        <v>1</v>
      </c>
      <c r="CK20" t="s">
        <v>88</v>
      </c>
      <c r="CL20" t="s">
        <v>76</v>
      </c>
    </row>
    <row r="21" spans="1:90">
      <c r="A21" t="s">
        <v>62</v>
      </c>
      <c r="B21" t="s">
        <v>63</v>
      </c>
      <c r="C21" t="s">
        <v>64</v>
      </c>
      <c r="E21" t="str">
        <f>"009935996429"</f>
        <v>009935996429</v>
      </c>
      <c r="F21" s="1">
        <v>43647</v>
      </c>
      <c r="G21">
        <v>202001</v>
      </c>
      <c r="H21" t="s">
        <v>65</v>
      </c>
      <c r="I21" t="s">
        <v>66</v>
      </c>
      <c r="J21" t="s">
        <v>67</v>
      </c>
      <c r="K21" t="s">
        <v>68</v>
      </c>
      <c r="L21" t="s">
        <v>108</v>
      </c>
      <c r="M21" t="s">
        <v>109</v>
      </c>
      <c r="N21" t="s">
        <v>168</v>
      </c>
      <c r="O21" t="s">
        <v>72</v>
      </c>
      <c r="P21" t="str">
        <f>"...                           "</f>
        <v xml:space="preserve">...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18.95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3</v>
      </c>
      <c r="BK21">
        <v>3</v>
      </c>
      <c r="BL21" s="5">
        <v>104.81</v>
      </c>
      <c r="BM21" s="5">
        <v>15.72</v>
      </c>
      <c r="BN21" s="5">
        <v>120.53</v>
      </c>
      <c r="BO21" s="5">
        <v>120.53</v>
      </c>
      <c r="BQ21" t="s">
        <v>169</v>
      </c>
      <c r="BR21" t="s">
        <v>144</v>
      </c>
      <c r="BS21" s="1">
        <v>43649</v>
      </c>
      <c r="BT21" s="2">
        <v>0.51388888888888895</v>
      </c>
      <c r="BU21" t="s">
        <v>170</v>
      </c>
      <c r="BV21" t="s">
        <v>86</v>
      </c>
      <c r="BY21">
        <v>15035</v>
      </c>
      <c r="CA21" t="s">
        <v>171</v>
      </c>
      <c r="CC21" t="s">
        <v>109</v>
      </c>
      <c r="CD21">
        <v>6055</v>
      </c>
      <c r="CE21" t="s">
        <v>78</v>
      </c>
      <c r="CF21" s="1">
        <v>43649</v>
      </c>
      <c r="CI21">
        <v>2</v>
      </c>
      <c r="CJ21">
        <v>2</v>
      </c>
      <c r="CK21" t="s">
        <v>115</v>
      </c>
      <c r="CL21" t="s">
        <v>76</v>
      </c>
    </row>
    <row r="22" spans="1:90">
      <c r="A22" t="s">
        <v>62</v>
      </c>
      <c r="B22" t="s">
        <v>63</v>
      </c>
      <c r="C22" t="s">
        <v>64</v>
      </c>
      <c r="E22" t="str">
        <f>"009938675132"</f>
        <v>009938675132</v>
      </c>
      <c r="F22" s="1">
        <v>43647</v>
      </c>
      <c r="G22">
        <v>202001</v>
      </c>
      <c r="H22" t="s">
        <v>122</v>
      </c>
      <c r="I22" t="s">
        <v>123</v>
      </c>
      <c r="J22" t="s">
        <v>172</v>
      </c>
      <c r="K22" t="s">
        <v>68</v>
      </c>
      <c r="L22" t="s">
        <v>65</v>
      </c>
      <c r="M22" t="s">
        <v>66</v>
      </c>
      <c r="N22" t="s">
        <v>82</v>
      </c>
      <c r="O22" t="s">
        <v>72</v>
      </c>
      <c r="P22" t="str">
        <f>"PARTS                         "</f>
        <v xml:space="preserve">PARTS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74.98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4</v>
      </c>
      <c r="BI22">
        <v>109.7</v>
      </c>
      <c r="BJ22">
        <v>134.80000000000001</v>
      </c>
      <c r="BK22">
        <v>135</v>
      </c>
      <c r="BL22" s="5">
        <v>399.87</v>
      </c>
      <c r="BM22" s="5">
        <v>59.98</v>
      </c>
      <c r="BN22" s="5">
        <v>459.85</v>
      </c>
      <c r="BO22" s="5">
        <v>459.85</v>
      </c>
      <c r="BQ22" t="s">
        <v>173</v>
      </c>
      <c r="BR22" t="s">
        <v>174</v>
      </c>
      <c r="BS22" s="1">
        <v>43648</v>
      </c>
      <c r="BT22" s="2">
        <v>0.44444444444444442</v>
      </c>
      <c r="BU22" t="s">
        <v>175</v>
      </c>
      <c r="BV22" t="s">
        <v>86</v>
      </c>
      <c r="BY22">
        <v>674101.52</v>
      </c>
      <c r="CC22" t="s">
        <v>66</v>
      </c>
      <c r="CD22">
        <v>2146</v>
      </c>
      <c r="CE22" t="s">
        <v>176</v>
      </c>
      <c r="CF22" s="1">
        <v>43649</v>
      </c>
      <c r="CI22">
        <v>1</v>
      </c>
      <c r="CJ22">
        <v>1</v>
      </c>
      <c r="CK22" t="s">
        <v>177</v>
      </c>
      <c r="CL22" t="s">
        <v>76</v>
      </c>
    </row>
    <row r="23" spans="1:90">
      <c r="A23" t="s">
        <v>62</v>
      </c>
      <c r="B23" t="s">
        <v>63</v>
      </c>
      <c r="C23" t="s">
        <v>64</v>
      </c>
      <c r="E23" t="str">
        <f>"009939030248"</f>
        <v>009939030248</v>
      </c>
      <c r="F23" s="1">
        <v>43647</v>
      </c>
      <c r="G23">
        <v>202001</v>
      </c>
      <c r="H23" t="s">
        <v>65</v>
      </c>
      <c r="I23" t="s">
        <v>66</v>
      </c>
      <c r="J23" t="s">
        <v>67</v>
      </c>
      <c r="K23" t="s">
        <v>68</v>
      </c>
      <c r="L23" t="s">
        <v>141</v>
      </c>
      <c r="M23" t="s">
        <v>99</v>
      </c>
      <c r="N23" t="s">
        <v>142</v>
      </c>
      <c r="O23" t="s">
        <v>72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82.48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44.3</v>
      </c>
      <c r="BJ23">
        <v>59.3</v>
      </c>
      <c r="BK23">
        <v>60</v>
      </c>
      <c r="BL23" s="5">
        <v>439.36</v>
      </c>
      <c r="BM23" s="5">
        <v>65.900000000000006</v>
      </c>
      <c r="BN23" s="5">
        <v>505.26</v>
      </c>
      <c r="BO23" s="5">
        <v>505.26</v>
      </c>
      <c r="BQ23" t="s">
        <v>178</v>
      </c>
      <c r="BR23" t="s">
        <v>74</v>
      </c>
      <c r="BS23" s="1">
        <v>43649</v>
      </c>
      <c r="BT23" s="2">
        <v>0.74652777777777779</v>
      </c>
      <c r="BU23" t="s">
        <v>179</v>
      </c>
      <c r="BV23" t="s">
        <v>86</v>
      </c>
      <c r="BY23">
        <v>296435.84000000003</v>
      </c>
      <c r="CC23" t="s">
        <v>99</v>
      </c>
      <c r="CD23">
        <v>6529</v>
      </c>
      <c r="CE23" t="s">
        <v>78</v>
      </c>
      <c r="CF23" s="1">
        <v>43654</v>
      </c>
      <c r="CI23">
        <v>0</v>
      </c>
      <c r="CJ23">
        <v>0</v>
      </c>
      <c r="CK23" t="s">
        <v>146</v>
      </c>
      <c r="CL23" t="s">
        <v>76</v>
      </c>
    </row>
    <row r="24" spans="1:90">
      <c r="A24" t="s">
        <v>180</v>
      </c>
      <c r="B24" t="s">
        <v>63</v>
      </c>
      <c r="C24" t="s">
        <v>64</v>
      </c>
      <c r="E24" t="str">
        <f>"089900983486"</f>
        <v>089900983486</v>
      </c>
      <c r="F24" s="1">
        <v>43647</v>
      </c>
      <c r="G24">
        <v>202001</v>
      </c>
      <c r="H24" t="s">
        <v>181</v>
      </c>
      <c r="I24" t="s">
        <v>182</v>
      </c>
      <c r="J24" t="s">
        <v>67</v>
      </c>
      <c r="K24" t="s">
        <v>68</v>
      </c>
      <c r="L24" t="s">
        <v>65</v>
      </c>
      <c r="M24" t="s">
        <v>66</v>
      </c>
      <c r="N24" t="s">
        <v>67</v>
      </c>
      <c r="O24" t="s">
        <v>72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17.36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 s="5">
        <v>96.42</v>
      </c>
      <c r="BM24" s="5">
        <v>14.46</v>
      </c>
      <c r="BN24" s="5">
        <v>110.88</v>
      </c>
      <c r="BO24" s="5">
        <v>110.88</v>
      </c>
      <c r="BQ24" t="s">
        <v>183</v>
      </c>
      <c r="BR24" t="s">
        <v>184</v>
      </c>
      <c r="BS24" s="1">
        <v>43648</v>
      </c>
      <c r="BT24" s="2">
        <v>0.40833333333333338</v>
      </c>
      <c r="BU24" t="s">
        <v>93</v>
      </c>
      <c r="BV24" t="s">
        <v>86</v>
      </c>
      <c r="BY24">
        <v>1200</v>
      </c>
      <c r="CA24" t="s">
        <v>94</v>
      </c>
      <c r="CC24" t="s">
        <v>66</v>
      </c>
      <c r="CD24">
        <v>2146</v>
      </c>
      <c r="CE24" t="s">
        <v>78</v>
      </c>
      <c r="CF24" s="1">
        <v>43649</v>
      </c>
      <c r="CI24">
        <v>1</v>
      </c>
      <c r="CJ24">
        <v>1</v>
      </c>
      <c r="CK24" t="s">
        <v>95</v>
      </c>
      <c r="CL24" t="s">
        <v>76</v>
      </c>
    </row>
    <row r="25" spans="1:90">
      <c r="A25" t="s">
        <v>62</v>
      </c>
      <c r="B25" t="s">
        <v>63</v>
      </c>
      <c r="C25" t="s">
        <v>64</v>
      </c>
      <c r="E25" t="str">
        <f>"029908431929"</f>
        <v>029908431929</v>
      </c>
      <c r="F25" s="1">
        <v>43656</v>
      </c>
      <c r="G25">
        <v>202001</v>
      </c>
      <c r="H25" t="s">
        <v>116</v>
      </c>
      <c r="I25" t="s">
        <v>117</v>
      </c>
      <c r="J25" t="s">
        <v>118</v>
      </c>
      <c r="K25" t="s">
        <v>68</v>
      </c>
      <c r="L25" t="s">
        <v>65</v>
      </c>
      <c r="M25" t="s">
        <v>66</v>
      </c>
      <c r="N25" t="s">
        <v>119</v>
      </c>
      <c r="O25" t="s">
        <v>120</v>
      </c>
      <c r="P25" t="str">
        <f>"JNB1907090045                 "</f>
        <v xml:space="preserve">JNB1907090045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8.2799999999999994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0.2</v>
      </c>
      <c r="BK25">
        <v>0.5</v>
      </c>
      <c r="BL25" s="5">
        <v>47.78</v>
      </c>
      <c r="BM25" s="5">
        <v>7.17</v>
      </c>
      <c r="BN25" s="5">
        <v>54.95</v>
      </c>
      <c r="BO25" s="5">
        <v>54.95</v>
      </c>
      <c r="BQ25" t="s">
        <v>91</v>
      </c>
      <c r="BR25" t="s">
        <v>121</v>
      </c>
      <c r="BS25" s="1">
        <v>43657</v>
      </c>
      <c r="BT25" s="2">
        <v>0.36388888888888887</v>
      </c>
      <c r="BU25" t="s">
        <v>93</v>
      </c>
      <c r="BV25" t="s">
        <v>86</v>
      </c>
      <c r="BY25">
        <v>1200</v>
      </c>
      <c r="BZ25" t="s">
        <v>23</v>
      </c>
      <c r="CC25" t="s">
        <v>66</v>
      </c>
      <c r="CD25">
        <v>2146</v>
      </c>
      <c r="CE25" t="s">
        <v>78</v>
      </c>
      <c r="CF25" s="1">
        <v>43658</v>
      </c>
      <c r="CI25">
        <v>1</v>
      </c>
      <c r="CJ25">
        <v>1</v>
      </c>
      <c r="CK25">
        <v>21</v>
      </c>
      <c r="CL25" t="s">
        <v>76</v>
      </c>
    </row>
    <row r="26" spans="1:90">
      <c r="A26" t="s">
        <v>62</v>
      </c>
      <c r="B26" t="s">
        <v>63</v>
      </c>
      <c r="C26" t="s">
        <v>64</v>
      </c>
      <c r="E26" t="str">
        <f>"009938515197"</f>
        <v>009938515197</v>
      </c>
      <c r="F26" s="1">
        <v>43648</v>
      </c>
      <c r="G26">
        <v>202001</v>
      </c>
      <c r="H26" t="s">
        <v>65</v>
      </c>
      <c r="I26" t="s">
        <v>66</v>
      </c>
      <c r="J26" t="s">
        <v>67</v>
      </c>
      <c r="K26" t="s">
        <v>68</v>
      </c>
      <c r="L26" t="s">
        <v>116</v>
      </c>
      <c r="M26" t="s">
        <v>117</v>
      </c>
      <c r="N26" t="s">
        <v>67</v>
      </c>
      <c r="O26" t="s">
        <v>120</v>
      </c>
      <c r="P26" t="str">
        <f>"EFTPOS                        "</f>
        <v xml:space="preserve">EFTPOS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76.349999999999994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13.9</v>
      </c>
      <c r="BJ26">
        <v>16.100000000000001</v>
      </c>
      <c r="BK26">
        <v>16.5</v>
      </c>
      <c r="BL26" s="5">
        <v>402.08</v>
      </c>
      <c r="BM26" s="5">
        <v>60.31</v>
      </c>
      <c r="BN26" s="5">
        <v>462.39</v>
      </c>
      <c r="BO26" s="5">
        <v>462.39</v>
      </c>
      <c r="BQ26" t="s">
        <v>185</v>
      </c>
      <c r="BR26" t="s">
        <v>186</v>
      </c>
      <c r="BS26" s="1">
        <v>43649</v>
      </c>
      <c r="BT26" s="2">
        <v>0.35069444444444442</v>
      </c>
      <c r="BU26" t="s">
        <v>187</v>
      </c>
      <c r="BV26" t="s">
        <v>86</v>
      </c>
      <c r="BY26">
        <v>80362.039999999994</v>
      </c>
      <c r="BZ26" t="s">
        <v>23</v>
      </c>
      <c r="CA26" t="s">
        <v>188</v>
      </c>
      <c r="CC26" t="s">
        <v>117</v>
      </c>
      <c r="CD26">
        <v>4091</v>
      </c>
      <c r="CE26" t="s">
        <v>78</v>
      </c>
      <c r="CF26" s="1">
        <v>43650</v>
      </c>
      <c r="CI26">
        <v>1</v>
      </c>
      <c r="CJ26">
        <v>1</v>
      </c>
      <c r="CK26">
        <v>21</v>
      </c>
      <c r="CL26" t="s">
        <v>76</v>
      </c>
    </row>
    <row r="27" spans="1:90">
      <c r="A27" t="s">
        <v>62</v>
      </c>
      <c r="B27" t="s">
        <v>63</v>
      </c>
      <c r="C27" t="s">
        <v>64</v>
      </c>
      <c r="E27" t="str">
        <f>"009939030277"</f>
        <v>009939030277</v>
      </c>
      <c r="F27" s="1">
        <v>43656</v>
      </c>
      <c r="G27">
        <v>202001</v>
      </c>
      <c r="H27" t="s">
        <v>65</v>
      </c>
      <c r="I27" t="s">
        <v>66</v>
      </c>
      <c r="J27" t="s">
        <v>67</v>
      </c>
      <c r="K27" t="s">
        <v>68</v>
      </c>
      <c r="L27" t="s">
        <v>189</v>
      </c>
      <c r="M27" t="s">
        <v>190</v>
      </c>
      <c r="N27" t="s">
        <v>191</v>
      </c>
      <c r="O27" t="s">
        <v>120</v>
      </c>
      <c r="P27" t="str">
        <f>"LCK                           "</f>
        <v xml:space="preserve">LCK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16.04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1.5</v>
      </c>
      <c r="BK27">
        <v>1.5</v>
      </c>
      <c r="BL27" s="5">
        <v>92.57</v>
      </c>
      <c r="BM27" s="5">
        <v>13.89</v>
      </c>
      <c r="BN27" s="5">
        <v>106.46</v>
      </c>
      <c r="BO27" s="5">
        <v>106.46</v>
      </c>
      <c r="BQ27" t="s">
        <v>192</v>
      </c>
      <c r="BR27" t="s">
        <v>193</v>
      </c>
      <c r="BS27" s="1">
        <v>43657</v>
      </c>
      <c r="BT27" s="2">
        <v>0.4375</v>
      </c>
      <c r="BU27" t="s">
        <v>194</v>
      </c>
      <c r="BV27" t="s">
        <v>86</v>
      </c>
      <c r="BY27">
        <v>7631.25</v>
      </c>
      <c r="BZ27" t="s">
        <v>23</v>
      </c>
      <c r="CA27" t="s">
        <v>195</v>
      </c>
      <c r="CC27" t="s">
        <v>190</v>
      </c>
      <c r="CD27">
        <v>920</v>
      </c>
      <c r="CE27" t="s">
        <v>78</v>
      </c>
      <c r="CF27" s="1">
        <v>43661</v>
      </c>
      <c r="CI27">
        <v>1</v>
      </c>
      <c r="CJ27">
        <v>1</v>
      </c>
      <c r="CK27">
        <v>23</v>
      </c>
      <c r="CL27" t="s">
        <v>76</v>
      </c>
    </row>
    <row r="28" spans="1:90">
      <c r="A28" t="s">
        <v>62</v>
      </c>
      <c r="B28" t="s">
        <v>63</v>
      </c>
      <c r="C28" t="s">
        <v>64</v>
      </c>
      <c r="E28" t="str">
        <f>"009935987739"</f>
        <v>009935987739</v>
      </c>
      <c r="F28" s="1">
        <v>43648</v>
      </c>
      <c r="G28">
        <v>202001</v>
      </c>
      <c r="H28" t="s">
        <v>65</v>
      </c>
      <c r="I28" t="s">
        <v>66</v>
      </c>
      <c r="J28" t="s">
        <v>67</v>
      </c>
      <c r="K28" t="s">
        <v>68</v>
      </c>
      <c r="L28" t="s">
        <v>137</v>
      </c>
      <c r="M28" t="s">
        <v>138</v>
      </c>
      <c r="N28" t="s">
        <v>196</v>
      </c>
      <c r="O28" t="s">
        <v>120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9.26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0.2</v>
      </c>
      <c r="BK28">
        <v>0.5</v>
      </c>
      <c r="BL28" s="5">
        <v>48.76</v>
      </c>
      <c r="BM28" s="5">
        <v>7.31</v>
      </c>
      <c r="BN28" s="5">
        <v>56.07</v>
      </c>
      <c r="BO28" s="5">
        <v>56.07</v>
      </c>
      <c r="BQ28" t="s">
        <v>197</v>
      </c>
      <c r="BR28" t="s">
        <v>144</v>
      </c>
      <c r="BS28" s="1">
        <v>43649</v>
      </c>
      <c r="BT28" s="2">
        <v>0.41666666666666669</v>
      </c>
      <c r="BU28" t="s">
        <v>198</v>
      </c>
      <c r="BV28" t="s">
        <v>86</v>
      </c>
      <c r="BY28">
        <v>1200</v>
      </c>
      <c r="BZ28" t="s">
        <v>23</v>
      </c>
      <c r="CC28" t="s">
        <v>138</v>
      </c>
      <c r="CD28">
        <v>7700</v>
      </c>
      <c r="CE28" t="s">
        <v>78</v>
      </c>
      <c r="CF28" s="1">
        <v>43650</v>
      </c>
      <c r="CI28">
        <v>1</v>
      </c>
      <c r="CJ28">
        <v>1</v>
      </c>
      <c r="CK28">
        <v>21</v>
      </c>
      <c r="CL28" t="s">
        <v>76</v>
      </c>
    </row>
    <row r="29" spans="1:90">
      <c r="A29" t="s">
        <v>62</v>
      </c>
      <c r="B29" t="s">
        <v>63</v>
      </c>
      <c r="C29" t="s">
        <v>64</v>
      </c>
      <c r="E29" t="str">
        <f>"009936458908"</f>
        <v>009936458908</v>
      </c>
      <c r="F29" s="1">
        <v>43656</v>
      </c>
      <c r="G29">
        <v>202001</v>
      </c>
      <c r="H29" t="s">
        <v>65</v>
      </c>
      <c r="I29" t="s">
        <v>66</v>
      </c>
      <c r="J29" t="s">
        <v>67</v>
      </c>
      <c r="K29" t="s">
        <v>68</v>
      </c>
      <c r="L29" t="s">
        <v>96</v>
      </c>
      <c r="M29" t="s">
        <v>97</v>
      </c>
      <c r="N29" t="s">
        <v>67</v>
      </c>
      <c r="O29" t="s">
        <v>120</v>
      </c>
      <c r="P29" t="str">
        <f>"LCK                           "</f>
        <v xml:space="preserve">LCK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8.2799999999999994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0.7</v>
      </c>
      <c r="BK29">
        <v>1</v>
      </c>
      <c r="BL29" s="5">
        <v>47.78</v>
      </c>
      <c r="BM29" s="5">
        <v>7.17</v>
      </c>
      <c r="BN29" s="5">
        <v>54.95</v>
      </c>
      <c r="BO29" s="5">
        <v>54.95</v>
      </c>
      <c r="BQ29" t="s">
        <v>199</v>
      </c>
      <c r="BR29" t="s">
        <v>144</v>
      </c>
      <c r="BS29" s="1">
        <v>43657</v>
      </c>
      <c r="BT29" s="2">
        <v>0.43541666666666662</v>
      </c>
      <c r="BU29" t="s">
        <v>200</v>
      </c>
      <c r="BV29" t="s">
        <v>86</v>
      </c>
      <c r="BY29">
        <v>3273.48</v>
      </c>
      <c r="BZ29" t="s">
        <v>23</v>
      </c>
      <c r="CA29" t="s">
        <v>162</v>
      </c>
      <c r="CC29" t="s">
        <v>97</v>
      </c>
      <c r="CD29">
        <v>699</v>
      </c>
      <c r="CE29" t="s">
        <v>78</v>
      </c>
      <c r="CF29" s="1">
        <v>43661</v>
      </c>
      <c r="CI29">
        <v>1</v>
      </c>
      <c r="CJ29">
        <v>1</v>
      </c>
      <c r="CK29">
        <v>21</v>
      </c>
      <c r="CL29" t="s">
        <v>76</v>
      </c>
    </row>
    <row r="30" spans="1:90">
      <c r="A30" t="s">
        <v>62</v>
      </c>
      <c r="B30" t="s">
        <v>63</v>
      </c>
      <c r="C30" t="s">
        <v>64</v>
      </c>
      <c r="E30" t="str">
        <f>"029908431076"</f>
        <v>029908431076</v>
      </c>
      <c r="F30" s="1">
        <v>43648</v>
      </c>
      <c r="G30">
        <v>202001</v>
      </c>
      <c r="H30" t="s">
        <v>116</v>
      </c>
      <c r="I30" t="s">
        <v>117</v>
      </c>
      <c r="J30" t="s">
        <v>118</v>
      </c>
      <c r="K30" t="s">
        <v>68</v>
      </c>
      <c r="L30" t="s">
        <v>65</v>
      </c>
      <c r="M30" t="s">
        <v>66</v>
      </c>
      <c r="N30" t="s">
        <v>67</v>
      </c>
      <c r="O30" t="s">
        <v>120</v>
      </c>
      <c r="P30" t="str">
        <f>"190 701 0384                  "</f>
        <v xml:space="preserve">190 701 0384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23.14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4.8</v>
      </c>
      <c r="BJ30">
        <v>3.8</v>
      </c>
      <c r="BK30">
        <v>5</v>
      </c>
      <c r="BL30" s="5">
        <v>121.86</v>
      </c>
      <c r="BM30" s="5">
        <v>18.28</v>
      </c>
      <c r="BN30" s="5">
        <v>140.13999999999999</v>
      </c>
      <c r="BO30" s="5">
        <v>140.13999999999999</v>
      </c>
      <c r="BQ30" t="s">
        <v>201</v>
      </c>
      <c r="BR30" t="s">
        <v>202</v>
      </c>
      <c r="BS30" s="1">
        <v>43649</v>
      </c>
      <c r="BT30" s="2">
        <v>0.41736111111111113</v>
      </c>
      <c r="BU30" t="s">
        <v>93</v>
      </c>
      <c r="BV30" t="s">
        <v>86</v>
      </c>
      <c r="BY30">
        <v>19110</v>
      </c>
      <c r="BZ30" t="s">
        <v>23</v>
      </c>
      <c r="CA30" t="s">
        <v>94</v>
      </c>
      <c r="CC30" t="s">
        <v>66</v>
      </c>
      <c r="CD30">
        <v>2146</v>
      </c>
      <c r="CE30" t="s">
        <v>78</v>
      </c>
      <c r="CF30" s="1">
        <v>43651</v>
      </c>
      <c r="CI30">
        <v>1</v>
      </c>
      <c r="CJ30">
        <v>1</v>
      </c>
      <c r="CK30">
        <v>21</v>
      </c>
      <c r="CL30" t="s">
        <v>76</v>
      </c>
    </row>
    <row r="31" spans="1:90">
      <c r="A31" t="s">
        <v>62</v>
      </c>
      <c r="B31" t="s">
        <v>63</v>
      </c>
      <c r="C31" t="s">
        <v>64</v>
      </c>
      <c r="E31" t="str">
        <f>"009937720438"</f>
        <v>009937720438</v>
      </c>
      <c r="F31" s="1">
        <v>43648</v>
      </c>
      <c r="G31">
        <v>202001</v>
      </c>
      <c r="H31" t="s">
        <v>65</v>
      </c>
      <c r="I31" t="s">
        <v>66</v>
      </c>
      <c r="J31" t="s">
        <v>67</v>
      </c>
      <c r="K31" t="s">
        <v>68</v>
      </c>
      <c r="L31" t="s">
        <v>96</v>
      </c>
      <c r="M31" t="s">
        <v>97</v>
      </c>
      <c r="N31" t="s">
        <v>67</v>
      </c>
      <c r="O31" t="s">
        <v>120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16.2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3.3</v>
      </c>
      <c r="BK31">
        <v>3.5</v>
      </c>
      <c r="BL31" s="5">
        <v>85.31</v>
      </c>
      <c r="BM31" s="5">
        <v>12.8</v>
      </c>
      <c r="BN31" s="5">
        <v>98.11</v>
      </c>
      <c r="BO31" s="5">
        <v>98.11</v>
      </c>
      <c r="BQ31" t="s">
        <v>203</v>
      </c>
      <c r="BR31" t="s">
        <v>84</v>
      </c>
      <c r="BS31" s="1">
        <v>43649</v>
      </c>
      <c r="BT31" s="2">
        <v>0.40763888888888888</v>
      </c>
      <c r="BU31" t="s">
        <v>204</v>
      </c>
      <c r="BV31" t="s">
        <v>86</v>
      </c>
      <c r="BY31">
        <v>16572.599999999999</v>
      </c>
      <c r="BZ31" t="s">
        <v>23</v>
      </c>
      <c r="CA31" t="s">
        <v>162</v>
      </c>
      <c r="CC31" t="s">
        <v>97</v>
      </c>
      <c r="CD31">
        <v>699</v>
      </c>
      <c r="CE31" t="s">
        <v>78</v>
      </c>
      <c r="CF31" s="1">
        <v>43649</v>
      </c>
      <c r="CI31">
        <v>1</v>
      </c>
      <c r="CJ31">
        <v>1</v>
      </c>
      <c r="CK31">
        <v>21</v>
      </c>
      <c r="CL31" t="s">
        <v>76</v>
      </c>
    </row>
    <row r="32" spans="1:90">
      <c r="A32" t="s">
        <v>62</v>
      </c>
      <c r="B32" t="s">
        <v>63</v>
      </c>
      <c r="C32" t="s">
        <v>64</v>
      </c>
      <c r="E32" t="str">
        <f>"009938908426"</f>
        <v>009938908426</v>
      </c>
      <c r="F32" s="1">
        <v>43656</v>
      </c>
      <c r="G32">
        <v>202001</v>
      </c>
      <c r="H32" t="s">
        <v>65</v>
      </c>
      <c r="I32" t="s">
        <v>66</v>
      </c>
      <c r="J32" t="s">
        <v>205</v>
      </c>
      <c r="K32" t="s">
        <v>68</v>
      </c>
      <c r="L32" t="s">
        <v>206</v>
      </c>
      <c r="M32" t="s">
        <v>207</v>
      </c>
      <c r="N32" t="s">
        <v>67</v>
      </c>
      <c r="O32" t="s">
        <v>120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14.48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2.2999999999999998</v>
      </c>
      <c r="BK32">
        <v>2.5</v>
      </c>
      <c r="BL32" s="5">
        <v>83.56</v>
      </c>
      <c r="BM32" s="5">
        <v>12.53</v>
      </c>
      <c r="BN32" s="5">
        <v>96.09</v>
      </c>
      <c r="BO32" s="5">
        <v>96.09</v>
      </c>
      <c r="BQ32" t="s">
        <v>208</v>
      </c>
      <c r="BR32" t="s">
        <v>209</v>
      </c>
      <c r="BS32" s="1">
        <v>43657</v>
      </c>
      <c r="BT32" s="2">
        <v>0.34166666666666662</v>
      </c>
      <c r="BU32" t="s">
        <v>210</v>
      </c>
      <c r="BV32" t="s">
        <v>86</v>
      </c>
      <c r="BY32">
        <v>11705.52</v>
      </c>
      <c r="BZ32" t="s">
        <v>23</v>
      </c>
      <c r="CA32" t="s">
        <v>211</v>
      </c>
      <c r="CC32" t="s">
        <v>207</v>
      </c>
      <c r="CD32">
        <v>450</v>
      </c>
      <c r="CE32" t="s">
        <v>78</v>
      </c>
      <c r="CF32" s="1">
        <v>43657</v>
      </c>
      <c r="CI32">
        <v>1</v>
      </c>
      <c r="CJ32">
        <v>1</v>
      </c>
      <c r="CK32">
        <v>24</v>
      </c>
      <c r="CL32" t="s">
        <v>76</v>
      </c>
    </row>
    <row r="33" spans="1:90">
      <c r="A33" t="s">
        <v>62</v>
      </c>
      <c r="B33" t="s">
        <v>63</v>
      </c>
      <c r="C33" t="s">
        <v>64</v>
      </c>
      <c r="E33" t="str">
        <f>"029908439178"</f>
        <v>029908439178</v>
      </c>
      <c r="F33" s="1">
        <v>43648</v>
      </c>
      <c r="G33">
        <v>202001</v>
      </c>
      <c r="H33" t="s">
        <v>116</v>
      </c>
      <c r="I33" t="s">
        <v>117</v>
      </c>
      <c r="J33" t="s">
        <v>118</v>
      </c>
      <c r="K33" t="s">
        <v>68</v>
      </c>
      <c r="L33" t="s">
        <v>103</v>
      </c>
      <c r="M33" t="s">
        <v>104</v>
      </c>
      <c r="N33" t="s">
        <v>212</v>
      </c>
      <c r="O33" t="s">
        <v>120</v>
      </c>
      <c r="P33" t="str">
        <f>"190 702 0054                  "</f>
        <v xml:space="preserve">190 702 0054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46.28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4.4000000000000004</v>
      </c>
      <c r="BJ33">
        <v>9.8000000000000007</v>
      </c>
      <c r="BK33">
        <v>10</v>
      </c>
      <c r="BL33" s="5">
        <v>243.7</v>
      </c>
      <c r="BM33" s="5">
        <v>36.56</v>
      </c>
      <c r="BN33" s="5">
        <v>280.26</v>
      </c>
      <c r="BO33" s="5">
        <v>280.26</v>
      </c>
      <c r="BQ33" t="s">
        <v>213</v>
      </c>
      <c r="BR33" t="s">
        <v>214</v>
      </c>
      <c r="BS33" s="1">
        <v>43649</v>
      </c>
      <c r="BT33" s="2">
        <v>0.35555555555555557</v>
      </c>
      <c r="BU33" t="s">
        <v>215</v>
      </c>
      <c r="BV33" t="s">
        <v>86</v>
      </c>
      <c r="BY33">
        <v>48960</v>
      </c>
      <c r="BZ33" t="s">
        <v>23</v>
      </c>
      <c r="CA33" t="s">
        <v>94</v>
      </c>
      <c r="CC33" t="s">
        <v>104</v>
      </c>
      <c r="CD33">
        <v>2000</v>
      </c>
      <c r="CE33" t="s">
        <v>78</v>
      </c>
      <c r="CF33" s="1">
        <v>43651</v>
      </c>
      <c r="CI33">
        <v>1</v>
      </c>
      <c r="CJ33">
        <v>1</v>
      </c>
      <c r="CK33">
        <v>21</v>
      </c>
      <c r="CL33" t="s">
        <v>76</v>
      </c>
    </row>
    <row r="34" spans="1:90">
      <c r="A34" t="s">
        <v>62</v>
      </c>
      <c r="B34" t="s">
        <v>63</v>
      </c>
      <c r="C34" t="s">
        <v>64</v>
      </c>
      <c r="E34" t="str">
        <f>"009935895307"</f>
        <v>009935895307</v>
      </c>
      <c r="F34" s="1">
        <v>43651</v>
      </c>
      <c r="G34">
        <v>202001</v>
      </c>
      <c r="H34" t="s">
        <v>65</v>
      </c>
      <c r="I34" t="s">
        <v>66</v>
      </c>
      <c r="J34" t="s">
        <v>67</v>
      </c>
      <c r="K34" t="s">
        <v>68</v>
      </c>
      <c r="L34" t="s">
        <v>216</v>
      </c>
      <c r="M34" t="s">
        <v>217</v>
      </c>
      <c r="N34" t="s">
        <v>218</v>
      </c>
      <c r="O34" t="s">
        <v>120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11.64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1.3</v>
      </c>
      <c r="BK34">
        <v>1.5</v>
      </c>
      <c r="BL34" s="5">
        <v>67.19</v>
      </c>
      <c r="BM34" s="5">
        <v>10.08</v>
      </c>
      <c r="BN34" s="5">
        <v>77.27</v>
      </c>
      <c r="BO34" s="5">
        <v>77.27</v>
      </c>
      <c r="BQ34" t="s">
        <v>219</v>
      </c>
      <c r="BR34" t="s">
        <v>144</v>
      </c>
      <c r="BS34" s="1">
        <v>43654</v>
      </c>
      <c r="BT34" s="2">
        <v>0.33819444444444446</v>
      </c>
      <c r="BU34" t="s">
        <v>220</v>
      </c>
      <c r="BV34" t="s">
        <v>86</v>
      </c>
      <c r="BY34">
        <v>6330.38</v>
      </c>
      <c r="BZ34" t="s">
        <v>23</v>
      </c>
      <c r="CA34" t="s">
        <v>221</v>
      </c>
      <c r="CC34" t="s">
        <v>217</v>
      </c>
      <c r="CD34">
        <v>1034</v>
      </c>
      <c r="CE34" t="s">
        <v>78</v>
      </c>
      <c r="CF34" s="1">
        <v>43654</v>
      </c>
      <c r="CI34">
        <v>1</v>
      </c>
      <c r="CJ34">
        <v>1</v>
      </c>
      <c r="CK34">
        <v>24</v>
      </c>
      <c r="CL34" t="s">
        <v>76</v>
      </c>
    </row>
    <row r="35" spans="1:90">
      <c r="A35" t="s">
        <v>62</v>
      </c>
      <c r="B35" t="s">
        <v>63</v>
      </c>
      <c r="C35" t="s">
        <v>64</v>
      </c>
      <c r="E35" t="str">
        <f>"049901334148"</f>
        <v>049901334148</v>
      </c>
      <c r="F35" s="1">
        <v>43654</v>
      </c>
      <c r="G35">
        <v>202001</v>
      </c>
      <c r="H35" t="s">
        <v>222</v>
      </c>
      <c r="I35" t="s">
        <v>223</v>
      </c>
      <c r="J35" t="s">
        <v>218</v>
      </c>
      <c r="K35" t="s">
        <v>68</v>
      </c>
      <c r="L35" t="s">
        <v>108</v>
      </c>
      <c r="M35" t="s">
        <v>109</v>
      </c>
      <c r="N35" t="s">
        <v>218</v>
      </c>
      <c r="O35" t="s">
        <v>120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8.2799999999999994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 s="5">
        <v>47.78</v>
      </c>
      <c r="BM35" s="5">
        <v>7.17</v>
      </c>
      <c r="BN35" s="5">
        <v>54.95</v>
      </c>
      <c r="BO35" s="5">
        <v>54.95</v>
      </c>
      <c r="BQ35" t="s">
        <v>164</v>
      </c>
      <c r="BR35" t="s">
        <v>224</v>
      </c>
      <c r="BS35" s="1">
        <v>43655</v>
      </c>
      <c r="BT35" s="2">
        <v>0.3347222222222222</v>
      </c>
      <c r="BU35" t="s">
        <v>225</v>
      </c>
      <c r="BV35" t="s">
        <v>86</v>
      </c>
      <c r="BY35">
        <v>1200</v>
      </c>
      <c r="BZ35" t="s">
        <v>23</v>
      </c>
      <c r="CA35" t="s">
        <v>226</v>
      </c>
      <c r="CC35" t="s">
        <v>109</v>
      </c>
      <c r="CD35">
        <v>6000</v>
      </c>
      <c r="CE35" t="s">
        <v>78</v>
      </c>
      <c r="CF35" s="1">
        <v>43655</v>
      </c>
      <c r="CI35">
        <v>1</v>
      </c>
      <c r="CJ35">
        <v>1</v>
      </c>
      <c r="CK35">
        <v>21</v>
      </c>
      <c r="CL35" t="s">
        <v>76</v>
      </c>
    </row>
    <row r="36" spans="1:90">
      <c r="A36" t="s">
        <v>62</v>
      </c>
      <c r="B36" t="s">
        <v>63</v>
      </c>
      <c r="C36" t="s">
        <v>64</v>
      </c>
      <c r="E36" t="str">
        <f>"009939030275"</f>
        <v>009939030275</v>
      </c>
      <c r="F36" s="1">
        <v>43654</v>
      </c>
      <c r="G36">
        <v>202001</v>
      </c>
      <c r="H36" t="s">
        <v>65</v>
      </c>
      <c r="I36" t="s">
        <v>66</v>
      </c>
      <c r="J36" t="s">
        <v>67</v>
      </c>
      <c r="K36" t="s">
        <v>68</v>
      </c>
      <c r="L36" t="s">
        <v>147</v>
      </c>
      <c r="M36" t="s">
        <v>148</v>
      </c>
      <c r="N36" t="s">
        <v>227</v>
      </c>
      <c r="O36" t="s">
        <v>120</v>
      </c>
      <c r="P36" t="str">
        <f>"LCK                           "</f>
        <v xml:space="preserve">LCK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16.04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0.9</v>
      </c>
      <c r="BJ36">
        <v>1.9</v>
      </c>
      <c r="BK36">
        <v>2</v>
      </c>
      <c r="BL36" s="5">
        <v>92.57</v>
      </c>
      <c r="BM36" s="5">
        <v>13.89</v>
      </c>
      <c r="BN36" s="5">
        <v>106.46</v>
      </c>
      <c r="BO36" s="5">
        <v>106.46</v>
      </c>
      <c r="BQ36" t="s">
        <v>228</v>
      </c>
      <c r="BR36" t="s">
        <v>193</v>
      </c>
      <c r="BS36" s="1">
        <v>43656</v>
      </c>
      <c r="BT36" s="2">
        <v>0.41666666666666669</v>
      </c>
      <c r="BU36" t="s">
        <v>229</v>
      </c>
      <c r="BV36" t="s">
        <v>76</v>
      </c>
      <c r="BY36">
        <v>9459.07</v>
      </c>
      <c r="BZ36" t="s">
        <v>23</v>
      </c>
      <c r="CC36" t="s">
        <v>148</v>
      </c>
      <c r="CD36">
        <v>2745</v>
      </c>
      <c r="CE36" t="s">
        <v>78</v>
      </c>
      <c r="CF36" s="1">
        <v>43657</v>
      </c>
      <c r="CI36">
        <v>1</v>
      </c>
      <c r="CJ36">
        <v>2</v>
      </c>
      <c r="CK36">
        <v>23</v>
      </c>
      <c r="CL36" t="s">
        <v>76</v>
      </c>
    </row>
    <row r="37" spans="1:90">
      <c r="A37" t="s">
        <v>62</v>
      </c>
      <c r="B37" t="s">
        <v>63</v>
      </c>
      <c r="C37" t="s">
        <v>64</v>
      </c>
      <c r="E37" t="str">
        <f>"009939030276"</f>
        <v>009939030276</v>
      </c>
      <c r="F37" s="1">
        <v>43654</v>
      </c>
      <c r="G37">
        <v>202001</v>
      </c>
      <c r="H37" t="s">
        <v>65</v>
      </c>
      <c r="I37" t="s">
        <v>66</v>
      </c>
      <c r="J37" t="s">
        <v>67</v>
      </c>
      <c r="K37" t="s">
        <v>68</v>
      </c>
      <c r="L37" t="s">
        <v>152</v>
      </c>
      <c r="M37" t="s">
        <v>153</v>
      </c>
      <c r="N37" t="s">
        <v>230</v>
      </c>
      <c r="O37" t="s">
        <v>120</v>
      </c>
      <c r="P37" t="str">
        <f>"LCK                           "</f>
        <v xml:space="preserve">LCK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16.04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1.3</v>
      </c>
      <c r="BK37">
        <v>1.5</v>
      </c>
      <c r="BL37" s="5">
        <v>92.57</v>
      </c>
      <c r="BM37" s="5">
        <v>13.89</v>
      </c>
      <c r="BN37" s="5">
        <v>106.46</v>
      </c>
      <c r="BO37" s="5">
        <v>106.46</v>
      </c>
      <c r="BQ37" t="s">
        <v>231</v>
      </c>
      <c r="BR37" t="s">
        <v>193</v>
      </c>
      <c r="BS37" s="1">
        <v>43655</v>
      </c>
      <c r="BT37" s="2">
        <v>0.43263888888888885</v>
      </c>
      <c r="BU37" t="s">
        <v>232</v>
      </c>
      <c r="BV37" t="s">
        <v>86</v>
      </c>
      <c r="BY37">
        <v>6711.6</v>
      </c>
      <c r="BZ37" t="s">
        <v>23</v>
      </c>
      <c r="CA37" t="s">
        <v>157</v>
      </c>
      <c r="CC37" t="s">
        <v>153</v>
      </c>
      <c r="CD37">
        <v>850</v>
      </c>
      <c r="CE37" t="s">
        <v>78</v>
      </c>
      <c r="CF37" s="1">
        <v>43658</v>
      </c>
      <c r="CI37">
        <v>1</v>
      </c>
      <c r="CJ37">
        <v>1</v>
      </c>
      <c r="CK37">
        <v>23</v>
      </c>
      <c r="CL37" t="s">
        <v>76</v>
      </c>
    </row>
    <row r="38" spans="1:90">
      <c r="A38" t="s">
        <v>62</v>
      </c>
      <c r="B38" t="s">
        <v>63</v>
      </c>
      <c r="C38" t="s">
        <v>64</v>
      </c>
      <c r="E38" t="str">
        <f>"009936458909"</f>
        <v>009936458909</v>
      </c>
      <c r="F38" s="1">
        <v>43654</v>
      </c>
      <c r="G38">
        <v>202001</v>
      </c>
      <c r="H38" t="s">
        <v>65</v>
      </c>
      <c r="I38" t="s">
        <v>66</v>
      </c>
      <c r="J38" t="s">
        <v>67</v>
      </c>
      <c r="K38" t="s">
        <v>68</v>
      </c>
      <c r="L38" t="s">
        <v>96</v>
      </c>
      <c r="M38" t="s">
        <v>97</v>
      </c>
      <c r="N38" t="s">
        <v>67</v>
      </c>
      <c r="O38" t="s">
        <v>120</v>
      </c>
      <c r="P38" t="str">
        <f>"LCK                           "</f>
        <v xml:space="preserve">LCK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8.2799999999999994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0.7</v>
      </c>
      <c r="BJ38">
        <v>1.6</v>
      </c>
      <c r="BK38">
        <v>2</v>
      </c>
      <c r="BL38" s="5">
        <v>47.78</v>
      </c>
      <c r="BM38" s="5">
        <v>7.17</v>
      </c>
      <c r="BN38" s="5">
        <v>54.95</v>
      </c>
      <c r="BO38" s="5">
        <v>54.95</v>
      </c>
      <c r="BQ38" t="s">
        <v>199</v>
      </c>
      <c r="BR38" t="s">
        <v>84</v>
      </c>
      <c r="BS38" s="1">
        <v>43655</v>
      </c>
      <c r="BT38" s="2">
        <v>0.3923611111111111</v>
      </c>
      <c r="BU38" t="s">
        <v>161</v>
      </c>
      <c r="BV38" t="s">
        <v>86</v>
      </c>
      <c r="BY38">
        <v>8164.1</v>
      </c>
      <c r="BZ38" t="s">
        <v>23</v>
      </c>
      <c r="CA38" t="s">
        <v>162</v>
      </c>
      <c r="CC38" t="s">
        <v>97</v>
      </c>
      <c r="CD38">
        <v>699</v>
      </c>
      <c r="CE38" t="s">
        <v>78</v>
      </c>
      <c r="CF38" s="1">
        <v>43655</v>
      </c>
      <c r="CI38">
        <v>1</v>
      </c>
      <c r="CJ38">
        <v>1</v>
      </c>
      <c r="CK38">
        <v>21</v>
      </c>
      <c r="CL38" t="s">
        <v>76</v>
      </c>
    </row>
    <row r="39" spans="1:90">
      <c r="A39" t="s">
        <v>62</v>
      </c>
      <c r="B39" t="s">
        <v>63</v>
      </c>
      <c r="C39" t="s">
        <v>64</v>
      </c>
      <c r="E39" t="str">
        <f>"009935987789"</f>
        <v>009935987789</v>
      </c>
      <c r="F39" s="1">
        <v>43650</v>
      </c>
      <c r="G39">
        <v>202001</v>
      </c>
      <c r="H39" t="s">
        <v>65</v>
      </c>
      <c r="I39" t="s">
        <v>66</v>
      </c>
      <c r="J39" t="s">
        <v>67</v>
      </c>
      <c r="K39" t="s">
        <v>68</v>
      </c>
      <c r="L39" t="s">
        <v>137</v>
      </c>
      <c r="M39" t="s">
        <v>138</v>
      </c>
      <c r="N39" t="s">
        <v>196</v>
      </c>
      <c r="O39" t="s">
        <v>120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8.2799999999999994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0.6</v>
      </c>
      <c r="BJ39">
        <v>1.5</v>
      </c>
      <c r="BK39">
        <v>1.5</v>
      </c>
      <c r="BL39" s="5">
        <v>47.78</v>
      </c>
      <c r="BM39" s="5">
        <v>7.17</v>
      </c>
      <c r="BN39" s="5">
        <v>54.95</v>
      </c>
      <c r="BO39" s="5">
        <v>54.95</v>
      </c>
      <c r="BQ39" t="s">
        <v>140</v>
      </c>
      <c r="BR39" t="s">
        <v>144</v>
      </c>
      <c r="BS39" s="1">
        <v>43651</v>
      </c>
      <c r="BT39" s="2">
        <v>0.34375</v>
      </c>
      <c r="BU39" t="s">
        <v>233</v>
      </c>
      <c r="BV39" t="s">
        <v>86</v>
      </c>
      <c r="BY39">
        <v>7651.8</v>
      </c>
      <c r="BZ39" t="s">
        <v>23</v>
      </c>
      <c r="CC39" t="s">
        <v>138</v>
      </c>
      <c r="CD39">
        <v>7700</v>
      </c>
      <c r="CE39" t="s">
        <v>78</v>
      </c>
      <c r="CF39" s="1">
        <v>43654</v>
      </c>
      <c r="CI39">
        <v>1</v>
      </c>
      <c r="CJ39">
        <v>1</v>
      </c>
      <c r="CK39">
        <v>21</v>
      </c>
      <c r="CL39" t="s">
        <v>76</v>
      </c>
    </row>
    <row r="40" spans="1:90">
      <c r="A40" t="s">
        <v>62</v>
      </c>
      <c r="B40" t="s">
        <v>63</v>
      </c>
      <c r="C40" t="s">
        <v>64</v>
      </c>
      <c r="E40" t="str">
        <f>"029908431106"</f>
        <v>029908431106</v>
      </c>
      <c r="F40" s="1">
        <v>43649</v>
      </c>
      <c r="G40">
        <v>202001</v>
      </c>
      <c r="H40" t="s">
        <v>116</v>
      </c>
      <c r="I40" t="s">
        <v>117</v>
      </c>
      <c r="J40" t="s">
        <v>118</v>
      </c>
      <c r="K40" t="s">
        <v>68</v>
      </c>
      <c r="L40" t="s">
        <v>65</v>
      </c>
      <c r="M40" t="s">
        <v>66</v>
      </c>
      <c r="N40" t="s">
        <v>234</v>
      </c>
      <c r="O40" t="s">
        <v>120</v>
      </c>
      <c r="P40" t="str">
        <f>"031 263 2277                  "</f>
        <v xml:space="preserve">031 263 2277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8.2799999999999994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0.2</v>
      </c>
      <c r="BK40">
        <v>0.5</v>
      </c>
      <c r="BL40" s="5">
        <v>47.78</v>
      </c>
      <c r="BM40" s="5">
        <v>7.17</v>
      </c>
      <c r="BN40" s="5">
        <v>54.95</v>
      </c>
      <c r="BO40" s="5">
        <v>54.95</v>
      </c>
      <c r="BQ40" t="s">
        <v>193</v>
      </c>
      <c r="BR40" t="s">
        <v>235</v>
      </c>
      <c r="BS40" s="1">
        <v>43650</v>
      </c>
      <c r="BT40" s="2">
        <v>0.39999999999999997</v>
      </c>
      <c r="BU40" t="s">
        <v>93</v>
      </c>
      <c r="BV40" t="s">
        <v>86</v>
      </c>
      <c r="BY40">
        <v>1200</v>
      </c>
      <c r="BZ40" t="s">
        <v>23</v>
      </c>
      <c r="CA40" t="s">
        <v>94</v>
      </c>
      <c r="CC40" t="s">
        <v>66</v>
      </c>
      <c r="CD40">
        <v>2146</v>
      </c>
      <c r="CE40" t="s">
        <v>78</v>
      </c>
      <c r="CF40" s="1">
        <v>43650</v>
      </c>
      <c r="CI40">
        <v>1</v>
      </c>
      <c r="CJ40">
        <v>1</v>
      </c>
      <c r="CK40">
        <v>21</v>
      </c>
      <c r="CL40" t="s">
        <v>76</v>
      </c>
    </row>
    <row r="41" spans="1:90">
      <c r="A41" t="s">
        <v>62</v>
      </c>
      <c r="B41" t="s">
        <v>63</v>
      </c>
      <c r="C41" t="s">
        <v>64</v>
      </c>
      <c r="E41" t="str">
        <f>"009937893846"</f>
        <v>009937893846</v>
      </c>
      <c r="F41" s="1">
        <v>43649</v>
      </c>
      <c r="G41">
        <v>202001</v>
      </c>
      <c r="H41" t="s">
        <v>216</v>
      </c>
      <c r="I41" t="s">
        <v>217</v>
      </c>
      <c r="J41" t="s">
        <v>236</v>
      </c>
      <c r="K41" t="s">
        <v>68</v>
      </c>
      <c r="L41" t="s">
        <v>65</v>
      </c>
      <c r="M41" t="s">
        <v>66</v>
      </c>
      <c r="N41" t="s">
        <v>67</v>
      </c>
      <c r="O41" t="s">
        <v>120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11.64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 s="5">
        <v>67.19</v>
      </c>
      <c r="BM41" s="5">
        <v>10.08</v>
      </c>
      <c r="BN41" s="5">
        <v>77.27</v>
      </c>
      <c r="BO41" s="5">
        <v>77.27</v>
      </c>
      <c r="BQ41" t="s">
        <v>237</v>
      </c>
      <c r="BR41" t="s">
        <v>238</v>
      </c>
      <c r="BS41" s="1">
        <v>43650</v>
      </c>
      <c r="BT41" s="2">
        <v>0.40069444444444446</v>
      </c>
      <c r="BU41" t="s">
        <v>93</v>
      </c>
      <c r="BV41" t="s">
        <v>86</v>
      </c>
      <c r="BY41">
        <v>1200</v>
      </c>
      <c r="BZ41" t="s">
        <v>23</v>
      </c>
      <c r="CA41" t="s">
        <v>94</v>
      </c>
      <c r="CC41" t="s">
        <v>66</v>
      </c>
      <c r="CD41">
        <v>2146</v>
      </c>
      <c r="CE41" t="s">
        <v>78</v>
      </c>
      <c r="CF41" s="1">
        <v>43650</v>
      </c>
      <c r="CI41">
        <v>1</v>
      </c>
      <c r="CJ41">
        <v>1</v>
      </c>
      <c r="CK41">
        <v>24</v>
      </c>
      <c r="CL41" t="s">
        <v>76</v>
      </c>
    </row>
    <row r="42" spans="1:90">
      <c r="A42" t="s">
        <v>62</v>
      </c>
      <c r="B42" t="s">
        <v>63</v>
      </c>
      <c r="C42" t="s">
        <v>64</v>
      </c>
      <c r="E42" t="str">
        <f>"009935185552"</f>
        <v>009935185552</v>
      </c>
      <c r="F42" s="1">
        <v>43649</v>
      </c>
      <c r="G42">
        <v>202001</v>
      </c>
      <c r="H42" t="s">
        <v>65</v>
      </c>
      <c r="I42" t="s">
        <v>66</v>
      </c>
      <c r="J42" t="s">
        <v>67</v>
      </c>
      <c r="K42" t="s">
        <v>68</v>
      </c>
      <c r="L42" t="s">
        <v>116</v>
      </c>
      <c r="M42" t="s">
        <v>117</v>
      </c>
      <c r="N42" t="s">
        <v>118</v>
      </c>
      <c r="O42" t="s">
        <v>120</v>
      </c>
      <c r="P42" t="str">
        <f>"LCK                           "</f>
        <v xml:space="preserve">LCK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12.42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0.7</v>
      </c>
      <c r="BJ42">
        <v>2.6</v>
      </c>
      <c r="BK42">
        <v>3</v>
      </c>
      <c r="BL42" s="5">
        <v>71.66</v>
      </c>
      <c r="BM42" s="5">
        <v>10.75</v>
      </c>
      <c r="BN42" s="5">
        <v>82.41</v>
      </c>
      <c r="BO42" s="5">
        <v>82.41</v>
      </c>
      <c r="BQ42" t="s">
        <v>239</v>
      </c>
      <c r="BR42" t="s">
        <v>209</v>
      </c>
      <c r="BS42" s="1">
        <v>43650</v>
      </c>
      <c r="BT42" s="2">
        <v>0.34722222222222227</v>
      </c>
      <c r="BU42" t="s">
        <v>187</v>
      </c>
      <c r="BV42" t="s">
        <v>86</v>
      </c>
      <c r="BY42">
        <v>13071.81</v>
      </c>
      <c r="BZ42" t="s">
        <v>23</v>
      </c>
      <c r="CA42" t="s">
        <v>188</v>
      </c>
      <c r="CC42" t="s">
        <v>117</v>
      </c>
      <c r="CD42">
        <v>4091</v>
      </c>
      <c r="CE42" t="s">
        <v>78</v>
      </c>
      <c r="CF42" s="1">
        <v>43650</v>
      </c>
      <c r="CI42">
        <v>1</v>
      </c>
      <c r="CJ42">
        <v>1</v>
      </c>
      <c r="CK42">
        <v>21</v>
      </c>
      <c r="CL42" t="s">
        <v>76</v>
      </c>
    </row>
    <row r="43" spans="1:90">
      <c r="A43" t="s">
        <v>62</v>
      </c>
      <c r="B43" t="s">
        <v>63</v>
      </c>
      <c r="C43" t="s">
        <v>64</v>
      </c>
      <c r="E43" t="str">
        <f>"009935987735"</f>
        <v>009935987735</v>
      </c>
      <c r="F43" s="1">
        <v>43650</v>
      </c>
      <c r="G43">
        <v>202001</v>
      </c>
      <c r="H43" t="s">
        <v>65</v>
      </c>
      <c r="I43" t="s">
        <v>66</v>
      </c>
      <c r="J43" t="s">
        <v>67</v>
      </c>
      <c r="K43" t="s">
        <v>68</v>
      </c>
      <c r="L43" t="s">
        <v>137</v>
      </c>
      <c r="M43" t="s">
        <v>138</v>
      </c>
      <c r="N43" t="s">
        <v>196</v>
      </c>
      <c r="O43" t="s">
        <v>120</v>
      </c>
      <c r="P43" t="str">
        <f>"EFTPOS                        "</f>
        <v xml:space="preserve">EFTPOS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35.17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5.8</v>
      </c>
      <c r="BJ43">
        <v>8.4</v>
      </c>
      <c r="BK43">
        <v>8.5</v>
      </c>
      <c r="BL43" s="5">
        <v>202.98</v>
      </c>
      <c r="BM43" s="5">
        <v>30.45</v>
      </c>
      <c r="BN43" s="5">
        <v>233.43</v>
      </c>
      <c r="BO43" s="5">
        <v>233.43</v>
      </c>
      <c r="BQ43" t="s">
        <v>140</v>
      </c>
      <c r="BR43" t="s">
        <v>186</v>
      </c>
      <c r="BS43" s="1">
        <v>43651</v>
      </c>
      <c r="BT43" s="2">
        <v>0.34375</v>
      </c>
      <c r="BU43" t="s">
        <v>233</v>
      </c>
      <c r="BV43" t="s">
        <v>86</v>
      </c>
      <c r="BY43">
        <v>41972.7</v>
      </c>
      <c r="BZ43" t="s">
        <v>23</v>
      </c>
      <c r="CC43" t="s">
        <v>138</v>
      </c>
      <c r="CD43">
        <v>7700</v>
      </c>
      <c r="CE43" t="s">
        <v>78</v>
      </c>
      <c r="CF43" s="1">
        <v>43654</v>
      </c>
      <c r="CI43">
        <v>1</v>
      </c>
      <c r="CJ43">
        <v>1</v>
      </c>
      <c r="CK43">
        <v>21</v>
      </c>
      <c r="CL43" t="s">
        <v>76</v>
      </c>
    </row>
    <row r="44" spans="1:90">
      <c r="A44" t="s">
        <v>62</v>
      </c>
      <c r="B44" t="s">
        <v>63</v>
      </c>
      <c r="C44" t="s">
        <v>64</v>
      </c>
      <c r="E44" t="str">
        <f>"009935998548"</f>
        <v>009935998548</v>
      </c>
      <c r="F44" s="1">
        <v>43649</v>
      </c>
      <c r="G44">
        <v>202001</v>
      </c>
      <c r="H44" t="s">
        <v>65</v>
      </c>
      <c r="I44" t="s">
        <v>66</v>
      </c>
      <c r="J44" t="s">
        <v>67</v>
      </c>
      <c r="K44" t="s">
        <v>68</v>
      </c>
      <c r="L44" t="s">
        <v>181</v>
      </c>
      <c r="M44" t="s">
        <v>182</v>
      </c>
      <c r="N44" t="s">
        <v>240</v>
      </c>
      <c r="O44" t="s">
        <v>120</v>
      </c>
      <c r="P44" t="str">
        <f>"LOCKS                         "</f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8.2799999999999994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1.1000000000000001</v>
      </c>
      <c r="BK44">
        <v>1.5</v>
      </c>
      <c r="BL44" s="5">
        <v>47.78</v>
      </c>
      <c r="BM44" s="5">
        <v>7.17</v>
      </c>
      <c r="BN44" s="5">
        <v>54.95</v>
      </c>
      <c r="BO44" s="5">
        <v>54.95</v>
      </c>
      <c r="BQ44" t="s">
        <v>241</v>
      </c>
      <c r="BR44" t="s">
        <v>144</v>
      </c>
      <c r="BS44" s="1">
        <v>43650</v>
      </c>
      <c r="BT44" s="2">
        <v>0.38611111111111113</v>
      </c>
      <c r="BU44" t="s">
        <v>242</v>
      </c>
      <c r="BV44" t="s">
        <v>86</v>
      </c>
      <c r="BY44">
        <v>5585.16</v>
      </c>
      <c r="BZ44" t="s">
        <v>23</v>
      </c>
      <c r="CA44" t="s">
        <v>243</v>
      </c>
      <c r="CC44" t="s">
        <v>182</v>
      </c>
      <c r="CD44">
        <v>9300</v>
      </c>
      <c r="CE44" t="s">
        <v>78</v>
      </c>
      <c r="CF44" s="1">
        <v>43650</v>
      </c>
      <c r="CI44">
        <v>1</v>
      </c>
      <c r="CJ44">
        <v>1</v>
      </c>
      <c r="CK44">
        <v>21</v>
      </c>
      <c r="CL44" t="s">
        <v>76</v>
      </c>
    </row>
    <row r="45" spans="1:90">
      <c r="A45" t="s">
        <v>62</v>
      </c>
      <c r="B45" t="s">
        <v>63</v>
      </c>
      <c r="C45" t="s">
        <v>64</v>
      </c>
      <c r="E45" t="str">
        <f>"009938675688"</f>
        <v>009938675688</v>
      </c>
      <c r="F45" s="1">
        <v>43651</v>
      </c>
      <c r="G45">
        <v>202001</v>
      </c>
      <c r="H45" t="s">
        <v>122</v>
      </c>
      <c r="I45" t="s">
        <v>123</v>
      </c>
      <c r="J45" t="s">
        <v>244</v>
      </c>
      <c r="K45" t="s">
        <v>68</v>
      </c>
      <c r="L45" t="s">
        <v>65</v>
      </c>
      <c r="M45" t="s">
        <v>66</v>
      </c>
      <c r="N45" t="s">
        <v>82</v>
      </c>
      <c r="O45" t="s">
        <v>120</v>
      </c>
      <c r="P45" t="str">
        <f>"PARTS                         "</f>
        <v xml:space="preserve">PARTS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11.64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 s="5">
        <v>67.19</v>
      </c>
      <c r="BM45" s="5">
        <v>10.08</v>
      </c>
      <c r="BN45" s="5">
        <v>77.27</v>
      </c>
      <c r="BO45" s="5">
        <v>77.27</v>
      </c>
      <c r="BQ45" t="s">
        <v>245</v>
      </c>
      <c r="BR45" t="s">
        <v>246</v>
      </c>
      <c r="BS45" s="1">
        <v>43654</v>
      </c>
      <c r="BT45" s="2">
        <v>0.35833333333333334</v>
      </c>
      <c r="BU45" t="s">
        <v>186</v>
      </c>
      <c r="BV45" t="s">
        <v>86</v>
      </c>
      <c r="BY45">
        <v>1200</v>
      </c>
      <c r="BZ45" t="s">
        <v>23</v>
      </c>
      <c r="CC45" t="s">
        <v>66</v>
      </c>
      <c r="CD45">
        <v>2146</v>
      </c>
      <c r="CE45" t="s">
        <v>78</v>
      </c>
      <c r="CF45" s="1">
        <v>43656</v>
      </c>
      <c r="CI45">
        <v>1</v>
      </c>
      <c r="CJ45">
        <v>1</v>
      </c>
      <c r="CK45">
        <v>24</v>
      </c>
      <c r="CL45" t="s">
        <v>76</v>
      </c>
    </row>
    <row r="46" spans="1:90">
      <c r="A46" t="s">
        <v>62</v>
      </c>
      <c r="B46" t="s">
        <v>63</v>
      </c>
      <c r="C46" t="s">
        <v>64</v>
      </c>
      <c r="E46" t="str">
        <f>"009939030236"</f>
        <v>009939030236</v>
      </c>
      <c r="F46" s="1">
        <v>43654</v>
      </c>
      <c r="G46">
        <v>202001</v>
      </c>
      <c r="H46" t="s">
        <v>65</v>
      </c>
      <c r="I46" t="s">
        <v>66</v>
      </c>
      <c r="J46" t="s">
        <v>67</v>
      </c>
      <c r="K46" t="s">
        <v>68</v>
      </c>
      <c r="L46" t="s">
        <v>247</v>
      </c>
      <c r="M46" t="s">
        <v>138</v>
      </c>
      <c r="N46" t="s">
        <v>248</v>
      </c>
      <c r="O46" t="s">
        <v>72</v>
      </c>
      <c r="P46" t="str">
        <f>"...                           "</f>
        <v xml:space="preserve">...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16.95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8</v>
      </c>
      <c r="BJ46">
        <v>8.1</v>
      </c>
      <c r="BK46">
        <v>8</v>
      </c>
      <c r="BL46" s="5">
        <v>102.81</v>
      </c>
      <c r="BM46" s="5">
        <v>15.42</v>
      </c>
      <c r="BN46" s="5">
        <v>118.23</v>
      </c>
      <c r="BO46" s="5">
        <v>118.23</v>
      </c>
      <c r="BQ46" t="s">
        <v>249</v>
      </c>
      <c r="BR46" t="s">
        <v>186</v>
      </c>
      <c r="BS46" s="1">
        <v>43656</v>
      </c>
      <c r="BT46" s="2">
        <v>0.4826388888888889</v>
      </c>
      <c r="BU46" t="s">
        <v>250</v>
      </c>
      <c r="BV46" t="s">
        <v>86</v>
      </c>
      <c r="BY46">
        <v>40250</v>
      </c>
      <c r="CA46" t="s">
        <v>251</v>
      </c>
      <c r="CC46" t="s">
        <v>138</v>
      </c>
      <c r="CD46">
        <v>7441</v>
      </c>
      <c r="CE46" t="s">
        <v>78</v>
      </c>
      <c r="CF46" s="1">
        <v>43657</v>
      </c>
      <c r="CI46">
        <v>2</v>
      </c>
      <c r="CJ46">
        <v>2</v>
      </c>
      <c r="CK46" t="s">
        <v>115</v>
      </c>
      <c r="CL46" t="s">
        <v>76</v>
      </c>
    </row>
    <row r="47" spans="1:90">
      <c r="A47" t="s">
        <v>62</v>
      </c>
      <c r="B47" t="s">
        <v>63</v>
      </c>
      <c r="C47" t="s">
        <v>64</v>
      </c>
      <c r="E47" t="str">
        <f>"009937720437"</f>
        <v>009937720437</v>
      </c>
      <c r="F47" s="1">
        <v>43648</v>
      </c>
      <c r="G47">
        <v>202001</v>
      </c>
      <c r="H47" t="s">
        <v>65</v>
      </c>
      <c r="I47" t="s">
        <v>66</v>
      </c>
      <c r="J47" t="s">
        <v>67</v>
      </c>
      <c r="K47" t="s">
        <v>68</v>
      </c>
      <c r="L47" t="s">
        <v>96</v>
      </c>
      <c r="M47" t="s">
        <v>97</v>
      </c>
      <c r="N47" t="s">
        <v>67</v>
      </c>
      <c r="O47" t="s">
        <v>72</v>
      </c>
      <c r="P47" t="str">
        <f>"....                          "</f>
        <v xml:space="preserve">....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61.29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102.4</v>
      </c>
      <c r="BJ47">
        <v>102.4</v>
      </c>
      <c r="BK47">
        <v>103</v>
      </c>
      <c r="BL47" s="5">
        <v>327.76</v>
      </c>
      <c r="BM47" s="5">
        <v>49.16</v>
      </c>
      <c r="BN47" s="5">
        <v>376.92</v>
      </c>
      <c r="BO47" s="5">
        <v>376.92</v>
      </c>
      <c r="BQ47" t="s">
        <v>73</v>
      </c>
      <c r="BR47" t="s">
        <v>252</v>
      </c>
      <c r="BS47" s="1">
        <v>43654</v>
      </c>
      <c r="BT47" s="2">
        <v>0.66111111111111109</v>
      </c>
      <c r="BU47" t="s">
        <v>253</v>
      </c>
      <c r="BV47" t="s">
        <v>76</v>
      </c>
      <c r="BY47">
        <v>512000</v>
      </c>
      <c r="CA47" t="s">
        <v>160</v>
      </c>
      <c r="CC47" t="s">
        <v>97</v>
      </c>
      <c r="CD47">
        <v>699</v>
      </c>
      <c r="CE47" t="s">
        <v>78</v>
      </c>
      <c r="CF47" s="1">
        <v>43654</v>
      </c>
      <c r="CI47">
        <v>1</v>
      </c>
      <c r="CJ47">
        <v>4</v>
      </c>
      <c r="CK47" t="s">
        <v>79</v>
      </c>
      <c r="CL47" t="s">
        <v>76</v>
      </c>
    </row>
    <row r="48" spans="1:90">
      <c r="A48" t="s">
        <v>62</v>
      </c>
      <c r="B48" t="s">
        <v>63</v>
      </c>
      <c r="C48" t="s">
        <v>64</v>
      </c>
      <c r="E48" t="str">
        <f>"009938132456"</f>
        <v>009938132456</v>
      </c>
      <c r="F48" s="1">
        <v>43651</v>
      </c>
      <c r="G48">
        <v>202001</v>
      </c>
      <c r="H48" t="s">
        <v>206</v>
      </c>
      <c r="I48" t="s">
        <v>207</v>
      </c>
      <c r="J48" t="s">
        <v>67</v>
      </c>
      <c r="K48" t="s">
        <v>68</v>
      </c>
      <c r="L48" t="s">
        <v>65</v>
      </c>
      <c r="M48" t="s">
        <v>66</v>
      </c>
      <c r="N48" t="s">
        <v>67</v>
      </c>
      <c r="O48" t="s">
        <v>72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16.95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9.6</v>
      </c>
      <c r="BJ48">
        <v>9.6</v>
      </c>
      <c r="BK48">
        <v>10</v>
      </c>
      <c r="BL48" s="5">
        <v>102.81</v>
      </c>
      <c r="BM48" s="5">
        <v>15.42</v>
      </c>
      <c r="BN48" s="5">
        <v>118.23</v>
      </c>
      <c r="BO48" s="5">
        <v>118.23</v>
      </c>
      <c r="BR48" t="s">
        <v>254</v>
      </c>
      <c r="BS48" s="1">
        <v>43654</v>
      </c>
      <c r="BT48" s="2">
        <v>0.38611111111111113</v>
      </c>
      <c r="BU48" t="s">
        <v>175</v>
      </c>
      <c r="BV48" t="s">
        <v>86</v>
      </c>
      <c r="BY48">
        <v>48000</v>
      </c>
      <c r="CC48" t="s">
        <v>66</v>
      </c>
      <c r="CD48">
        <v>2146</v>
      </c>
      <c r="CE48" t="s">
        <v>78</v>
      </c>
      <c r="CF48" s="1">
        <v>43655</v>
      </c>
      <c r="CI48">
        <v>0</v>
      </c>
      <c r="CJ48">
        <v>0</v>
      </c>
      <c r="CK48" t="s">
        <v>115</v>
      </c>
      <c r="CL48" t="s">
        <v>76</v>
      </c>
    </row>
    <row r="49" spans="1:90">
      <c r="A49" t="s">
        <v>62</v>
      </c>
      <c r="B49" t="s">
        <v>63</v>
      </c>
      <c r="C49" t="s">
        <v>64</v>
      </c>
      <c r="E49" t="str">
        <f>"009939030243"</f>
        <v>009939030243</v>
      </c>
      <c r="F49" s="1">
        <v>43648</v>
      </c>
      <c r="G49">
        <v>202001</v>
      </c>
      <c r="H49" t="s">
        <v>65</v>
      </c>
      <c r="I49" t="s">
        <v>66</v>
      </c>
      <c r="J49" t="s">
        <v>67</v>
      </c>
      <c r="K49" t="s">
        <v>68</v>
      </c>
      <c r="L49" t="s">
        <v>255</v>
      </c>
      <c r="M49" t="s">
        <v>256</v>
      </c>
      <c r="N49" t="s">
        <v>257</v>
      </c>
      <c r="O49" t="s">
        <v>72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49.66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54.9</v>
      </c>
      <c r="BJ49">
        <v>55.3</v>
      </c>
      <c r="BK49">
        <v>56</v>
      </c>
      <c r="BL49" s="5">
        <v>266.5</v>
      </c>
      <c r="BM49" s="5">
        <v>39.979999999999997</v>
      </c>
      <c r="BN49" s="5">
        <v>306.48</v>
      </c>
      <c r="BO49" s="5">
        <v>306.48</v>
      </c>
      <c r="BQ49" t="s">
        <v>258</v>
      </c>
      <c r="BR49" t="s">
        <v>259</v>
      </c>
      <c r="BS49" s="1">
        <v>43649</v>
      </c>
      <c r="BT49" s="2">
        <v>0.48958333333333331</v>
      </c>
      <c r="BU49" t="s">
        <v>260</v>
      </c>
      <c r="BV49" t="s">
        <v>86</v>
      </c>
      <c r="BY49">
        <v>276400</v>
      </c>
      <c r="CA49" t="s">
        <v>261</v>
      </c>
      <c r="CC49" t="s">
        <v>256</v>
      </c>
      <c r="CD49">
        <v>3200</v>
      </c>
      <c r="CE49" t="s">
        <v>78</v>
      </c>
      <c r="CF49" s="1">
        <v>43649</v>
      </c>
      <c r="CI49">
        <v>1</v>
      </c>
      <c r="CJ49">
        <v>1</v>
      </c>
      <c r="CK49" t="s">
        <v>262</v>
      </c>
      <c r="CL49" t="s">
        <v>76</v>
      </c>
    </row>
    <row r="50" spans="1:90">
      <c r="A50" t="s">
        <v>62</v>
      </c>
      <c r="B50" t="s">
        <v>63</v>
      </c>
      <c r="C50" t="s">
        <v>64</v>
      </c>
      <c r="E50" t="str">
        <f>"009939030234"</f>
        <v>009939030234</v>
      </c>
      <c r="F50" s="1">
        <v>43655</v>
      </c>
      <c r="G50">
        <v>202001</v>
      </c>
      <c r="H50" t="s">
        <v>65</v>
      </c>
      <c r="I50" t="s">
        <v>66</v>
      </c>
      <c r="J50" t="s">
        <v>67</v>
      </c>
      <c r="K50" t="s">
        <v>68</v>
      </c>
      <c r="L50" t="s">
        <v>255</v>
      </c>
      <c r="M50" t="s">
        <v>256</v>
      </c>
      <c r="N50" t="s">
        <v>67</v>
      </c>
      <c r="O50" t="s">
        <v>72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63.91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17</v>
      </c>
      <c r="BJ50">
        <v>84.7</v>
      </c>
      <c r="BK50">
        <v>85</v>
      </c>
      <c r="BL50" s="5">
        <v>373.84</v>
      </c>
      <c r="BM50" s="5">
        <v>56.08</v>
      </c>
      <c r="BN50" s="5">
        <v>429.92</v>
      </c>
      <c r="BO50" s="5">
        <v>429.92</v>
      </c>
      <c r="BQ50" t="s">
        <v>252</v>
      </c>
      <c r="BR50" t="s">
        <v>74</v>
      </c>
      <c r="BS50" s="1">
        <v>43657</v>
      </c>
      <c r="BT50" s="2">
        <v>0.375</v>
      </c>
      <c r="BU50" t="s">
        <v>263</v>
      </c>
      <c r="BV50" t="s">
        <v>76</v>
      </c>
      <c r="BW50" t="s">
        <v>264</v>
      </c>
      <c r="BX50" t="s">
        <v>265</v>
      </c>
      <c r="BY50">
        <v>423440</v>
      </c>
      <c r="CA50" t="s">
        <v>266</v>
      </c>
      <c r="CC50" t="s">
        <v>256</v>
      </c>
      <c r="CD50">
        <v>3200</v>
      </c>
      <c r="CE50" t="s">
        <v>78</v>
      </c>
      <c r="CF50" s="1">
        <v>43657</v>
      </c>
      <c r="CI50">
        <v>1</v>
      </c>
      <c r="CJ50">
        <v>2</v>
      </c>
      <c r="CK50" t="s">
        <v>262</v>
      </c>
      <c r="CL50" t="s">
        <v>76</v>
      </c>
    </row>
    <row r="51" spans="1:90">
      <c r="A51" t="s">
        <v>62</v>
      </c>
      <c r="B51" t="s">
        <v>63</v>
      </c>
      <c r="C51" t="s">
        <v>64</v>
      </c>
      <c r="E51" t="str">
        <f>"009939030241"</f>
        <v>009939030241</v>
      </c>
      <c r="F51" s="1">
        <v>43654</v>
      </c>
      <c r="G51">
        <v>202001</v>
      </c>
      <c r="H51" t="s">
        <v>65</v>
      </c>
      <c r="I51" t="s">
        <v>66</v>
      </c>
      <c r="J51" t="s">
        <v>67</v>
      </c>
      <c r="K51" t="s">
        <v>68</v>
      </c>
      <c r="L51" t="s">
        <v>152</v>
      </c>
      <c r="M51" t="s">
        <v>153</v>
      </c>
      <c r="N51" t="s">
        <v>267</v>
      </c>
      <c r="O51" t="s">
        <v>72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52.32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27</v>
      </c>
      <c r="BJ51">
        <v>41.2</v>
      </c>
      <c r="BK51">
        <v>42</v>
      </c>
      <c r="BL51" s="5">
        <v>306.95999999999998</v>
      </c>
      <c r="BM51" s="5">
        <v>46.04</v>
      </c>
      <c r="BN51" s="5">
        <v>353</v>
      </c>
      <c r="BO51" s="5">
        <v>353</v>
      </c>
      <c r="BQ51" t="s">
        <v>268</v>
      </c>
      <c r="BR51" t="s">
        <v>74</v>
      </c>
      <c r="BS51" s="1">
        <v>43655</v>
      </c>
      <c r="BT51" s="2">
        <v>0.54583333333333328</v>
      </c>
      <c r="BU51" t="s">
        <v>269</v>
      </c>
      <c r="BV51" t="s">
        <v>86</v>
      </c>
      <c r="BY51">
        <v>205920</v>
      </c>
      <c r="CA51" t="s">
        <v>157</v>
      </c>
      <c r="CC51" t="s">
        <v>153</v>
      </c>
      <c r="CD51">
        <v>850</v>
      </c>
      <c r="CE51" t="s">
        <v>78</v>
      </c>
      <c r="CF51" s="1">
        <v>43658</v>
      </c>
      <c r="CI51">
        <v>1</v>
      </c>
      <c r="CJ51">
        <v>1</v>
      </c>
      <c r="CK51" t="s">
        <v>88</v>
      </c>
      <c r="CL51" t="s">
        <v>76</v>
      </c>
    </row>
    <row r="52" spans="1:90">
      <c r="A52" t="s">
        <v>62</v>
      </c>
      <c r="B52" t="s">
        <v>63</v>
      </c>
      <c r="C52" t="s">
        <v>64</v>
      </c>
      <c r="E52" t="str">
        <f>"009936938582"</f>
        <v>009936938582</v>
      </c>
      <c r="F52" s="1">
        <v>43655</v>
      </c>
      <c r="G52">
        <v>202001</v>
      </c>
      <c r="H52" t="s">
        <v>206</v>
      </c>
      <c r="I52" t="s">
        <v>207</v>
      </c>
      <c r="J52" t="s">
        <v>67</v>
      </c>
      <c r="K52" t="s">
        <v>68</v>
      </c>
      <c r="L52" t="s">
        <v>65</v>
      </c>
      <c r="M52" t="s">
        <v>66</v>
      </c>
      <c r="N52" t="s">
        <v>67</v>
      </c>
      <c r="O52" t="s">
        <v>72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16.95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10</v>
      </c>
      <c r="BJ52">
        <v>7.2</v>
      </c>
      <c r="BK52">
        <v>10</v>
      </c>
      <c r="BL52" s="5">
        <v>102.81</v>
      </c>
      <c r="BM52" s="5">
        <v>15.42</v>
      </c>
      <c r="BN52" s="5">
        <v>118.23</v>
      </c>
      <c r="BO52" s="5">
        <v>118.23</v>
      </c>
      <c r="BQ52" t="s">
        <v>173</v>
      </c>
      <c r="BR52" t="s">
        <v>270</v>
      </c>
      <c r="BS52" s="1">
        <v>43656</v>
      </c>
      <c r="BT52" s="2">
        <v>0.40277777777777773</v>
      </c>
      <c r="BU52" t="s">
        <v>100</v>
      </c>
      <c r="BV52" t="s">
        <v>86</v>
      </c>
      <c r="BY52">
        <v>36000</v>
      </c>
      <c r="CC52" t="s">
        <v>66</v>
      </c>
      <c r="CD52">
        <v>2146</v>
      </c>
      <c r="CE52" t="s">
        <v>78</v>
      </c>
      <c r="CF52" s="1">
        <v>43657</v>
      </c>
      <c r="CI52">
        <v>0</v>
      </c>
      <c r="CJ52">
        <v>0</v>
      </c>
      <c r="CK52" t="s">
        <v>115</v>
      </c>
      <c r="CL52" t="s">
        <v>76</v>
      </c>
    </row>
    <row r="53" spans="1:90">
      <c r="A53" t="s">
        <v>62</v>
      </c>
      <c r="B53" t="s">
        <v>63</v>
      </c>
      <c r="C53" t="s">
        <v>64</v>
      </c>
      <c r="E53" t="str">
        <f>"009938891120"</f>
        <v>009938891120</v>
      </c>
      <c r="F53" s="1">
        <v>43655</v>
      </c>
      <c r="G53">
        <v>202001</v>
      </c>
      <c r="H53" t="s">
        <v>65</v>
      </c>
      <c r="I53" t="s">
        <v>66</v>
      </c>
      <c r="J53" t="s">
        <v>67</v>
      </c>
      <c r="K53" t="s">
        <v>68</v>
      </c>
      <c r="L53" t="s">
        <v>189</v>
      </c>
      <c r="M53" t="s">
        <v>190</v>
      </c>
      <c r="N53" t="s">
        <v>67</v>
      </c>
      <c r="O53" t="s">
        <v>72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72.56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49.1</v>
      </c>
      <c r="BJ53">
        <v>59</v>
      </c>
      <c r="BK53">
        <v>59</v>
      </c>
      <c r="BL53" s="5">
        <v>423.76</v>
      </c>
      <c r="BM53" s="5">
        <v>63.56</v>
      </c>
      <c r="BN53" s="5">
        <v>487.32</v>
      </c>
      <c r="BO53" s="5">
        <v>487.32</v>
      </c>
      <c r="BQ53" t="s">
        <v>271</v>
      </c>
      <c r="BR53" t="s">
        <v>272</v>
      </c>
      <c r="BS53" s="1">
        <v>43656</v>
      </c>
      <c r="BT53" s="2">
        <v>0.52083333333333337</v>
      </c>
      <c r="BU53" t="s">
        <v>273</v>
      </c>
      <c r="BV53" t="s">
        <v>86</v>
      </c>
      <c r="BY53">
        <v>295091.20000000001</v>
      </c>
      <c r="CA53" t="s">
        <v>195</v>
      </c>
      <c r="CC53" t="s">
        <v>190</v>
      </c>
      <c r="CD53">
        <v>920</v>
      </c>
      <c r="CE53" t="s">
        <v>78</v>
      </c>
      <c r="CF53" s="1">
        <v>43656</v>
      </c>
      <c r="CI53">
        <v>1</v>
      </c>
      <c r="CJ53">
        <v>1</v>
      </c>
      <c r="CK53" t="s">
        <v>146</v>
      </c>
      <c r="CL53" t="s">
        <v>76</v>
      </c>
    </row>
    <row r="54" spans="1:90">
      <c r="A54" t="s">
        <v>62</v>
      </c>
      <c r="B54" t="s">
        <v>63</v>
      </c>
      <c r="C54" t="s">
        <v>64</v>
      </c>
      <c r="E54" t="str">
        <f>"009939030233"</f>
        <v>009939030233</v>
      </c>
      <c r="F54" s="1">
        <v>43655</v>
      </c>
      <c r="G54">
        <v>202001</v>
      </c>
      <c r="H54" t="s">
        <v>103</v>
      </c>
      <c r="I54" t="s">
        <v>104</v>
      </c>
      <c r="J54" t="s">
        <v>205</v>
      </c>
      <c r="K54" t="s">
        <v>68</v>
      </c>
      <c r="L54" t="s">
        <v>131</v>
      </c>
      <c r="M54" t="s">
        <v>132</v>
      </c>
      <c r="N54" t="s">
        <v>274</v>
      </c>
      <c r="O54" t="s">
        <v>72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185.66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4</v>
      </c>
      <c r="BI54">
        <v>70</v>
      </c>
      <c r="BJ54">
        <v>153.4</v>
      </c>
      <c r="BK54">
        <v>154</v>
      </c>
      <c r="BL54" s="5">
        <v>1076.46</v>
      </c>
      <c r="BM54" s="5">
        <v>161.47</v>
      </c>
      <c r="BN54" s="5">
        <v>1237.93</v>
      </c>
      <c r="BO54" s="5">
        <v>1237.93</v>
      </c>
      <c r="BQ54" t="s">
        <v>134</v>
      </c>
      <c r="BR54" t="s">
        <v>74</v>
      </c>
      <c r="BS54" s="1">
        <v>43656</v>
      </c>
      <c r="BT54" s="2">
        <v>0.46666666666666662</v>
      </c>
      <c r="BU54" t="s">
        <v>275</v>
      </c>
      <c r="BV54" t="s">
        <v>86</v>
      </c>
      <c r="BY54">
        <v>766991.28</v>
      </c>
      <c r="CA54" t="s">
        <v>276</v>
      </c>
      <c r="CC54" t="s">
        <v>132</v>
      </c>
      <c r="CD54">
        <v>1150</v>
      </c>
      <c r="CE54" t="s">
        <v>78</v>
      </c>
      <c r="CF54" s="1">
        <v>43656</v>
      </c>
      <c r="CI54">
        <v>0</v>
      </c>
      <c r="CJ54">
        <v>0</v>
      </c>
      <c r="CK54" t="s">
        <v>88</v>
      </c>
      <c r="CL54" t="s">
        <v>76</v>
      </c>
    </row>
    <row r="55" spans="1:90">
      <c r="A55" t="s">
        <v>62</v>
      </c>
      <c r="B55" t="s">
        <v>63</v>
      </c>
      <c r="C55" t="s">
        <v>64</v>
      </c>
      <c r="E55" t="str">
        <f>"009939030235"</f>
        <v>009939030235</v>
      </c>
      <c r="F55" s="1">
        <v>43654</v>
      </c>
      <c r="G55">
        <v>202001</v>
      </c>
      <c r="H55" t="s">
        <v>65</v>
      </c>
      <c r="I55" t="s">
        <v>66</v>
      </c>
      <c r="J55" t="s">
        <v>67</v>
      </c>
      <c r="K55" t="s">
        <v>68</v>
      </c>
      <c r="L55" t="s">
        <v>277</v>
      </c>
      <c r="M55" t="s">
        <v>278</v>
      </c>
      <c r="N55" t="s">
        <v>279</v>
      </c>
      <c r="O55" t="s">
        <v>72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16.82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2.2000000000000002</v>
      </c>
      <c r="BJ55">
        <v>6.1</v>
      </c>
      <c r="BK55">
        <v>6</v>
      </c>
      <c r="BL55" s="5">
        <v>102.05</v>
      </c>
      <c r="BM55" s="5">
        <v>15.31</v>
      </c>
      <c r="BN55" s="5">
        <v>117.36</v>
      </c>
      <c r="BO55" s="5">
        <v>117.36</v>
      </c>
      <c r="BQ55" t="s">
        <v>280</v>
      </c>
      <c r="BR55" t="s">
        <v>74</v>
      </c>
      <c r="BS55" s="1">
        <v>43655</v>
      </c>
      <c r="BT55" s="2">
        <v>0.3263888888888889</v>
      </c>
      <c r="BU55" t="s">
        <v>281</v>
      </c>
      <c r="BV55" t="s">
        <v>86</v>
      </c>
      <c r="BY55">
        <v>30263.34</v>
      </c>
      <c r="CA55" t="s">
        <v>282</v>
      </c>
      <c r="CC55" t="s">
        <v>278</v>
      </c>
      <c r="CD55">
        <v>9700</v>
      </c>
      <c r="CE55" t="s">
        <v>78</v>
      </c>
      <c r="CF55" s="1">
        <v>43657</v>
      </c>
      <c r="CI55">
        <v>1</v>
      </c>
      <c r="CJ55">
        <v>1</v>
      </c>
      <c r="CK55" t="s">
        <v>262</v>
      </c>
      <c r="CL55" t="s">
        <v>76</v>
      </c>
    </row>
    <row r="56" spans="1:90">
      <c r="A56" t="s">
        <v>62</v>
      </c>
      <c r="B56" t="s">
        <v>63</v>
      </c>
      <c r="C56" t="s">
        <v>64</v>
      </c>
      <c r="E56" t="str">
        <f>"009937720439"</f>
        <v>009937720439</v>
      </c>
      <c r="F56" s="1">
        <v>43655</v>
      </c>
      <c r="G56">
        <v>202001</v>
      </c>
      <c r="H56" t="s">
        <v>65</v>
      </c>
      <c r="I56" t="s">
        <v>66</v>
      </c>
      <c r="J56" t="s">
        <v>67</v>
      </c>
      <c r="K56" t="s">
        <v>68</v>
      </c>
      <c r="L56" t="s">
        <v>96</v>
      </c>
      <c r="M56" t="s">
        <v>97</v>
      </c>
      <c r="N56" t="s">
        <v>67</v>
      </c>
      <c r="O56" t="s">
        <v>72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34.700000000000003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58.6</v>
      </c>
      <c r="BJ56">
        <v>62</v>
      </c>
      <c r="BK56">
        <v>62</v>
      </c>
      <c r="BL56" s="5">
        <v>205.23</v>
      </c>
      <c r="BM56" s="5">
        <v>30.78</v>
      </c>
      <c r="BN56" s="5">
        <v>236.01</v>
      </c>
      <c r="BO56" s="5">
        <v>236.01</v>
      </c>
      <c r="BQ56" t="s">
        <v>73</v>
      </c>
      <c r="BS56" s="1">
        <v>43656</v>
      </c>
      <c r="BT56" s="2">
        <v>0.56666666666666665</v>
      </c>
      <c r="BU56" t="s">
        <v>161</v>
      </c>
      <c r="BV56" t="s">
        <v>86</v>
      </c>
      <c r="BY56">
        <v>309775.71999999997</v>
      </c>
      <c r="CA56" t="s">
        <v>162</v>
      </c>
      <c r="CC56" t="s">
        <v>97</v>
      </c>
      <c r="CD56">
        <v>699</v>
      </c>
      <c r="CE56" t="s">
        <v>78</v>
      </c>
      <c r="CF56" s="1">
        <v>43658</v>
      </c>
      <c r="CI56">
        <v>1</v>
      </c>
      <c r="CJ56">
        <v>1</v>
      </c>
      <c r="CK56" t="s">
        <v>79</v>
      </c>
      <c r="CL56" t="s">
        <v>76</v>
      </c>
    </row>
    <row r="57" spans="1:90">
      <c r="A57" t="s">
        <v>62</v>
      </c>
      <c r="B57" t="s">
        <v>63</v>
      </c>
      <c r="C57" t="s">
        <v>64</v>
      </c>
      <c r="E57" t="str">
        <f>"009938451689"</f>
        <v>009938451689</v>
      </c>
      <c r="F57" s="1">
        <v>43654</v>
      </c>
      <c r="G57">
        <v>202001</v>
      </c>
      <c r="H57" t="s">
        <v>96</v>
      </c>
      <c r="I57" t="s">
        <v>97</v>
      </c>
      <c r="J57" t="s">
        <v>67</v>
      </c>
      <c r="K57" t="s">
        <v>68</v>
      </c>
      <c r="L57" t="s">
        <v>65</v>
      </c>
      <c r="M57" t="s">
        <v>66</v>
      </c>
      <c r="N57" t="s">
        <v>82</v>
      </c>
      <c r="O57" t="s">
        <v>72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15.52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 s="5">
        <v>94.58</v>
      </c>
      <c r="BM57" s="5">
        <v>14.19</v>
      </c>
      <c r="BN57" s="5">
        <v>108.77</v>
      </c>
      <c r="BO57" s="5">
        <v>108.77</v>
      </c>
      <c r="BQ57" t="s">
        <v>283</v>
      </c>
      <c r="BS57" s="1">
        <v>43655</v>
      </c>
      <c r="BT57" s="2">
        <v>0.4069444444444445</v>
      </c>
      <c r="BU57" t="s">
        <v>284</v>
      </c>
      <c r="BV57" t="s">
        <v>86</v>
      </c>
      <c r="BY57">
        <v>1200</v>
      </c>
      <c r="CC57" t="s">
        <v>66</v>
      </c>
      <c r="CD57">
        <v>2146</v>
      </c>
      <c r="CE57">
        <v>1</v>
      </c>
      <c r="CF57" s="1">
        <v>43657</v>
      </c>
      <c r="CI57">
        <v>1</v>
      </c>
      <c r="CJ57">
        <v>1</v>
      </c>
      <c r="CK57" t="s">
        <v>95</v>
      </c>
      <c r="CL57" t="s">
        <v>76</v>
      </c>
    </row>
    <row r="58" spans="1:90">
      <c r="A58" t="s">
        <v>62</v>
      </c>
      <c r="B58" t="s">
        <v>63</v>
      </c>
      <c r="C58" t="s">
        <v>64</v>
      </c>
      <c r="E58" t="str">
        <f>"019910066620"</f>
        <v>019910066620</v>
      </c>
      <c r="F58" s="1">
        <v>43655</v>
      </c>
      <c r="G58">
        <v>202001</v>
      </c>
      <c r="H58" t="s">
        <v>137</v>
      </c>
      <c r="I58" t="s">
        <v>138</v>
      </c>
      <c r="J58" t="s">
        <v>67</v>
      </c>
      <c r="K58" t="s">
        <v>68</v>
      </c>
      <c r="L58" t="s">
        <v>103</v>
      </c>
      <c r="M58" t="s">
        <v>104</v>
      </c>
      <c r="N58" t="s">
        <v>67</v>
      </c>
      <c r="O58" t="s">
        <v>72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70.61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64.8</v>
      </c>
      <c r="BJ58">
        <v>88.3</v>
      </c>
      <c r="BK58">
        <v>89</v>
      </c>
      <c r="BL58" s="5">
        <v>412.51</v>
      </c>
      <c r="BM58" s="5">
        <v>61.88</v>
      </c>
      <c r="BN58" s="5">
        <v>474.39</v>
      </c>
      <c r="BO58" s="5">
        <v>474.39</v>
      </c>
      <c r="BQ58" t="s">
        <v>139</v>
      </c>
      <c r="BR58" t="s">
        <v>140</v>
      </c>
      <c r="BS58" s="1">
        <v>43657</v>
      </c>
      <c r="BT58" s="2">
        <v>0.4513888888888889</v>
      </c>
      <c r="BU58" t="s">
        <v>99</v>
      </c>
      <c r="BV58" t="s">
        <v>86</v>
      </c>
      <c r="BY58">
        <v>441637.84</v>
      </c>
      <c r="CC58" t="s">
        <v>104</v>
      </c>
      <c r="CD58">
        <v>2090</v>
      </c>
      <c r="CE58" t="s">
        <v>285</v>
      </c>
      <c r="CF58" s="1">
        <v>43658</v>
      </c>
      <c r="CI58">
        <v>2</v>
      </c>
      <c r="CJ58">
        <v>2</v>
      </c>
      <c r="CK58" t="s">
        <v>115</v>
      </c>
      <c r="CL58" t="s">
        <v>76</v>
      </c>
    </row>
    <row r="59" spans="1:90">
      <c r="A59" t="s">
        <v>62</v>
      </c>
      <c r="B59" t="s">
        <v>63</v>
      </c>
      <c r="C59" t="s">
        <v>64</v>
      </c>
      <c r="E59" t="str">
        <f>"009935987733"</f>
        <v>009935987733</v>
      </c>
      <c r="F59" s="1">
        <v>43654</v>
      </c>
      <c r="G59">
        <v>202001</v>
      </c>
      <c r="H59" t="s">
        <v>65</v>
      </c>
      <c r="I59" t="s">
        <v>66</v>
      </c>
      <c r="J59" t="s">
        <v>67</v>
      </c>
      <c r="K59" t="s">
        <v>68</v>
      </c>
      <c r="L59" t="s">
        <v>247</v>
      </c>
      <c r="M59" t="s">
        <v>138</v>
      </c>
      <c r="N59" t="s">
        <v>196</v>
      </c>
      <c r="O59" t="s">
        <v>72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37.25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36</v>
      </c>
      <c r="BJ59">
        <v>42.2</v>
      </c>
      <c r="BK59">
        <v>43</v>
      </c>
      <c r="BL59" s="5">
        <v>219.99</v>
      </c>
      <c r="BM59" s="5">
        <v>33</v>
      </c>
      <c r="BN59" s="5">
        <v>252.99</v>
      </c>
      <c r="BO59" s="5">
        <v>252.99</v>
      </c>
      <c r="BQ59" t="s">
        <v>286</v>
      </c>
      <c r="BR59" t="s">
        <v>144</v>
      </c>
      <c r="BS59" s="1">
        <v>43656</v>
      </c>
      <c r="BT59" s="2">
        <v>0.38194444444444442</v>
      </c>
      <c r="BU59" t="s">
        <v>287</v>
      </c>
      <c r="BV59" t="s">
        <v>86</v>
      </c>
      <c r="BY59">
        <v>211200</v>
      </c>
      <c r="CA59" t="s">
        <v>288</v>
      </c>
      <c r="CC59" t="s">
        <v>138</v>
      </c>
      <c r="CD59">
        <v>7700</v>
      </c>
      <c r="CE59" t="s">
        <v>78</v>
      </c>
      <c r="CF59" s="1">
        <v>43657</v>
      </c>
      <c r="CI59">
        <v>2</v>
      </c>
      <c r="CJ59">
        <v>2</v>
      </c>
      <c r="CK59" t="s">
        <v>115</v>
      </c>
      <c r="CL59" t="s">
        <v>76</v>
      </c>
    </row>
    <row r="60" spans="1:90">
      <c r="A60" t="s">
        <v>62</v>
      </c>
      <c r="B60" t="s">
        <v>63</v>
      </c>
      <c r="C60" t="s">
        <v>64</v>
      </c>
      <c r="E60" t="str">
        <f>"009938769240"</f>
        <v>009938769240</v>
      </c>
      <c r="F60" s="1">
        <v>43655</v>
      </c>
      <c r="G60">
        <v>202001</v>
      </c>
      <c r="H60" t="s">
        <v>65</v>
      </c>
      <c r="I60" t="s">
        <v>66</v>
      </c>
      <c r="J60" t="s">
        <v>67</v>
      </c>
      <c r="K60" t="s">
        <v>68</v>
      </c>
      <c r="L60" t="s">
        <v>116</v>
      </c>
      <c r="M60" t="s">
        <v>117</v>
      </c>
      <c r="N60" t="s">
        <v>67</v>
      </c>
      <c r="O60" t="s">
        <v>72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34.700000000000003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61.4</v>
      </c>
      <c r="BJ60">
        <v>61.8</v>
      </c>
      <c r="BK60">
        <v>62</v>
      </c>
      <c r="BL60" s="5">
        <v>205.23</v>
      </c>
      <c r="BM60" s="5">
        <v>30.78</v>
      </c>
      <c r="BN60" s="5">
        <v>236.01</v>
      </c>
      <c r="BO60" s="5">
        <v>236.01</v>
      </c>
      <c r="BQ60" t="s">
        <v>185</v>
      </c>
      <c r="BR60" t="s">
        <v>84</v>
      </c>
      <c r="BS60" s="1">
        <v>43656</v>
      </c>
      <c r="BT60" s="2">
        <v>0.57222222222222219</v>
      </c>
      <c r="BU60" t="s">
        <v>289</v>
      </c>
      <c r="BV60" t="s">
        <v>86</v>
      </c>
      <c r="BY60">
        <v>308828.34999999998</v>
      </c>
      <c r="CA60" t="s">
        <v>290</v>
      </c>
      <c r="CC60" t="s">
        <v>117</v>
      </c>
      <c r="CD60">
        <v>4091</v>
      </c>
      <c r="CE60" t="s">
        <v>78</v>
      </c>
      <c r="CF60" s="1">
        <v>43656</v>
      </c>
      <c r="CI60">
        <v>1</v>
      </c>
      <c r="CJ60">
        <v>1</v>
      </c>
      <c r="CK60" t="s">
        <v>291</v>
      </c>
      <c r="CL60" t="s">
        <v>76</v>
      </c>
    </row>
    <row r="61" spans="1:90">
      <c r="A61" t="s">
        <v>62</v>
      </c>
      <c r="B61" t="s">
        <v>63</v>
      </c>
      <c r="C61" t="s">
        <v>64</v>
      </c>
      <c r="E61" t="str">
        <f>"009939030237"</f>
        <v>009939030237</v>
      </c>
      <c r="F61" s="1">
        <v>43654</v>
      </c>
      <c r="G61">
        <v>202001</v>
      </c>
      <c r="H61" t="s">
        <v>65</v>
      </c>
      <c r="I61" t="s">
        <v>66</v>
      </c>
      <c r="J61" t="s">
        <v>67</v>
      </c>
      <c r="K61" t="s">
        <v>68</v>
      </c>
      <c r="L61" t="s">
        <v>141</v>
      </c>
      <c r="M61" t="s">
        <v>99</v>
      </c>
      <c r="N61" t="s">
        <v>142</v>
      </c>
      <c r="O61" t="s">
        <v>72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53.52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20</v>
      </c>
      <c r="BJ61">
        <v>42.2</v>
      </c>
      <c r="BK61">
        <v>43</v>
      </c>
      <c r="BL61" s="5">
        <v>313.83999999999997</v>
      </c>
      <c r="BM61" s="5">
        <v>47.08</v>
      </c>
      <c r="BN61" s="5">
        <v>360.92</v>
      </c>
      <c r="BO61" s="5">
        <v>360.92</v>
      </c>
      <c r="BQ61" t="s">
        <v>178</v>
      </c>
      <c r="BR61" t="s">
        <v>74</v>
      </c>
      <c r="BS61" s="1">
        <v>43657</v>
      </c>
      <c r="BT61" s="2">
        <v>0.35416666666666669</v>
      </c>
      <c r="BU61" t="s">
        <v>179</v>
      </c>
      <c r="BV61" t="s">
        <v>76</v>
      </c>
      <c r="BY61">
        <v>211200</v>
      </c>
      <c r="CC61" t="s">
        <v>99</v>
      </c>
      <c r="CD61">
        <v>6529</v>
      </c>
      <c r="CE61" t="s">
        <v>78</v>
      </c>
      <c r="CF61" s="1">
        <v>43661</v>
      </c>
      <c r="CI61">
        <v>0</v>
      </c>
      <c r="CJ61">
        <v>0</v>
      </c>
      <c r="CK61" t="s">
        <v>146</v>
      </c>
      <c r="CL61" t="s">
        <v>76</v>
      </c>
    </row>
    <row r="62" spans="1:90">
      <c r="A62" t="s">
        <v>62</v>
      </c>
      <c r="B62" t="s">
        <v>63</v>
      </c>
      <c r="C62" t="s">
        <v>64</v>
      </c>
      <c r="E62" t="str">
        <f>"009938769237"</f>
        <v>009938769237</v>
      </c>
      <c r="F62" s="1">
        <v>43655</v>
      </c>
      <c r="G62">
        <v>202001</v>
      </c>
      <c r="H62" t="s">
        <v>65</v>
      </c>
      <c r="I62" t="s">
        <v>66</v>
      </c>
      <c r="J62" t="s">
        <v>67</v>
      </c>
      <c r="K62" t="s">
        <v>68</v>
      </c>
      <c r="L62" t="s">
        <v>96</v>
      </c>
      <c r="M62" t="s">
        <v>97</v>
      </c>
      <c r="N62" t="s">
        <v>67</v>
      </c>
      <c r="O62" t="s">
        <v>72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397.64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450</v>
      </c>
      <c r="BJ62">
        <v>802</v>
      </c>
      <c r="BK62">
        <v>802</v>
      </c>
      <c r="BL62" s="5">
        <v>2299.77</v>
      </c>
      <c r="BM62" s="5">
        <v>344.97</v>
      </c>
      <c r="BN62" s="5">
        <v>2644.74</v>
      </c>
      <c r="BO62" s="5">
        <v>2644.74</v>
      </c>
      <c r="BQ62" t="s">
        <v>203</v>
      </c>
      <c r="BR62" t="s">
        <v>292</v>
      </c>
      <c r="BS62" s="1">
        <v>43656</v>
      </c>
      <c r="BT62" s="2">
        <v>0.44097222222222227</v>
      </c>
      <c r="BU62" t="s">
        <v>293</v>
      </c>
      <c r="BV62" t="s">
        <v>86</v>
      </c>
      <c r="BY62">
        <v>4010000</v>
      </c>
      <c r="CA62" t="s">
        <v>294</v>
      </c>
      <c r="CC62" t="s">
        <v>97</v>
      </c>
      <c r="CD62">
        <v>699</v>
      </c>
      <c r="CE62" t="s">
        <v>78</v>
      </c>
      <c r="CF62" s="1">
        <v>43656</v>
      </c>
      <c r="CI62">
        <v>1</v>
      </c>
      <c r="CJ62">
        <v>1</v>
      </c>
      <c r="CK62" t="s">
        <v>79</v>
      </c>
      <c r="CL62" t="s">
        <v>76</v>
      </c>
    </row>
    <row r="63" spans="1:90">
      <c r="A63" t="s">
        <v>62</v>
      </c>
      <c r="B63" t="s">
        <v>63</v>
      </c>
      <c r="C63" t="s">
        <v>64</v>
      </c>
      <c r="E63" t="str">
        <f>"009939030239"</f>
        <v>009939030239</v>
      </c>
      <c r="F63" s="1">
        <v>43654</v>
      </c>
      <c r="G63">
        <v>202001</v>
      </c>
      <c r="H63" t="s">
        <v>65</v>
      </c>
      <c r="I63" t="s">
        <v>66</v>
      </c>
      <c r="J63" t="s">
        <v>205</v>
      </c>
      <c r="K63" t="s">
        <v>68</v>
      </c>
      <c r="L63" t="s">
        <v>131</v>
      </c>
      <c r="M63" t="s">
        <v>132</v>
      </c>
      <c r="N63" t="s">
        <v>67</v>
      </c>
      <c r="O63" t="s">
        <v>72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103.52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70</v>
      </c>
      <c r="BJ63">
        <v>84.5</v>
      </c>
      <c r="BK63">
        <v>85</v>
      </c>
      <c r="BL63" s="5">
        <v>602.4</v>
      </c>
      <c r="BM63" s="5">
        <v>90.36</v>
      </c>
      <c r="BN63" s="5">
        <v>692.76</v>
      </c>
      <c r="BO63" s="5">
        <v>692.76</v>
      </c>
      <c r="BQ63" t="s">
        <v>134</v>
      </c>
      <c r="BR63" t="s">
        <v>74</v>
      </c>
      <c r="BS63" s="1">
        <v>43656</v>
      </c>
      <c r="BT63" s="2">
        <v>0.46875</v>
      </c>
      <c r="BU63" t="s">
        <v>295</v>
      </c>
      <c r="BV63" t="s">
        <v>86</v>
      </c>
      <c r="BY63">
        <v>422400</v>
      </c>
      <c r="CA63" t="s">
        <v>136</v>
      </c>
      <c r="CC63" t="s">
        <v>132</v>
      </c>
      <c r="CD63">
        <v>1150</v>
      </c>
      <c r="CE63" t="s">
        <v>78</v>
      </c>
      <c r="CF63" s="1">
        <v>43656</v>
      </c>
      <c r="CI63">
        <v>0</v>
      </c>
      <c r="CJ63">
        <v>0</v>
      </c>
      <c r="CK63" t="s">
        <v>88</v>
      </c>
      <c r="CL63" t="s">
        <v>76</v>
      </c>
    </row>
    <row r="64" spans="1:90">
      <c r="A64" t="s">
        <v>62</v>
      </c>
      <c r="B64" t="s">
        <v>63</v>
      </c>
      <c r="C64" t="s">
        <v>64</v>
      </c>
      <c r="E64" t="str">
        <f>"009939030238"</f>
        <v>009939030238</v>
      </c>
      <c r="F64" s="1">
        <v>43654</v>
      </c>
      <c r="G64">
        <v>202001</v>
      </c>
      <c r="H64" t="s">
        <v>65</v>
      </c>
      <c r="I64" t="s">
        <v>66</v>
      </c>
      <c r="J64" t="s">
        <v>67</v>
      </c>
      <c r="K64" t="s">
        <v>68</v>
      </c>
      <c r="L64" t="s">
        <v>147</v>
      </c>
      <c r="M64" t="s">
        <v>148</v>
      </c>
      <c r="N64" t="s">
        <v>149</v>
      </c>
      <c r="O64" t="s">
        <v>72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53.52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18</v>
      </c>
      <c r="BJ64">
        <v>42.2</v>
      </c>
      <c r="BK64">
        <v>43</v>
      </c>
      <c r="BL64" s="5">
        <v>313.83999999999997</v>
      </c>
      <c r="BM64" s="5">
        <v>47.08</v>
      </c>
      <c r="BN64" s="5">
        <v>360.92</v>
      </c>
      <c r="BO64" s="5">
        <v>360.92</v>
      </c>
      <c r="BQ64" t="s">
        <v>150</v>
      </c>
      <c r="BR64" t="s">
        <v>74</v>
      </c>
      <c r="BS64" s="1">
        <v>43656</v>
      </c>
      <c r="BT64" s="2">
        <v>0.45833333333333331</v>
      </c>
      <c r="BU64" t="s">
        <v>229</v>
      </c>
      <c r="BV64" t="s">
        <v>76</v>
      </c>
      <c r="BY64">
        <v>211200</v>
      </c>
      <c r="CC64" t="s">
        <v>148</v>
      </c>
      <c r="CD64">
        <v>2745</v>
      </c>
      <c r="CE64" t="s">
        <v>78</v>
      </c>
      <c r="CF64" s="1">
        <v>43657</v>
      </c>
      <c r="CI64">
        <v>1</v>
      </c>
      <c r="CJ64">
        <v>2</v>
      </c>
      <c r="CK64" t="s">
        <v>88</v>
      </c>
      <c r="CL64" t="s">
        <v>76</v>
      </c>
    </row>
    <row r="65" spans="1:90">
      <c r="A65" t="s">
        <v>62</v>
      </c>
      <c r="B65" t="s">
        <v>63</v>
      </c>
      <c r="C65" t="s">
        <v>64</v>
      </c>
      <c r="E65" t="str">
        <f>"009938451687"</f>
        <v>009938451687</v>
      </c>
      <c r="F65" s="1">
        <v>43654</v>
      </c>
      <c r="G65">
        <v>202001</v>
      </c>
      <c r="H65" t="s">
        <v>96</v>
      </c>
      <c r="I65" t="s">
        <v>97</v>
      </c>
      <c r="J65" t="s">
        <v>67</v>
      </c>
      <c r="K65" t="s">
        <v>68</v>
      </c>
      <c r="L65" t="s">
        <v>65</v>
      </c>
      <c r="M65" t="s">
        <v>66</v>
      </c>
      <c r="N65" t="s">
        <v>296</v>
      </c>
      <c r="O65" t="s">
        <v>72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15.52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 s="5">
        <v>94.58</v>
      </c>
      <c r="BM65" s="5">
        <v>14.19</v>
      </c>
      <c r="BN65" s="5">
        <v>108.77</v>
      </c>
      <c r="BO65" s="5">
        <v>108.77</v>
      </c>
      <c r="BQ65" t="s">
        <v>297</v>
      </c>
      <c r="BS65" s="1">
        <v>43655</v>
      </c>
      <c r="BT65" s="2">
        <v>0.3611111111111111</v>
      </c>
      <c r="BU65" t="s">
        <v>298</v>
      </c>
      <c r="BV65" t="s">
        <v>86</v>
      </c>
      <c r="BY65">
        <v>1200</v>
      </c>
      <c r="CC65" t="s">
        <v>66</v>
      </c>
      <c r="CD65">
        <v>2146</v>
      </c>
      <c r="CE65">
        <v>1</v>
      </c>
      <c r="CF65" s="1">
        <v>43657</v>
      </c>
      <c r="CI65">
        <v>1</v>
      </c>
      <c r="CJ65">
        <v>1</v>
      </c>
      <c r="CK65" t="s">
        <v>95</v>
      </c>
      <c r="CL65" t="s">
        <v>76</v>
      </c>
    </row>
    <row r="66" spans="1:90">
      <c r="A66" t="s">
        <v>62</v>
      </c>
      <c r="B66" t="s">
        <v>63</v>
      </c>
      <c r="C66" t="s">
        <v>64</v>
      </c>
      <c r="E66" t="str">
        <f>"009939030240"</f>
        <v>009939030240</v>
      </c>
      <c r="F66" s="1">
        <v>43654</v>
      </c>
      <c r="G66">
        <v>202001</v>
      </c>
      <c r="H66" t="s">
        <v>65</v>
      </c>
      <c r="I66" t="s">
        <v>66</v>
      </c>
      <c r="J66" t="s">
        <v>67</v>
      </c>
      <c r="K66" t="s">
        <v>68</v>
      </c>
      <c r="L66" t="s">
        <v>141</v>
      </c>
      <c r="M66" t="s">
        <v>99</v>
      </c>
      <c r="N66" t="s">
        <v>142</v>
      </c>
      <c r="O66" t="s">
        <v>72</v>
      </c>
      <c r="P66" t="str">
        <f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20.18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9.1</v>
      </c>
      <c r="BJ66">
        <v>14.8</v>
      </c>
      <c r="BK66">
        <v>15</v>
      </c>
      <c r="BL66" s="5">
        <v>121.46</v>
      </c>
      <c r="BM66" s="5">
        <v>18.22</v>
      </c>
      <c r="BN66" s="5">
        <v>139.68</v>
      </c>
      <c r="BO66" s="5">
        <v>139.68</v>
      </c>
      <c r="BQ66" t="s">
        <v>299</v>
      </c>
      <c r="BR66" t="s">
        <v>74</v>
      </c>
      <c r="BS66" s="1">
        <v>43657</v>
      </c>
      <c r="BT66" s="2">
        <v>0.35416666666666669</v>
      </c>
      <c r="BU66" t="s">
        <v>179</v>
      </c>
      <c r="BV66" t="s">
        <v>76</v>
      </c>
      <c r="BY66">
        <v>73990.8</v>
      </c>
      <c r="CC66" t="s">
        <v>99</v>
      </c>
      <c r="CD66">
        <v>6529</v>
      </c>
      <c r="CE66" t="s">
        <v>78</v>
      </c>
      <c r="CF66" s="1">
        <v>43661</v>
      </c>
      <c r="CI66">
        <v>0</v>
      </c>
      <c r="CJ66">
        <v>0</v>
      </c>
      <c r="CK66" t="s">
        <v>146</v>
      </c>
      <c r="CL66" t="s">
        <v>76</v>
      </c>
    </row>
    <row r="67" spans="1:90">
      <c r="A67" t="s">
        <v>62</v>
      </c>
      <c r="B67" t="s">
        <v>63</v>
      </c>
      <c r="C67" t="s">
        <v>64</v>
      </c>
      <c r="E67" t="str">
        <f>"009938891318"</f>
        <v>009938891318</v>
      </c>
      <c r="F67" s="1">
        <v>43654</v>
      </c>
      <c r="G67">
        <v>202001</v>
      </c>
      <c r="H67" t="s">
        <v>65</v>
      </c>
      <c r="I67" t="s">
        <v>66</v>
      </c>
      <c r="J67" t="s">
        <v>67</v>
      </c>
      <c r="K67" t="s">
        <v>68</v>
      </c>
      <c r="L67" t="s">
        <v>152</v>
      </c>
      <c r="M67" t="s">
        <v>153</v>
      </c>
      <c r="N67" t="s">
        <v>67</v>
      </c>
      <c r="O67" t="s">
        <v>72</v>
      </c>
      <c r="P67" t="str">
        <f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103.52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61</v>
      </c>
      <c r="BJ67">
        <v>84.5</v>
      </c>
      <c r="BK67">
        <v>85</v>
      </c>
      <c r="BL67" s="5">
        <v>602.4</v>
      </c>
      <c r="BM67" s="5">
        <v>90.36</v>
      </c>
      <c r="BN67" s="5">
        <v>692.76</v>
      </c>
      <c r="BO67" s="5">
        <v>692.76</v>
      </c>
      <c r="BQ67" t="s">
        <v>231</v>
      </c>
      <c r="BR67" t="s">
        <v>84</v>
      </c>
      <c r="BS67" s="1">
        <v>43655</v>
      </c>
      <c r="BT67" s="2">
        <v>0.54583333333333328</v>
      </c>
      <c r="BU67" t="s">
        <v>232</v>
      </c>
      <c r="BV67" t="s">
        <v>86</v>
      </c>
      <c r="BY67">
        <v>422400</v>
      </c>
      <c r="CA67" t="s">
        <v>157</v>
      </c>
      <c r="CC67" t="s">
        <v>153</v>
      </c>
      <c r="CD67">
        <v>850</v>
      </c>
      <c r="CE67" t="s">
        <v>78</v>
      </c>
      <c r="CF67" s="1">
        <v>43658</v>
      </c>
      <c r="CI67">
        <v>1</v>
      </c>
      <c r="CJ67">
        <v>1</v>
      </c>
      <c r="CK67" t="s">
        <v>88</v>
      </c>
      <c r="CL67" t="s">
        <v>76</v>
      </c>
    </row>
    <row r="68" spans="1:90">
      <c r="A68" t="s">
        <v>62</v>
      </c>
      <c r="B68" t="s">
        <v>63</v>
      </c>
      <c r="C68" t="s">
        <v>64</v>
      </c>
      <c r="E68" t="str">
        <f>"009938451688"</f>
        <v>009938451688</v>
      </c>
      <c r="F68" s="1">
        <v>43654</v>
      </c>
      <c r="G68">
        <v>202001</v>
      </c>
      <c r="H68" t="s">
        <v>96</v>
      </c>
      <c r="I68" t="s">
        <v>97</v>
      </c>
      <c r="J68" t="s">
        <v>67</v>
      </c>
      <c r="K68" t="s">
        <v>68</v>
      </c>
      <c r="L68" t="s">
        <v>65</v>
      </c>
      <c r="M68" t="s">
        <v>66</v>
      </c>
      <c r="N68" t="s">
        <v>82</v>
      </c>
      <c r="O68" t="s">
        <v>72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15.52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 s="5">
        <v>94.58</v>
      </c>
      <c r="BM68" s="5">
        <v>14.19</v>
      </c>
      <c r="BN68" s="5">
        <v>108.77</v>
      </c>
      <c r="BO68" s="5">
        <v>108.77</v>
      </c>
      <c r="BQ68" t="s">
        <v>300</v>
      </c>
      <c r="BS68" s="1">
        <v>43655</v>
      </c>
      <c r="BT68" s="2">
        <v>0.4069444444444445</v>
      </c>
      <c r="BU68" t="s">
        <v>301</v>
      </c>
      <c r="BV68" t="s">
        <v>86</v>
      </c>
      <c r="BY68">
        <v>1200</v>
      </c>
      <c r="CC68" t="s">
        <v>66</v>
      </c>
      <c r="CD68">
        <v>2146</v>
      </c>
      <c r="CE68">
        <v>1</v>
      </c>
      <c r="CF68" s="1">
        <v>43657</v>
      </c>
      <c r="CI68">
        <v>1</v>
      </c>
      <c r="CJ68">
        <v>1</v>
      </c>
      <c r="CK68" t="s">
        <v>95</v>
      </c>
      <c r="CL68" t="s">
        <v>76</v>
      </c>
    </row>
    <row r="69" spans="1:90">
      <c r="A69" t="s">
        <v>180</v>
      </c>
      <c r="B69" t="s">
        <v>63</v>
      </c>
      <c r="C69" t="s">
        <v>64</v>
      </c>
      <c r="E69" t="str">
        <f>"009938879117"</f>
        <v>009938879117</v>
      </c>
      <c r="F69" s="1">
        <v>43656</v>
      </c>
      <c r="G69">
        <v>202001</v>
      </c>
      <c r="H69" t="s">
        <v>128</v>
      </c>
      <c r="I69" t="s">
        <v>129</v>
      </c>
      <c r="J69" t="s">
        <v>67</v>
      </c>
      <c r="K69" t="s">
        <v>68</v>
      </c>
      <c r="L69" t="s">
        <v>103</v>
      </c>
      <c r="M69" t="s">
        <v>104</v>
      </c>
      <c r="N69" t="s">
        <v>302</v>
      </c>
      <c r="O69" t="s">
        <v>72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34.31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24.6</v>
      </c>
      <c r="BJ69">
        <v>40.1</v>
      </c>
      <c r="BK69">
        <v>41</v>
      </c>
      <c r="BL69" s="5">
        <v>203</v>
      </c>
      <c r="BM69" s="5">
        <v>30.45</v>
      </c>
      <c r="BN69" s="5">
        <v>233.45</v>
      </c>
      <c r="BO69" s="5">
        <v>233.45</v>
      </c>
      <c r="BQ69" t="s">
        <v>303</v>
      </c>
      <c r="BR69" t="s">
        <v>304</v>
      </c>
      <c r="BS69" s="1">
        <v>43658</v>
      </c>
      <c r="BT69" s="2">
        <v>0.5</v>
      </c>
      <c r="BU69" t="s">
        <v>167</v>
      </c>
      <c r="BV69" t="s">
        <v>86</v>
      </c>
      <c r="BY69">
        <v>207820.79999999999</v>
      </c>
      <c r="CC69" t="s">
        <v>104</v>
      </c>
      <c r="CD69">
        <v>2000</v>
      </c>
      <c r="CE69" t="s">
        <v>78</v>
      </c>
      <c r="CF69" s="1">
        <v>43663</v>
      </c>
      <c r="CI69">
        <v>2</v>
      </c>
      <c r="CJ69">
        <v>2</v>
      </c>
      <c r="CK69" t="s">
        <v>262</v>
      </c>
      <c r="CL69" t="s">
        <v>76</v>
      </c>
    </row>
    <row r="70" spans="1:90">
      <c r="A70" t="s">
        <v>62</v>
      </c>
      <c r="B70" t="s">
        <v>63</v>
      </c>
      <c r="C70" t="s">
        <v>64</v>
      </c>
      <c r="E70" t="str">
        <f>"009938908427"</f>
        <v>009938908427</v>
      </c>
      <c r="F70" s="1">
        <v>43656</v>
      </c>
      <c r="G70">
        <v>202001</v>
      </c>
      <c r="H70" t="s">
        <v>65</v>
      </c>
      <c r="I70" t="s">
        <v>66</v>
      </c>
      <c r="J70" t="s">
        <v>67</v>
      </c>
      <c r="K70" t="s">
        <v>68</v>
      </c>
      <c r="L70" t="s">
        <v>206</v>
      </c>
      <c r="M70" t="s">
        <v>207</v>
      </c>
      <c r="N70" t="s">
        <v>67</v>
      </c>
      <c r="O70" t="s">
        <v>72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61.85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3</v>
      </c>
      <c r="BI70">
        <v>38.299999999999997</v>
      </c>
      <c r="BJ70">
        <v>50.1</v>
      </c>
      <c r="BK70">
        <v>50</v>
      </c>
      <c r="BL70" s="5">
        <v>361.93</v>
      </c>
      <c r="BM70" s="5">
        <v>54.29</v>
      </c>
      <c r="BN70" s="5">
        <v>416.22</v>
      </c>
      <c r="BO70" s="5">
        <v>416.22</v>
      </c>
      <c r="BQ70" t="s">
        <v>208</v>
      </c>
      <c r="BR70" t="s">
        <v>84</v>
      </c>
      <c r="BS70" s="1">
        <v>43657</v>
      </c>
      <c r="BT70" s="2">
        <v>0.34930555555555554</v>
      </c>
      <c r="BU70" t="s">
        <v>210</v>
      </c>
      <c r="BV70" t="s">
        <v>86</v>
      </c>
      <c r="BY70">
        <v>250261.94</v>
      </c>
      <c r="CA70" t="s">
        <v>211</v>
      </c>
      <c r="CC70" t="s">
        <v>207</v>
      </c>
      <c r="CD70">
        <v>450</v>
      </c>
      <c r="CE70" t="s">
        <v>78</v>
      </c>
      <c r="CF70" s="1">
        <v>43657</v>
      </c>
      <c r="CI70">
        <v>0</v>
      </c>
      <c r="CJ70">
        <v>0</v>
      </c>
      <c r="CK70" t="s">
        <v>88</v>
      </c>
      <c r="CL70" t="s">
        <v>76</v>
      </c>
    </row>
    <row r="71" spans="1:90">
      <c r="A71" t="s">
        <v>62</v>
      </c>
      <c r="B71" t="s">
        <v>63</v>
      </c>
      <c r="C71" t="s">
        <v>64</v>
      </c>
      <c r="E71" t="str">
        <f>"009938891150"</f>
        <v>009938891150</v>
      </c>
      <c r="F71" s="1">
        <v>43656</v>
      </c>
      <c r="G71">
        <v>202001</v>
      </c>
      <c r="H71" t="s">
        <v>65</v>
      </c>
      <c r="I71" t="s">
        <v>66</v>
      </c>
      <c r="J71" t="s">
        <v>67</v>
      </c>
      <c r="K71" t="s">
        <v>68</v>
      </c>
      <c r="L71" t="s">
        <v>206</v>
      </c>
      <c r="M71" t="s">
        <v>207</v>
      </c>
      <c r="N71" t="s">
        <v>67</v>
      </c>
      <c r="O71" t="s">
        <v>72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61.85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43</v>
      </c>
      <c r="BJ71">
        <v>49.2</v>
      </c>
      <c r="BK71">
        <v>50</v>
      </c>
      <c r="BL71" s="5">
        <v>361.93</v>
      </c>
      <c r="BM71" s="5">
        <v>54.29</v>
      </c>
      <c r="BN71" s="5">
        <v>416.22</v>
      </c>
      <c r="BO71" s="5">
        <v>416.22</v>
      </c>
      <c r="BQ71" t="s">
        <v>254</v>
      </c>
      <c r="BR71" t="s">
        <v>84</v>
      </c>
      <c r="BS71" s="1">
        <v>43657</v>
      </c>
      <c r="BT71" s="2">
        <v>0.34166666666666662</v>
      </c>
      <c r="BU71" t="s">
        <v>305</v>
      </c>
      <c r="BV71" t="s">
        <v>86</v>
      </c>
      <c r="BY71">
        <v>246085</v>
      </c>
      <c r="CA71" t="s">
        <v>211</v>
      </c>
      <c r="CC71" t="s">
        <v>207</v>
      </c>
      <c r="CD71">
        <v>450</v>
      </c>
      <c r="CE71" t="s">
        <v>78</v>
      </c>
      <c r="CF71" s="1">
        <v>43657</v>
      </c>
      <c r="CI71">
        <v>0</v>
      </c>
      <c r="CJ71">
        <v>0</v>
      </c>
      <c r="CK71" t="s">
        <v>88</v>
      </c>
      <c r="CL71" t="s">
        <v>76</v>
      </c>
    </row>
    <row r="72" spans="1:90">
      <c r="A72" t="s">
        <v>62</v>
      </c>
      <c r="B72" t="s">
        <v>63</v>
      </c>
      <c r="C72" t="s">
        <v>64</v>
      </c>
      <c r="E72" t="str">
        <f>"009937965153"</f>
        <v>009937965153</v>
      </c>
      <c r="F72" s="1">
        <v>43656</v>
      </c>
      <c r="G72">
        <v>202001</v>
      </c>
      <c r="H72" t="s">
        <v>65</v>
      </c>
      <c r="I72" t="s">
        <v>66</v>
      </c>
      <c r="J72" t="s">
        <v>67</v>
      </c>
      <c r="K72" t="s">
        <v>68</v>
      </c>
      <c r="L72" t="s">
        <v>128</v>
      </c>
      <c r="M72" t="s">
        <v>129</v>
      </c>
      <c r="N72" t="s">
        <v>67</v>
      </c>
      <c r="O72" t="s">
        <v>72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32.090000000000003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17.5</v>
      </c>
      <c r="BJ72">
        <v>24.4</v>
      </c>
      <c r="BK72">
        <v>25</v>
      </c>
      <c r="BL72" s="5">
        <v>190.17</v>
      </c>
      <c r="BM72" s="5">
        <v>28.53</v>
      </c>
      <c r="BN72" s="5">
        <v>218.7</v>
      </c>
      <c r="BO72" s="5">
        <v>218.7</v>
      </c>
      <c r="BQ72" t="s">
        <v>130</v>
      </c>
      <c r="BR72" t="s">
        <v>84</v>
      </c>
      <c r="BS72" s="1">
        <v>43658</v>
      </c>
      <c r="BT72" s="2">
        <v>0.68611111111111101</v>
      </c>
      <c r="BU72" t="s">
        <v>306</v>
      </c>
      <c r="BV72" t="s">
        <v>86</v>
      </c>
      <c r="BY72">
        <v>121756.5</v>
      </c>
      <c r="CC72" t="s">
        <v>129</v>
      </c>
      <c r="CD72">
        <v>5320</v>
      </c>
      <c r="CE72" t="s">
        <v>78</v>
      </c>
      <c r="CF72" s="1">
        <v>43662</v>
      </c>
      <c r="CI72">
        <v>4</v>
      </c>
      <c r="CJ72">
        <v>2</v>
      </c>
      <c r="CK72" t="s">
        <v>88</v>
      </c>
      <c r="CL72" t="s">
        <v>76</v>
      </c>
    </row>
    <row r="73" spans="1:90">
      <c r="A73" t="s">
        <v>62</v>
      </c>
      <c r="B73" t="s">
        <v>63</v>
      </c>
      <c r="C73" t="s">
        <v>64</v>
      </c>
      <c r="E73" t="str">
        <f>"009935895308"</f>
        <v>009935895308</v>
      </c>
      <c r="F73" s="1">
        <v>43656</v>
      </c>
      <c r="G73">
        <v>202001</v>
      </c>
      <c r="H73" t="s">
        <v>65</v>
      </c>
      <c r="I73" t="s">
        <v>66</v>
      </c>
      <c r="J73" t="s">
        <v>67</v>
      </c>
      <c r="K73" t="s">
        <v>68</v>
      </c>
      <c r="L73" t="s">
        <v>216</v>
      </c>
      <c r="M73" t="s">
        <v>217</v>
      </c>
      <c r="N73" t="s">
        <v>67</v>
      </c>
      <c r="O73" t="s">
        <v>72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68.349999999999994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3</v>
      </c>
      <c r="BI73">
        <v>108</v>
      </c>
      <c r="BJ73">
        <v>101.9</v>
      </c>
      <c r="BK73">
        <v>108</v>
      </c>
      <c r="BL73" s="5">
        <v>399.44</v>
      </c>
      <c r="BM73" s="5">
        <v>59.92</v>
      </c>
      <c r="BN73" s="5">
        <v>459.36</v>
      </c>
      <c r="BO73" s="5">
        <v>459.36</v>
      </c>
      <c r="BQ73" t="s">
        <v>219</v>
      </c>
      <c r="BR73" t="s">
        <v>144</v>
      </c>
      <c r="BS73" s="1">
        <v>43657</v>
      </c>
      <c r="BT73" s="2">
        <v>0.3347222222222222</v>
      </c>
      <c r="BU73" t="s">
        <v>220</v>
      </c>
      <c r="BV73" t="s">
        <v>86</v>
      </c>
      <c r="BY73">
        <v>509352.6</v>
      </c>
      <c r="CA73" t="s">
        <v>221</v>
      </c>
      <c r="CC73" t="s">
        <v>217</v>
      </c>
      <c r="CD73">
        <v>1034</v>
      </c>
      <c r="CE73" t="s">
        <v>78</v>
      </c>
      <c r="CF73" s="1">
        <v>43657</v>
      </c>
      <c r="CI73">
        <v>1</v>
      </c>
      <c r="CJ73">
        <v>1</v>
      </c>
      <c r="CK73" t="s">
        <v>95</v>
      </c>
      <c r="CL73" t="s">
        <v>76</v>
      </c>
    </row>
    <row r="74" spans="1:90">
      <c r="A74" t="s">
        <v>62</v>
      </c>
      <c r="B74" t="s">
        <v>63</v>
      </c>
      <c r="C74" t="s">
        <v>64</v>
      </c>
      <c r="E74" t="str">
        <f>"009938565355"</f>
        <v>009938565355</v>
      </c>
      <c r="F74" s="1">
        <v>43656</v>
      </c>
      <c r="G74">
        <v>202001</v>
      </c>
      <c r="H74" t="s">
        <v>307</v>
      </c>
      <c r="I74" t="s">
        <v>70</v>
      </c>
      <c r="J74" t="s">
        <v>82</v>
      </c>
      <c r="K74" t="s">
        <v>68</v>
      </c>
      <c r="L74" t="s">
        <v>65</v>
      </c>
      <c r="M74" t="s">
        <v>66</v>
      </c>
      <c r="N74" t="s">
        <v>308</v>
      </c>
      <c r="O74" t="s">
        <v>72</v>
      </c>
      <c r="P74" t="str">
        <f>"....                          "</f>
        <v xml:space="preserve">....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48.47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72.599999999999994</v>
      </c>
      <c r="BJ74">
        <v>70.400000000000006</v>
      </c>
      <c r="BK74">
        <v>73</v>
      </c>
      <c r="BL74" s="5">
        <v>284.70999999999998</v>
      </c>
      <c r="BM74" s="5">
        <v>42.71</v>
      </c>
      <c r="BN74" s="5">
        <v>327.42</v>
      </c>
      <c r="BO74" s="5">
        <v>327.42</v>
      </c>
      <c r="BQ74" t="s">
        <v>309</v>
      </c>
      <c r="BR74" t="s">
        <v>73</v>
      </c>
      <c r="BS74" s="1">
        <v>43657</v>
      </c>
      <c r="BT74" s="2">
        <v>0.4513888888888889</v>
      </c>
      <c r="BU74" t="s">
        <v>99</v>
      </c>
      <c r="BV74" t="s">
        <v>86</v>
      </c>
      <c r="BY74">
        <v>352088.45</v>
      </c>
      <c r="CC74" t="s">
        <v>66</v>
      </c>
      <c r="CD74">
        <v>2146</v>
      </c>
      <c r="CE74" t="s">
        <v>78</v>
      </c>
      <c r="CF74" s="1">
        <v>43658</v>
      </c>
      <c r="CI74">
        <v>1</v>
      </c>
      <c r="CJ74">
        <v>1</v>
      </c>
      <c r="CK74" t="s">
        <v>95</v>
      </c>
      <c r="CL74" t="s">
        <v>76</v>
      </c>
    </row>
    <row r="75" spans="1:90">
      <c r="A75" t="s">
        <v>62</v>
      </c>
      <c r="B75" t="s">
        <v>63</v>
      </c>
      <c r="C75" t="s">
        <v>64</v>
      </c>
      <c r="E75" t="str">
        <f>"009938515198"</f>
        <v>009938515198</v>
      </c>
      <c r="F75" s="1">
        <v>43648</v>
      </c>
      <c r="G75">
        <v>202001</v>
      </c>
      <c r="H75" t="s">
        <v>65</v>
      </c>
      <c r="I75" t="s">
        <v>66</v>
      </c>
      <c r="J75" t="s">
        <v>67</v>
      </c>
      <c r="K75" t="s">
        <v>68</v>
      </c>
      <c r="L75" t="s">
        <v>116</v>
      </c>
      <c r="M75" t="s">
        <v>117</v>
      </c>
      <c r="N75" t="s">
        <v>67</v>
      </c>
      <c r="O75" t="s">
        <v>72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38.799999999999997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61.7</v>
      </c>
      <c r="BJ75">
        <v>58.7</v>
      </c>
      <c r="BK75">
        <v>62</v>
      </c>
      <c r="BL75" s="5">
        <v>209.33</v>
      </c>
      <c r="BM75" s="5">
        <v>31.4</v>
      </c>
      <c r="BN75" s="5">
        <v>240.73</v>
      </c>
      <c r="BO75" s="5">
        <v>240.73</v>
      </c>
      <c r="BQ75" t="s">
        <v>185</v>
      </c>
      <c r="BS75" s="1">
        <v>43649</v>
      </c>
      <c r="BT75" s="2">
        <v>0.53749999999999998</v>
      </c>
      <c r="BU75" t="s">
        <v>310</v>
      </c>
      <c r="BV75" t="s">
        <v>86</v>
      </c>
      <c r="BY75">
        <v>293507.94</v>
      </c>
      <c r="CA75" t="s">
        <v>290</v>
      </c>
      <c r="CC75" t="s">
        <v>117</v>
      </c>
      <c r="CD75">
        <v>4091</v>
      </c>
      <c r="CE75" t="s">
        <v>78</v>
      </c>
      <c r="CF75" s="1">
        <v>43649</v>
      </c>
      <c r="CI75">
        <v>1</v>
      </c>
      <c r="CJ75">
        <v>1</v>
      </c>
      <c r="CK75" t="s">
        <v>291</v>
      </c>
      <c r="CL75" t="s">
        <v>76</v>
      </c>
    </row>
    <row r="76" spans="1:90">
      <c r="A76" t="s">
        <v>62</v>
      </c>
      <c r="B76" t="s">
        <v>63</v>
      </c>
      <c r="C76" t="s">
        <v>64</v>
      </c>
      <c r="E76" t="str">
        <f>"009938681357"</f>
        <v>009938681357</v>
      </c>
      <c r="F76" s="1">
        <v>43649</v>
      </c>
      <c r="G76">
        <v>202001</v>
      </c>
      <c r="H76" t="s">
        <v>65</v>
      </c>
      <c r="I76" t="s">
        <v>66</v>
      </c>
      <c r="J76" t="s">
        <v>67</v>
      </c>
      <c r="K76" t="s">
        <v>68</v>
      </c>
      <c r="L76" t="s">
        <v>206</v>
      </c>
      <c r="M76" t="s">
        <v>207</v>
      </c>
      <c r="N76" t="s">
        <v>67</v>
      </c>
      <c r="O76" t="s">
        <v>72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51.13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31</v>
      </c>
      <c r="BJ76">
        <v>40.700000000000003</v>
      </c>
      <c r="BK76">
        <v>41</v>
      </c>
      <c r="BL76" s="5">
        <v>300.08999999999997</v>
      </c>
      <c r="BM76" s="5">
        <v>45.01</v>
      </c>
      <c r="BN76" s="5">
        <v>345.1</v>
      </c>
      <c r="BO76" s="5">
        <v>345.1</v>
      </c>
      <c r="BQ76" t="s">
        <v>311</v>
      </c>
      <c r="BR76" t="s">
        <v>84</v>
      </c>
      <c r="BS76" s="1">
        <v>43650</v>
      </c>
      <c r="BT76" s="2">
        <v>0.34097222222222223</v>
      </c>
      <c r="BU76" t="s">
        <v>312</v>
      </c>
      <c r="BV76" t="s">
        <v>86</v>
      </c>
      <c r="BY76">
        <v>203680</v>
      </c>
      <c r="CA76" t="s">
        <v>313</v>
      </c>
      <c r="CC76" t="s">
        <v>207</v>
      </c>
      <c r="CD76">
        <v>450</v>
      </c>
      <c r="CE76" t="s">
        <v>78</v>
      </c>
      <c r="CF76" s="1">
        <v>43650</v>
      </c>
      <c r="CI76">
        <v>0</v>
      </c>
      <c r="CJ76">
        <v>0</v>
      </c>
      <c r="CK76" t="s">
        <v>88</v>
      </c>
      <c r="CL76" t="s">
        <v>76</v>
      </c>
    </row>
    <row r="77" spans="1:90">
      <c r="A77" t="s">
        <v>62</v>
      </c>
      <c r="B77" t="s">
        <v>63</v>
      </c>
      <c r="C77" t="s">
        <v>64</v>
      </c>
      <c r="E77" t="str">
        <f>"009935895306"</f>
        <v>009935895306</v>
      </c>
      <c r="F77" s="1">
        <v>43650</v>
      </c>
      <c r="G77">
        <v>202001</v>
      </c>
      <c r="H77" t="s">
        <v>65</v>
      </c>
      <c r="I77" t="s">
        <v>66</v>
      </c>
      <c r="J77" t="s">
        <v>67</v>
      </c>
      <c r="K77" t="s">
        <v>68</v>
      </c>
      <c r="L77" t="s">
        <v>216</v>
      </c>
      <c r="M77" t="s">
        <v>217</v>
      </c>
      <c r="N77" t="s">
        <v>314</v>
      </c>
      <c r="O77" t="s">
        <v>72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39.380000000000003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43.7</v>
      </c>
      <c r="BJ77">
        <v>56.8</v>
      </c>
      <c r="BK77">
        <v>57</v>
      </c>
      <c r="BL77" s="5">
        <v>232.26</v>
      </c>
      <c r="BM77" s="5">
        <v>34.840000000000003</v>
      </c>
      <c r="BN77" s="5">
        <v>267.10000000000002</v>
      </c>
      <c r="BO77" s="5">
        <v>267.10000000000002</v>
      </c>
      <c r="BQ77" t="s">
        <v>219</v>
      </c>
      <c r="BR77" t="s">
        <v>144</v>
      </c>
      <c r="BS77" s="1">
        <v>43651</v>
      </c>
      <c r="BT77" s="2">
        <v>0.33402777777777781</v>
      </c>
      <c r="BU77" t="s">
        <v>220</v>
      </c>
      <c r="BV77" t="s">
        <v>86</v>
      </c>
      <c r="BY77">
        <v>284228.84000000003</v>
      </c>
      <c r="CA77" t="s">
        <v>221</v>
      </c>
      <c r="CC77" t="s">
        <v>217</v>
      </c>
      <c r="CD77">
        <v>1034</v>
      </c>
      <c r="CE77" t="s">
        <v>78</v>
      </c>
      <c r="CF77" s="1">
        <v>43654</v>
      </c>
      <c r="CI77">
        <v>1</v>
      </c>
      <c r="CJ77">
        <v>1</v>
      </c>
      <c r="CK77" t="s">
        <v>95</v>
      </c>
      <c r="CL77" t="s">
        <v>76</v>
      </c>
    </row>
    <row r="78" spans="1:90">
      <c r="A78" t="s">
        <v>62</v>
      </c>
      <c r="B78" t="s">
        <v>63</v>
      </c>
      <c r="C78" t="s">
        <v>64</v>
      </c>
      <c r="E78" t="str">
        <f>"009935987737"</f>
        <v>009935987737</v>
      </c>
      <c r="F78" s="1">
        <v>43649</v>
      </c>
      <c r="G78">
        <v>202001</v>
      </c>
      <c r="H78" t="s">
        <v>65</v>
      </c>
      <c r="I78" t="s">
        <v>66</v>
      </c>
      <c r="J78" t="s">
        <v>67</v>
      </c>
      <c r="K78" t="s">
        <v>68</v>
      </c>
      <c r="L78" t="s">
        <v>247</v>
      </c>
      <c r="M78" t="s">
        <v>138</v>
      </c>
      <c r="N78" t="s">
        <v>196</v>
      </c>
      <c r="O78" t="s">
        <v>72</v>
      </c>
      <c r="P78" t="str">
        <f>"EFTPOS                        "</f>
        <v xml:space="preserve">EFTPOS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34.35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23</v>
      </c>
      <c r="BJ78">
        <v>38.700000000000003</v>
      </c>
      <c r="BK78">
        <v>39</v>
      </c>
      <c r="BL78" s="5">
        <v>203.25</v>
      </c>
      <c r="BM78" s="5">
        <v>30.49</v>
      </c>
      <c r="BN78" s="5">
        <v>233.74</v>
      </c>
      <c r="BO78" s="5">
        <v>233.74</v>
      </c>
      <c r="BQ78" t="s">
        <v>140</v>
      </c>
      <c r="BR78" t="s">
        <v>315</v>
      </c>
      <c r="BS78" s="1">
        <v>43651</v>
      </c>
      <c r="BT78" s="2">
        <v>0.47430555555555554</v>
      </c>
      <c r="BU78" t="s">
        <v>316</v>
      </c>
      <c r="BV78" t="s">
        <v>86</v>
      </c>
      <c r="BY78">
        <v>193614</v>
      </c>
      <c r="CA78" t="s">
        <v>288</v>
      </c>
      <c r="CC78" t="s">
        <v>138</v>
      </c>
      <c r="CD78">
        <v>7700</v>
      </c>
      <c r="CE78" t="s">
        <v>78</v>
      </c>
      <c r="CF78" s="1">
        <v>43654</v>
      </c>
      <c r="CI78">
        <v>2</v>
      </c>
      <c r="CJ78">
        <v>2</v>
      </c>
      <c r="CK78" t="s">
        <v>115</v>
      </c>
      <c r="CL78" t="s">
        <v>76</v>
      </c>
    </row>
    <row r="79" spans="1:90">
      <c r="A79" t="s">
        <v>62</v>
      </c>
      <c r="B79" t="s">
        <v>63</v>
      </c>
      <c r="C79" t="s">
        <v>64</v>
      </c>
      <c r="E79" t="str">
        <f>"089901558661"</f>
        <v>089901558661</v>
      </c>
      <c r="F79" s="1">
        <v>43654</v>
      </c>
      <c r="G79">
        <v>202001</v>
      </c>
      <c r="H79" t="s">
        <v>277</v>
      </c>
      <c r="I79" t="s">
        <v>278</v>
      </c>
      <c r="J79" t="s">
        <v>67</v>
      </c>
      <c r="K79" t="s">
        <v>68</v>
      </c>
      <c r="L79" t="s">
        <v>65</v>
      </c>
      <c r="M79" t="s">
        <v>66</v>
      </c>
      <c r="N79" t="s">
        <v>67</v>
      </c>
      <c r="O79" t="s">
        <v>72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82.55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3</v>
      </c>
      <c r="BI79">
        <v>28</v>
      </c>
      <c r="BJ79">
        <v>132.4</v>
      </c>
      <c r="BK79">
        <v>133</v>
      </c>
      <c r="BL79" s="5">
        <v>481.39</v>
      </c>
      <c r="BM79" s="5">
        <v>72.209999999999994</v>
      </c>
      <c r="BN79" s="5">
        <v>553.6</v>
      </c>
      <c r="BO79" s="5">
        <v>553.6</v>
      </c>
      <c r="BQ79" t="s">
        <v>317</v>
      </c>
      <c r="BR79" t="s">
        <v>246</v>
      </c>
      <c r="BS79" s="1">
        <v>43655</v>
      </c>
      <c r="BT79" s="2">
        <v>0.4548611111111111</v>
      </c>
      <c r="BU79" t="s">
        <v>100</v>
      </c>
      <c r="BV79" t="s">
        <v>86</v>
      </c>
      <c r="BY79">
        <v>662120</v>
      </c>
      <c r="CC79" t="s">
        <v>66</v>
      </c>
      <c r="CD79">
        <v>2146</v>
      </c>
      <c r="CE79" t="s">
        <v>318</v>
      </c>
      <c r="CF79" s="1">
        <v>43656</v>
      </c>
      <c r="CI79">
        <v>1</v>
      </c>
      <c r="CJ79">
        <v>1</v>
      </c>
      <c r="CK79" t="s">
        <v>95</v>
      </c>
      <c r="CL79" t="s">
        <v>76</v>
      </c>
    </row>
    <row r="80" spans="1:90">
      <c r="A80" t="s">
        <v>180</v>
      </c>
      <c r="B80" t="s">
        <v>63</v>
      </c>
      <c r="C80" t="s">
        <v>64</v>
      </c>
      <c r="E80" t="str">
        <f>"009938879116"</f>
        <v>009938879116</v>
      </c>
      <c r="F80" s="1">
        <v>43650</v>
      </c>
      <c r="G80">
        <v>202001</v>
      </c>
      <c r="H80" t="s">
        <v>128</v>
      </c>
      <c r="I80" t="s">
        <v>129</v>
      </c>
      <c r="J80" t="s">
        <v>67</v>
      </c>
      <c r="K80" t="s">
        <v>68</v>
      </c>
      <c r="L80" t="s">
        <v>103</v>
      </c>
      <c r="M80" t="s">
        <v>104</v>
      </c>
      <c r="N80" t="s">
        <v>67</v>
      </c>
      <c r="O80" t="s">
        <v>72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27.58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19.399999999999999</v>
      </c>
      <c r="BJ80">
        <v>30.1</v>
      </c>
      <c r="BK80">
        <v>31</v>
      </c>
      <c r="BL80" s="5">
        <v>164.17</v>
      </c>
      <c r="BM80" s="5">
        <v>24.63</v>
      </c>
      <c r="BN80" s="5">
        <v>188.8</v>
      </c>
      <c r="BO80" s="5">
        <v>188.8</v>
      </c>
      <c r="BQ80" t="s">
        <v>319</v>
      </c>
      <c r="BR80" t="s">
        <v>304</v>
      </c>
      <c r="BS80" s="1">
        <v>43654</v>
      </c>
      <c r="BT80" s="2">
        <v>0.38611111111111113</v>
      </c>
      <c r="BU80" t="s">
        <v>175</v>
      </c>
      <c r="BV80" t="s">
        <v>86</v>
      </c>
      <c r="BY80">
        <v>150627.76999999999</v>
      </c>
      <c r="CC80" t="s">
        <v>104</v>
      </c>
      <c r="CD80">
        <v>2000</v>
      </c>
      <c r="CE80" t="s">
        <v>78</v>
      </c>
      <c r="CF80" s="1">
        <v>43655</v>
      </c>
      <c r="CI80">
        <v>2</v>
      </c>
      <c r="CJ80">
        <v>2</v>
      </c>
      <c r="CK80" t="s">
        <v>262</v>
      </c>
      <c r="CL80" t="s">
        <v>76</v>
      </c>
    </row>
    <row r="81" spans="1:90">
      <c r="A81" t="s">
        <v>62</v>
      </c>
      <c r="B81" t="s">
        <v>63</v>
      </c>
      <c r="C81" t="s">
        <v>64</v>
      </c>
      <c r="E81" t="str">
        <f>"009938891148"</f>
        <v>009938891148</v>
      </c>
      <c r="F81" s="1">
        <v>43649</v>
      </c>
      <c r="G81">
        <v>202001</v>
      </c>
      <c r="H81" t="s">
        <v>65</v>
      </c>
      <c r="I81" t="s">
        <v>66</v>
      </c>
      <c r="J81" t="s">
        <v>67</v>
      </c>
      <c r="K81" t="s">
        <v>68</v>
      </c>
      <c r="L81" t="s">
        <v>206</v>
      </c>
      <c r="M81" t="s">
        <v>207</v>
      </c>
      <c r="N81" t="s">
        <v>67</v>
      </c>
      <c r="O81" t="s">
        <v>72</v>
      </c>
      <c r="P81" t="str">
        <f t="shared" ref="P81:P89" si="0">"STORES                        "</f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51.13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26</v>
      </c>
      <c r="BJ81">
        <v>40.700000000000003</v>
      </c>
      <c r="BK81">
        <v>41</v>
      </c>
      <c r="BL81" s="5">
        <v>300.08999999999997</v>
      </c>
      <c r="BM81" s="5">
        <v>45.01</v>
      </c>
      <c r="BN81" s="5">
        <v>345.1</v>
      </c>
      <c r="BO81" s="5">
        <v>345.1</v>
      </c>
      <c r="BQ81" t="s">
        <v>254</v>
      </c>
      <c r="BR81" t="s">
        <v>84</v>
      </c>
      <c r="BS81" s="1">
        <v>43651</v>
      </c>
      <c r="BT81" s="2">
        <v>0.3347222222222222</v>
      </c>
      <c r="BU81" t="s">
        <v>254</v>
      </c>
      <c r="BV81" t="s">
        <v>76</v>
      </c>
      <c r="BY81">
        <v>203680</v>
      </c>
      <c r="CA81" t="s">
        <v>313</v>
      </c>
      <c r="CC81" t="s">
        <v>207</v>
      </c>
      <c r="CD81">
        <v>450</v>
      </c>
      <c r="CE81" t="s">
        <v>78</v>
      </c>
      <c r="CF81" s="1">
        <v>43654</v>
      </c>
      <c r="CI81">
        <v>0</v>
      </c>
      <c r="CJ81">
        <v>0</v>
      </c>
      <c r="CK81" t="s">
        <v>88</v>
      </c>
      <c r="CL81" t="s">
        <v>76</v>
      </c>
    </row>
    <row r="82" spans="1:90">
      <c r="A82" t="s">
        <v>62</v>
      </c>
      <c r="B82" t="s">
        <v>63</v>
      </c>
      <c r="C82" t="s">
        <v>64</v>
      </c>
      <c r="E82" t="str">
        <f>"009935987734"</f>
        <v>009935987734</v>
      </c>
      <c r="F82" s="1">
        <v>43651</v>
      </c>
      <c r="G82">
        <v>202001</v>
      </c>
      <c r="H82" t="s">
        <v>65</v>
      </c>
      <c r="I82" t="s">
        <v>66</v>
      </c>
      <c r="J82" t="s">
        <v>67</v>
      </c>
      <c r="K82" t="s">
        <v>68</v>
      </c>
      <c r="L82" t="s">
        <v>247</v>
      </c>
      <c r="M82" t="s">
        <v>138</v>
      </c>
      <c r="N82" t="s">
        <v>218</v>
      </c>
      <c r="O82" t="s">
        <v>72</v>
      </c>
      <c r="P82" t="str">
        <f t="shared" si="0"/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98.17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3</v>
      </c>
      <c r="BI82">
        <v>111</v>
      </c>
      <c r="BJ82">
        <v>126.7</v>
      </c>
      <c r="BK82">
        <v>127</v>
      </c>
      <c r="BL82" s="5">
        <v>571.54999999999995</v>
      </c>
      <c r="BM82" s="5">
        <v>85.73</v>
      </c>
      <c r="BN82" s="5">
        <v>657.28</v>
      </c>
      <c r="BO82" s="5">
        <v>657.28</v>
      </c>
      <c r="BQ82" t="s">
        <v>140</v>
      </c>
      <c r="BR82" t="s">
        <v>144</v>
      </c>
      <c r="BS82" s="1">
        <v>43654</v>
      </c>
      <c r="BT82" s="2">
        <v>0.39374999999999999</v>
      </c>
      <c r="BU82" t="s">
        <v>320</v>
      </c>
      <c r="BV82" t="s">
        <v>86</v>
      </c>
      <c r="BY82">
        <v>633600</v>
      </c>
      <c r="CA82" t="s">
        <v>288</v>
      </c>
      <c r="CC82" t="s">
        <v>138</v>
      </c>
      <c r="CD82">
        <v>7700</v>
      </c>
      <c r="CE82" t="s">
        <v>78</v>
      </c>
      <c r="CF82" s="1">
        <v>43655</v>
      </c>
      <c r="CI82">
        <v>2</v>
      </c>
      <c r="CJ82">
        <v>1</v>
      </c>
      <c r="CK82" t="s">
        <v>115</v>
      </c>
      <c r="CL82" t="s">
        <v>76</v>
      </c>
    </row>
    <row r="83" spans="1:90">
      <c r="A83" t="s">
        <v>62</v>
      </c>
      <c r="B83" t="s">
        <v>63</v>
      </c>
      <c r="C83" t="s">
        <v>64</v>
      </c>
      <c r="E83" t="str">
        <f>"009938769239"</f>
        <v>009938769239</v>
      </c>
      <c r="F83" s="1">
        <v>43650</v>
      </c>
      <c r="G83">
        <v>202001</v>
      </c>
      <c r="H83" t="s">
        <v>65</v>
      </c>
      <c r="I83" t="s">
        <v>66</v>
      </c>
      <c r="J83" t="s">
        <v>67</v>
      </c>
      <c r="K83" t="s">
        <v>68</v>
      </c>
      <c r="L83" t="s">
        <v>116</v>
      </c>
      <c r="M83" t="s">
        <v>117</v>
      </c>
      <c r="N83" t="s">
        <v>67</v>
      </c>
      <c r="O83" t="s">
        <v>72</v>
      </c>
      <c r="P83" t="str">
        <f t="shared" si="0"/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53.82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3</v>
      </c>
      <c r="BI83">
        <v>77.599999999999994</v>
      </c>
      <c r="BJ83">
        <v>100.5</v>
      </c>
      <c r="BK83">
        <v>101</v>
      </c>
      <c r="BL83" s="5">
        <v>315.61</v>
      </c>
      <c r="BM83" s="5">
        <v>47.34</v>
      </c>
      <c r="BN83" s="5">
        <v>362.95</v>
      </c>
      <c r="BO83" s="5">
        <v>362.95</v>
      </c>
      <c r="BQ83" t="s">
        <v>185</v>
      </c>
      <c r="BR83" t="s">
        <v>84</v>
      </c>
      <c r="BS83" s="1">
        <v>43651</v>
      </c>
      <c r="BT83" s="2">
        <v>0.50208333333333333</v>
      </c>
      <c r="BU83" t="s">
        <v>187</v>
      </c>
      <c r="BV83" t="s">
        <v>86</v>
      </c>
      <c r="BY83">
        <v>502611.20000000001</v>
      </c>
      <c r="CA83" t="s">
        <v>290</v>
      </c>
      <c r="CC83" t="s">
        <v>117</v>
      </c>
      <c r="CD83">
        <v>4091</v>
      </c>
      <c r="CE83" t="s">
        <v>78</v>
      </c>
      <c r="CF83" s="1">
        <v>43654</v>
      </c>
      <c r="CI83">
        <v>1</v>
      </c>
      <c r="CJ83">
        <v>1</v>
      </c>
      <c r="CK83" t="s">
        <v>291</v>
      </c>
      <c r="CL83" t="s">
        <v>76</v>
      </c>
    </row>
    <row r="84" spans="1:90">
      <c r="A84" t="s">
        <v>62</v>
      </c>
      <c r="B84" t="s">
        <v>63</v>
      </c>
      <c r="C84" t="s">
        <v>64</v>
      </c>
      <c r="E84" t="str">
        <f>"009938891121"</f>
        <v>009938891121</v>
      </c>
      <c r="F84" s="1">
        <v>43648</v>
      </c>
      <c r="G84">
        <v>202001</v>
      </c>
      <c r="H84" t="s">
        <v>65</v>
      </c>
      <c r="I84" t="s">
        <v>66</v>
      </c>
      <c r="J84" t="s">
        <v>67</v>
      </c>
      <c r="K84" t="s">
        <v>68</v>
      </c>
      <c r="L84" t="s">
        <v>189</v>
      </c>
      <c r="M84" t="s">
        <v>190</v>
      </c>
      <c r="N84" t="s">
        <v>67</v>
      </c>
      <c r="O84" t="s">
        <v>72</v>
      </c>
      <c r="P84" t="str">
        <f t="shared" si="0"/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22.57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4.7</v>
      </c>
      <c r="BJ84">
        <v>14.3</v>
      </c>
      <c r="BK84">
        <v>15</v>
      </c>
      <c r="BL84" s="5">
        <v>123.85</v>
      </c>
      <c r="BM84" s="5">
        <v>18.579999999999998</v>
      </c>
      <c r="BN84" s="5">
        <v>142.43</v>
      </c>
      <c r="BO84" s="5">
        <v>142.43</v>
      </c>
      <c r="BQ84" t="s">
        <v>192</v>
      </c>
      <c r="BR84" t="s">
        <v>321</v>
      </c>
      <c r="BS84" s="1">
        <v>43649</v>
      </c>
      <c r="BT84" s="2">
        <v>0.45833333333333331</v>
      </c>
      <c r="BU84" t="s">
        <v>322</v>
      </c>
      <c r="BV84" t="s">
        <v>86</v>
      </c>
      <c r="BY84">
        <v>71725.5</v>
      </c>
      <c r="CA84" t="s">
        <v>195</v>
      </c>
      <c r="CC84" t="s">
        <v>190</v>
      </c>
      <c r="CD84">
        <v>920</v>
      </c>
      <c r="CE84" t="s">
        <v>78</v>
      </c>
      <c r="CF84" s="1">
        <v>43649</v>
      </c>
      <c r="CI84">
        <v>1</v>
      </c>
      <c r="CJ84">
        <v>1</v>
      </c>
      <c r="CK84" t="s">
        <v>146</v>
      </c>
      <c r="CL84" t="s">
        <v>76</v>
      </c>
    </row>
    <row r="85" spans="1:90">
      <c r="A85" t="s">
        <v>62</v>
      </c>
      <c r="B85" t="s">
        <v>63</v>
      </c>
      <c r="C85" t="s">
        <v>64</v>
      </c>
      <c r="E85" t="str">
        <f>"009935998568"</f>
        <v>009935998568</v>
      </c>
      <c r="F85" s="1">
        <v>43649</v>
      </c>
      <c r="G85">
        <v>202001</v>
      </c>
      <c r="H85" t="s">
        <v>65</v>
      </c>
      <c r="I85" t="s">
        <v>66</v>
      </c>
      <c r="J85" t="s">
        <v>67</v>
      </c>
      <c r="K85" t="s">
        <v>68</v>
      </c>
      <c r="L85" t="s">
        <v>181</v>
      </c>
      <c r="M85" t="s">
        <v>182</v>
      </c>
      <c r="N85" t="s">
        <v>323</v>
      </c>
      <c r="O85" t="s">
        <v>72</v>
      </c>
      <c r="P85" t="str">
        <f t="shared" si="0"/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24.4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22</v>
      </c>
      <c r="BJ85">
        <v>40.700000000000003</v>
      </c>
      <c r="BK85">
        <v>41</v>
      </c>
      <c r="BL85" s="5">
        <v>145.79</v>
      </c>
      <c r="BM85" s="5">
        <v>21.87</v>
      </c>
      <c r="BN85" s="5">
        <v>167.66</v>
      </c>
      <c r="BO85" s="5">
        <v>167.66</v>
      </c>
      <c r="BQ85" t="s">
        <v>241</v>
      </c>
      <c r="BR85" t="s">
        <v>144</v>
      </c>
      <c r="BS85" s="1">
        <v>43651</v>
      </c>
      <c r="BT85" s="2">
        <v>0.4597222222222222</v>
      </c>
      <c r="BU85" t="s">
        <v>324</v>
      </c>
      <c r="BV85" t="s">
        <v>76</v>
      </c>
      <c r="BW85" t="s">
        <v>325</v>
      </c>
      <c r="BX85" t="s">
        <v>326</v>
      </c>
      <c r="BY85">
        <v>203680</v>
      </c>
      <c r="CA85" t="s">
        <v>327</v>
      </c>
      <c r="CC85" t="s">
        <v>182</v>
      </c>
      <c r="CD85">
        <v>9301</v>
      </c>
      <c r="CE85" t="s">
        <v>78</v>
      </c>
      <c r="CF85" s="1">
        <v>43655</v>
      </c>
      <c r="CI85">
        <v>1</v>
      </c>
      <c r="CJ85">
        <v>2</v>
      </c>
      <c r="CK85" t="s">
        <v>79</v>
      </c>
      <c r="CL85" t="s">
        <v>76</v>
      </c>
    </row>
    <row r="86" spans="1:90">
      <c r="A86" t="s">
        <v>62</v>
      </c>
      <c r="B86" t="s">
        <v>63</v>
      </c>
      <c r="C86" t="s">
        <v>64</v>
      </c>
      <c r="E86" t="str">
        <f>"009935996431"</f>
        <v>009935996431</v>
      </c>
      <c r="F86" s="1">
        <v>43651</v>
      </c>
      <c r="G86">
        <v>202001</v>
      </c>
      <c r="H86" t="s">
        <v>65</v>
      </c>
      <c r="I86" t="s">
        <v>66</v>
      </c>
      <c r="J86" t="s">
        <v>67</v>
      </c>
      <c r="K86" t="s">
        <v>68</v>
      </c>
      <c r="L86" t="s">
        <v>108</v>
      </c>
      <c r="M86" t="s">
        <v>109</v>
      </c>
      <c r="N86" t="s">
        <v>328</v>
      </c>
      <c r="O86" t="s">
        <v>72</v>
      </c>
      <c r="P86" t="str">
        <f t="shared" si="0"/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67.709999999999994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67</v>
      </c>
      <c r="BJ86">
        <v>84.5</v>
      </c>
      <c r="BK86">
        <v>85</v>
      </c>
      <c r="BL86" s="5">
        <v>395.77</v>
      </c>
      <c r="BM86" s="5">
        <v>59.37</v>
      </c>
      <c r="BN86" s="5">
        <v>455.14</v>
      </c>
      <c r="BO86" s="5">
        <v>455.14</v>
      </c>
      <c r="BQ86" t="s">
        <v>169</v>
      </c>
      <c r="BR86" t="s">
        <v>144</v>
      </c>
      <c r="BS86" s="1">
        <v>43654</v>
      </c>
      <c r="BT86" s="2">
        <v>0.41250000000000003</v>
      </c>
      <c r="BU86" t="s">
        <v>329</v>
      </c>
      <c r="BV86" t="s">
        <v>86</v>
      </c>
      <c r="BY86">
        <v>422400</v>
      </c>
      <c r="CA86" t="s">
        <v>171</v>
      </c>
      <c r="CC86" t="s">
        <v>109</v>
      </c>
      <c r="CD86">
        <v>6045</v>
      </c>
      <c r="CE86" t="s">
        <v>78</v>
      </c>
      <c r="CF86" s="1">
        <v>43655</v>
      </c>
      <c r="CI86">
        <v>2</v>
      </c>
      <c r="CJ86">
        <v>1</v>
      </c>
      <c r="CK86" t="s">
        <v>115</v>
      </c>
      <c r="CL86" t="s">
        <v>76</v>
      </c>
    </row>
    <row r="87" spans="1:90">
      <c r="A87" t="s">
        <v>62</v>
      </c>
      <c r="B87" t="s">
        <v>63</v>
      </c>
      <c r="C87" t="s">
        <v>64</v>
      </c>
      <c r="E87" t="str">
        <f>"009938891149"</f>
        <v>009938891149</v>
      </c>
      <c r="F87" s="1">
        <v>43650</v>
      </c>
      <c r="G87">
        <v>202001</v>
      </c>
      <c r="H87" t="s">
        <v>65</v>
      </c>
      <c r="I87" t="s">
        <v>66</v>
      </c>
      <c r="J87" t="s">
        <v>67</v>
      </c>
      <c r="K87" t="s">
        <v>68</v>
      </c>
      <c r="L87" t="s">
        <v>206</v>
      </c>
      <c r="M87" t="s">
        <v>207</v>
      </c>
      <c r="N87" t="s">
        <v>67</v>
      </c>
      <c r="O87" t="s">
        <v>72</v>
      </c>
      <c r="P87" t="str">
        <f t="shared" si="0"/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53.52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25</v>
      </c>
      <c r="BJ87">
        <v>42.2</v>
      </c>
      <c r="BK87">
        <v>43</v>
      </c>
      <c r="BL87" s="5">
        <v>313.83999999999997</v>
      </c>
      <c r="BM87" s="5">
        <v>47.08</v>
      </c>
      <c r="BN87" s="5">
        <v>360.92</v>
      </c>
      <c r="BO87" s="5">
        <v>360.92</v>
      </c>
      <c r="BQ87" t="s">
        <v>254</v>
      </c>
      <c r="BR87" t="s">
        <v>84</v>
      </c>
      <c r="BS87" s="1">
        <v>43651</v>
      </c>
      <c r="BT87" s="2">
        <v>0.34722222222222227</v>
      </c>
      <c r="BU87" t="s">
        <v>254</v>
      </c>
      <c r="BV87" t="s">
        <v>86</v>
      </c>
      <c r="BY87">
        <v>211200</v>
      </c>
      <c r="CA87" t="s">
        <v>313</v>
      </c>
      <c r="CC87" t="s">
        <v>207</v>
      </c>
      <c r="CD87">
        <v>450</v>
      </c>
      <c r="CE87" t="s">
        <v>78</v>
      </c>
      <c r="CF87" s="1">
        <v>43654</v>
      </c>
      <c r="CI87">
        <v>0</v>
      </c>
      <c r="CJ87">
        <v>0</v>
      </c>
      <c r="CK87" t="s">
        <v>88</v>
      </c>
      <c r="CL87" t="s">
        <v>76</v>
      </c>
    </row>
    <row r="88" spans="1:90">
      <c r="A88" t="s">
        <v>62</v>
      </c>
      <c r="B88" t="s">
        <v>63</v>
      </c>
      <c r="C88" t="s">
        <v>64</v>
      </c>
      <c r="E88" t="str">
        <f>"009937720436"</f>
        <v>009937720436</v>
      </c>
      <c r="F88" s="1">
        <v>43648</v>
      </c>
      <c r="G88">
        <v>202001</v>
      </c>
      <c r="H88" t="s">
        <v>65</v>
      </c>
      <c r="I88" t="s">
        <v>66</v>
      </c>
      <c r="J88" t="s">
        <v>67</v>
      </c>
      <c r="K88" t="s">
        <v>68</v>
      </c>
      <c r="L88" t="s">
        <v>96</v>
      </c>
      <c r="M88" t="s">
        <v>97</v>
      </c>
      <c r="N88" t="s">
        <v>67</v>
      </c>
      <c r="O88" t="s">
        <v>72</v>
      </c>
      <c r="P88" t="str">
        <f t="shared" si="0"/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71.16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4</v>
      </c>
      <c r="BI88">
        <v>120.8</v>
      </c>
      <c r="BJ88">
        <v>108.8</v>
      </c>
      <c r="BK88">
        <v>121</v>
      </c>
      <c r="BL88" s="5">
        <v>379.75</v>
      </c>
      <c r="BM88" s="5">
        <v>56.96</v>
      </c>
      <c r="BN88" s="5">
        <v>436.71</v>
      </c>
      <c r="BO88" s="5">
        <v>436.71</v>
      </c>
      <c r="BQ88" t="s">
        <v>73</v>
      </c>
      <c r="BS88" s="1">
        <v>43649</v>
      </c>
      <c r="BT88" s="2">
        <v>0.4993055555555555</v>
      </c>
      <c r="BU88" t="s">
        <v>330</v>
      </c>
      <c r="BV88" t="s">
        <v>86</v>
      </c>
      <c r="BY88">
        <v>543770.88</v>
      </c>
      <c r="CA88" t="s">
        <v>162</v>
      </c>
      <c r="CC88" t="s">
        <v>97</v>
      </c>
      <c r="CD88">
        <v>699</v>
      </c>
      <c r="CE88" t="s">
        <v>78</v>
      </c>
      <c r="CF88" s="1">
        <v>43649</v>
      </c>
      <c r="CI88">
        <v>1</v>
      </c>
      <c r="CJ88">
        <v>1</v>
      </c>
      <c r="CK88" t="s">
        <v>79</v>
      </c>
      <c r="CL88" t="s">
        <v>76</v>
      </c>
    </row>
    <row r="89" spans="1:90">
      <c r="A89" t="s">
        <v>62</v>
      </c>
      <c r="B89" t="s">
        <v>63</v>
      </c>
      <c r="C89" t="s">
        <v>64</v>
      </c>
      <c r="E89" t="str">
        <f>"009938891384"</f>
        <v>009938891384</v>
      </c>
      <c r="F89" s="1">
        <v>43649</v>
      </c>
      <c r="G89">
        <v>202001</v>
      </c>
      <c r="H89" t="s">
        <v>65</v>
      </c>
      <c r="I89" t="s">
        <v>66</v>
      </c>
      <c r="J89" t="s">
        <v>67</v>
      </c>
      <c r="K89" t="s">
        <v>68</v>
      </c>
      <c r="L89" t="s">
        <v>122</v>
      </c>
      <c r="M89" t="s">
        <v>123</v>
      </c>
      <c r="N89" t="s">
        <v>67</v>
      </c>
      <c r="O89" t="s">
        <v>72</v>
      </c>
      <c r="P89" t="str">
        <f t="shared" si="0"/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55.28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3</v>
      </c>
      <c r="BI89">
        <v>75.599999999999994</v>
      </c>
      <c r="BJ89">
        <v>84.1</v>
      </c>
      <c r="BK89">
        <v>85</v>
      </c>
      <c r="BL89" s="5">
        <v>324.04000000000002</v>
      </c>
      <c r="BM89" s="5">
        <v>48.61</v>
      </c>
      <c r="BN89" s="5">
        <v>372.65</v>
      </c>
      <c r="BO89" s="5">
        <v>372.65</v>
      </c>
      <c r="BQ89" t="s">
        <v>331</v>
      </c>
      <c r="BR89" t="s">
        <v>84</v>
      </c>
      <c r="BS89" s="1">
        <v>43650</v>
      </c>
      <c r="BT89" s="2">
        <v>0.38541666666666669</v>
      </c>
      <c r="BU89" t="s">
        <v>332</v>
      </c>
      <c r="BV89" t="s">
        <v>86</v>
      </c>
      <c r="BY89">
        <v>420552.4</v>
      </c>
      <c r="CA89" t="s">
        <v>333</v>
      </c>
      <c r="CC89" t="s">
        <v>123</v>
      </c>
      <c r="CD89">
        <v>299</v>
      </c>
      <c r="CE89" t="s">
        <v>78</v>
      </c>
      <c r="CF89" s="1">
        <v>43655</v>
      </c>
      <c r="CI89">
        <v>1</v>
      </c>
      <c r="CJ89">
        <v>1</v>
      </c>
      <c r="CK89" t="s">
        <v>95</v>
      </c>
      <c r="CL89" t="s">
        <v>76</v>
      </c>
    </row>
    <row r="90" spans="1:90">
      <c r="A90" t="s">
        <v>62</v>
      </c>
      <c r="B90" t="s">
        <v>63</v>
      </c>
      <c r="C90" t="s">
        <v>64</v>
      </c>
      <c r="E90" t="str">
        <f>"009938033574"</f>
        <v>009938033574</v>
      </c>
      <c r="F90" s="1">
        <v>43650</v>
      </c>
      <c r="G90">
        <v>202001</v>
      </c>
      <c r="H90" t="s">
        <v>147</v>
      </c>
      <c r="I90" t="s">
        <v>148</v>
      </c>
      <c r="J90" t="s">
        <v>82</v>
      </c>
      <c r="K90" t="s">
        <v>68</v>
      </c>
      <c r="L90" t="s">
        <v>65</v>
      </c>
      <c r="M90" t="s">
        <v>66</v>
      </c>
      <c r="N90" t="s">
        <v>82</v>
      </c>
      <c r="O90" t="s">
        <v>72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16.82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13.5</v>
      </c>
      <c r="BJ90">
        <v>14.1</v>
      </c>
      <c r="BK90">
        <v>14</v>
      </c>
      <c r="BL90" s="5">
        <v>102.05</v>
      </c>
      <c r="BM90" s="5">
        <v>15.31</v>
      </c>
      <c r="BN90" s="5">
        <v>117.36</v>
      </c>
      <c r="BO90" s="5">
        <v>117.36</v>
      </c>
      <c r="BQ90" t="s">
        <v>173</v>
      </c>
      <c r="BR90" t="s">
        <v>150</v>
      </c>
      <c r="BS90" s="1">
        <v>43651</v>
      </c>
      <c r="BT90" s="2">
        <v>0.5</v>
      </c>
      <c r="BU90" t="s">
        <v>100</v>
      </c>
      <c r="BV90" t="s">
        <v>86</v>
      </c>
      <c r="BY90">
        <v>70300</v>
      </c>
      <c r="CC90" t="s">
        <v>66</v>
      </c>
      <c r="CD90">
        <v>2146</v>
      </c>
      <c r="CE90" t="s">
        <v>318</v>
      </c>
      <c r="CF90" s="1">
        <v>43654</v>
      </c>
      <c r="CI90">
        <v>1</v>
      </c>
      <c r="CJ90">
        <v>1</v>
      </c>
      <c r="CK90" t="s">
        <v>262</v>
      </c>
      <c r="CL90" t="s">
        <v>76</v>
      </c>
    </row>
    <row r="91" spans="1:90">
      <c r="A91" t="s">
        <v>62</v>
      </c>
      <c r="B91" t="s">
        <v>63</v>
      </c>
      <c r="C91" t="s">
        <v>64</v>
      </c>
      <c r="E91" t="str">
        <f>"009935987740"</f>
        <v>009935987740</v>
      </c>
      <c r="F91" s="1">
        <v>43648</v>
      </c>
      <c r="G91">
        <v>202001</v>
      </c>
      <c r="H91" t="s">
        <v>65</v>
      </c>
      <c r="I91" t="s">
        <v>66</v>
      </c>
      <c r="J91" t="s">
        <v>67</v>
      </c>
      <c r="K91" t="s">
        <v>68</v>
      </c>
      <c r="L91" t="s">
        <v>247</v>
      </c>
      <c r="M91" t="s">
        <v>138</v>
      </c>
      <c r="N91" t="s">
        <v>196</v>
      </c>
      <c r="O91" t="s">
        <v>72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20.58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15.2</v>
      </c>
      <c r="BJ91">
        <v>16.2</v>
      </c>
      <c r="BK91">
        <v>17</v>
      </c>
      <c r="BL91" s="5">
        <v>113.36</v>
      </c>
      <c r="BM91" s="5">
        <v>17</v>
      </c>
      <c r="BN91" s="5">
        <v>130.36000000000001</v>
      </c>
      <c r="BO91" s="5">
        <v>130.36000000000001</v>
      </c>
      <c r="BQ91" t="s">
        <v>140</v>
      </c>
      <c r="BR91" t="s">
        <v>144</v>
      </c>
      <c r="BS91" s="1">
        <v>43650</v>
      </c>
      <c r="BT91" s="2">
        <v>0.4826388888888889</v>
      </c>
      <c r="BU91" t="s">
        <v>334</v>
      </c>
      <c r="BV91" t="s">
        <v>86</v>
      </c>
      <c r="BY91">
        <v>80941.31</v>
      </c>
      <c r="CA91" t="s">
        <v>288</v>
      </c>
      <c r="CC91" t="s">
        <v>138</v>
      </c>
      <c r="CD91">
        <v>7700</v>
      </c>
      <c r="CE91" t="s">
        <v>78</v>
      </c>
      <c r="CF91" s="1">
        <v>43650</v>
      </c>
      <c r="CI91">
        <v>2</v>
      </c>
      <c r="CJ91">
        <v>2</v>
      </c>
      <c r="CK91" t="s">
        <v>115</v>
      </c>
      <c r="CL91" t="s">
        <v>76</v>
      </c>
    </row>
    <row r="92" spans="1:90">
      <c r="A92" t="s">
        <v>62</v>
      </c>
      <c r="B92" t="s">
        <v>63</v>
      </c>
      <c r="C92" t="s">
        <v>64</v>
      </c>
      <c r="E92" t="str">
        <f>"009935996430"</f>
        <v>009935996430</v>
      </c>
      <c r="F92" s="1">
        <v>43649</v>
      </c>
      <c r="G92">
        <v>202001</v>
      </c>
      <c r="H92" t="s">
        <v>65</v>
      </c>
      <c r="I92" t="s">
        <v>66</v>
      </c>
      <c r="J92" t="s">
        <v>67</v>
      </c>
      <c r="K92" t="s">
        <v>68</v>
      </c>
      <c r="L92" t="s">
        <v>108</v>
      </c>
      <c r="M92" t="s">
        <v>109</v>
      </c>
      <c r="N92" t="s">
        <v>168</v>
      </c>
      <c r="O92" t="s">
        <v>72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65.540000000000006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62</v>
      </c>
      <c r="BJ92">
        <v>81.5</v>
      </c>
      <c r="BK92">
        <v>82</v>
      </c>
      <c r="BL92" s="5">
        <v>383.22</v>
      </c>
      <c r="BM92" s="5">
        <v>57.48</v>
      </c>
      <c r="BN92" s="5">
        <v>440.7</v>
      </c>
      <c r="BO92" s="5">
        <v>440.7</v>
      </c>
      <c r="BQ92" t="s">
        <v>335</v>
      </c>
      <c r="BR92" t="s">
        <v>144</v>
      </c>
      <c r="BS92" s="1">
        <v>43651</v>
      </c>
      <c r="BT92" s="2">
        <v>0.51597222222222217</v>
      </c>
      <c r="BU92" t="s">
        <v>336</v>
      </c>
      <c r="BV92" t="s">
        <v>86</v>
      </c>
      <c r="BY92">
        <v>407360</v>
      </c>
      <c r="CA92" t="s">
        <v>337</v>
      </c>
      <c r="CC92" t="s">
        <v>109</v>
      </c>
      <c r="CD92">
        <v>6055</v>
      </c>
      <c r="CE92" t="s">
        <v>78</v>
      </c>
      <c r="CF92" s="1">
        <v>43656</v>
      </c>
      <c r="CI92">
        <v>2</v>
      </c>
      <c r="CJ92">
        <v>2</v>
      </c>
      <c r="CK92" t="s">
        <v>115</v>
      </c>
      <c r="CL92" t="s">
        <v>76</v>
      </c>
    </row>
    <row r="93" spans="1:90">
      <c r="A93" t="s">
        <v>62</v>
      </c>
      <c r="B93" t="s">
        <v>63</v>
      </c>
      <c r="C93" t="s">
        <v>64</v>
      </c>
      <c r="E93" t="str">
        <f>"089901565761"</f>
        <v>089901565761</v>
      </c>
      <c r="F93" s="1">
        <v>43651</v>
      </c>
      <c r="G93">
        <v>202001</v>
      </c>
      <c r="H93" t="s">
        <v>222</v>
      </c>
      <c r="I93" t="s">
        <v>223</v>
      </c>
      <c r="J93" t="s">
        <v>67</v>
      </c>
      <c r="K93" t="s">
        <v>68</v>
      </c>
      <c r="L93" t="s">
        <v>65</v>
      </c>
      <c r="M93" t="s">
        <v>66</v>
      </c>
      <c r="N93" t="s">
        <v>67</v>
      </c>
      <c r="O93" t="s">
        <v>72</v>
      </c>
      <c r="P93" t="str">
        <f t="shared" ref="P93:P99" si="1"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41.08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3</v>
      </c>
      <c r="BI93">
        <v>54</v>
      </c>
      <c r="BJ93">
        <v>59.8</v>
      </c>
      <c r="BK93">
        <v>60</v>
      </c>
      <c r="BL93" s="5">
        <v>242.09</v>
      </c>
      <c r="BM93" s="5">
        <v>36.31</v>
      </c>
      <c r="BN93" s="5">
        <v>278.39999999999998</v>
      </c>
      <c r="BO93" s="5">
        <v>278.39999999999998</v>
      </c>
      <c r="BQ93" t="s">
        <v>173</v>
      </c>
      <c r="BR93" t="s">
        <v>224</v>
      </c>
      <c r="BS93" s="1">
        <v>43654</v>
      </c>
      <c r="BT93" s="2">
        <v>0.38611111111111113</v>
      </c>
      <c r="BU93" t="s">
        <v>175</v>
      </c>
      <c r="BV93" t="s">
        <v>86</v>
      </c>
      <c r="BY93">
        <v>299000</v>
      </c>
      <c r="CC93" t="s">
        <v>66</v>
      </c>
      <c r="CD93">
        <v>2148</v>
      </c>
      <c r="CF93" s="1">
        <v>43655</v>
      </c>
      <c r="CI93">
        <v>2</v>
      </c>
      <c r="CJ93">
        <v>1</v>
      </c>
      <c r="CK93" t="s">
        <v>338</v>
      </c>
      <c r="CL93" t="s">
        <v>76</v>
      </c>
    </row>
    <row r="94" spans="1:90">
      <c r="A94" t="s">
        <v>180</v>
      </c>
      <c r="B94" t="s">
        <v>63</v>
      </c>
      <c r="C94" t="s">
        <v>64</v>
      </c>
      <c r="E94" t="str">
        <f>"089901559865"</f>
        <v>089901559865</v>
      </c>
      <c r="F94" s="1">
        <v>43649</v>
      </c>
      <c r="G94">
        <v>202001</v>
      </c>
      <c r="H94" t="s">
        <v>181</v>
      </c>
      <c r="I94" t="s">
        <v>182</v>
      </c>
      <c r="J94" t="s">
        <v>67</v>
      </c>
      <c r="K94" t="s">
        <v>68</v>
      </c>
      <c r="L94" t="s">
        <v>65</v>
      </c>
      <c r="M94" t="s">
        <v>66</v>
      </c>
      <c r="N94" t="s">
        <v>339</v>
      </c>
      <c r="O94" t="s">
        <v>72</v>
      </c>
      <c r="P94" t="str">
        <f t="shared" si="1"/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15.52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 s="5">
        <v>94.58</v>
      </c>
      <c r="BM94" s="5">
        <v>14.19</v>
      </c>
      <c r="BN94" s="5">
        <v>108.77</v>
      </c>
      <c r="BO94" s="5">
        <v>108.77</v>
      </c>
      <c r="BQ94" t="s">
        <v>340</v>
      </c>
      <c r="BR94" t="s">
        <v>341</v>
      </c>
      <c r="BS94" s="1">
        <v>43650</v>
      </c>
      <c r="BT94" s="2">
        <v>0.40069444444444446</v>
      </c>
      <c r="BU94" t="s">
        <v>93</v>
      </c>
      <c r="BV94" t="s">
        <v>86</v>
      </c>
      <c r="BY94">
        <v>1200</v>
      </c>
      <c r="CA94" t="s">
        <v>94</v>
      </c>
      <c r="CC94" t="s">
        <v>66</v>
      </c>
      <c r="CD94">
        <v>2146</v>
      </c>
      <c r="CE94" t="s">
        <v>78</v>
      </c>
      <c r="CF94" s="1">
        <v>43650</v>
      </c>
      <c r="CI94">
        <v>1</v>
      </c>
      <c r="CJ94">
        <v>1</v>
      </c>
      <c r="CK94" t="s">
        <v>95</v>
      </c>
      <c r="CL94" t="s">
        <v>76</v>
      </c>
    </row>
    <row r="95" spans="1:90">
      <c r="A95" t="s">
        <v>62</v>
      </c>
      <c r="B95" t="s">
        <v>63</v>
      </c>
      <c r="C95" t="s">
        <v>64</v>
      </c>
      <c r="E95" t="str">
        <f>"009938978290"</f>
        <v>009938978290</v>
      </c>
      <c r="F95" s="1">
        <v>43651</v>
      </c>
      <c r="G95">
        <v>202001</v>
      </c>
      <c r="H95" t="s">
        <v>216</v>
      </c>
      <c r="I95" t="s">
        <v>217</v>
      </c>
      <c r="J95" t="s">
        <v>342</v>
      </c>
      <c r="K95" t="s">
        <v>68</v>
      </c>
      <c r="L95" t="s">
        <v>65</v>
      </c>
      <c r="M95" t="s">
        <v>66</v>
      </c>
      <c r="N95" t="s">
        <v>67</v>
      </c>
      <c r="O95" t="s">
        <v>72</v>
      </c>
      <c r="P95" t="str">
        <f t="shared" si="1"/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47.68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70.8</v>
      </c>
      <c r="BJ95">
        <v>90.1</v>
      </c>
      <c r="BK95">
        <v>91</v>
      </c>
      <c r="BL95" s="5">
        <v>280.17</v>
      </c>
      <c r="BM95" s="5">
        <v>42.03</v>
      </c>
      <c r="BN95" s="5">
        <v>322.2</v>
      </c>
      <c r="BO95" s="5">
        <v>322.2</v>
      </c>
      <c r="BQ95" t="s">
        <v>343</v>
      </c>
      <c r="BR95" t="s">
        <v>344</v>
      </c>
      <c r="BS95" s="1">
        <v>43654</v>
      </c>
      <c r="BT95" s="2">
        <v>0.38611111111111113</v>
      </c>
      <c r="BU95" t="s">
        <v>175</v>
      </c>
      <c r="BV95" t="s">
        <v>86</v>
      </c>
      <c r="BY95">
        <v>450538.97</v>
      </c>
      <c r="CC95" t="s">
        <v>66</v>
      </c>
      <c r="CD95">
        <v>2146</v>
      </c>
      <c r="CE95" t="s">
        <v>78</v>
      </c>
      <c r="CF95" s="1">
        <v>43655</v>
      </c>
      <c r="CI95">
        <v>1</v>
      </c>
      <c r="CJ95">
        <v>1</v>
      </c>
      <c r="CK95" t="s">
        <v>177</v>
      </c>
      <c r="CL95" t="s">
        <v>76</v>
      </c>
    </row>
    <row r="96" spans="1:90">
      <c r="A96" t="s">
        <v>180</v>
      </c>
      <c r="B96" t="s">
        <v>63</v>
      </c>
      <c r="C96" t="s">
        <v>64</v>
      </c>
      <c r="E96" t="str">
        <f>"019911589309"</f>
        <v>019911589309</v>
      </c>
      <c r="F96" s="1">
        <v>43651</v>
      </c>
      <c r="G96">
        <v>202001</v>
      </c>
      <c r="H96" t="s">
        <v>141</v>
      </c>
      <c r="I96" t="s">
        <v>99</v>
      </c>
      <c r="J96" t="s">
        <v>345</v>
      </c>
      <c r="K96" t="s">
        <v>68</v>
      </c>
      <c r="L96" t="s">
        <v>103</v>
      </c>
      <c r="M96" t="s">
        <v>104</v>
      </c>
      <c r="N96" t="s">
        <v>346</v>
      </c>
      <c r="O96" t="s">
        <v>72</v>
      </c>
      <c r="P96" t="str">
        <f t="shared" si="1"/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52.32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15</v>
      </c>
      <c r="BJ96">
        <v>41.5</v>
      </c>
      <c r="BK96">
        <v>42</v>
      </c>
      <c r="BL96" s="5">
        <v>306.95999999999998</v>
      </c>
      <c r="BM96" s="5">
        <v>46.04</v>
      </c>
      <c r="BN96" s="5">
        <v>353</v>
      </c>
      <c r="BO96" s="5">
        <v>353</v>
      </c>
      <c r="BS96" s="1">
        <v>43656</v>
      </c>
      <c r="BT96" s="2">
        <v>0.40277777777777773</v>
      </c>
      <c r="BU96" t="s">
        <v>100</v>
      </c>
      <c r="BV96" t="s">
        <v>86</v>
      </c>
      <c r="BY96">
        <v>207271.58</v>
      </c>
      <c r="CC96" t="s">
        <v>104</v>
      </c>
      <c r="CD96">
        <v>2000</v>
      </c>
      <c r="CE96" t="s">
        <v>347</v>
      </c>
      <c r="CF96" s="1">
        <v>43657</v>
      </c>
      <c r="CI96">
        <v>0</v>
      </c>
      <c r="CJ96">
        <v>0</v>
      </c>
      <c r="CK96" t="s">
        <v>88</v>
      </c>
      <c r="CL96" t="s">
        <v>76</v>
      </c>
    </row>
    <row r="97" spans="1:90">
      <c r="A97" t="s">
        <v>180</v>
      </c>
      <c r="B97" t="s">
        <v>63</v>
      </c>
      <c r="C97" t="s">
        <v>64</v>
      </c>
      <c r="E97" t="str">
        <f>"089901559866"</f>
        <v>089901559866</v>
      </c>
      <c r="F97" s="1">
        <v>43651</v>
      </c>
      <c r="G97">
        <v>202001</v>
      </c>
      <c r="H97" t="s">
        <v>181</v>
      </c>
      <c r="I97" t="s">
        <v>182</v>
      </c>
      <c r="J97" t="s">
        <v>67</v>
      </c>
      <c r="K97" t="s">
        <v>68</v>
      </c>
      <c r="L97" t="s">
        <v>65</v>
      </c>
      <c r="M97" t="s">
        <v>66</v>
      </c>
      <c r="N97" t="s">
        <v>67</v>
      </c>
      <c r="O97" t="s">
        <v>72</v>
      </c>
      <c r="P97" t="str">
        <f t="shared" si="1"/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15.52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 s="5">
        <v>94.58</v>
      </c>
      <c r="BM97" s="5">
        <v>14.19</v>
      </c>
      <c r="BN97" s="5">
        <v>108.77</v>
      </c>
      <c r="BO97" s="5">
        <v>108.77</v>
      </c>
      <c r="BQ97" t="s">
        <v>348</v>
      </c>
      <c r="BR97" t="s">
        <v>349</v>
      </c>
      <c r="BS97" s="1">
        <v>43654</v>
      </c>
      <c r="BT97" s="2">
        <v>0.3888888888888889</v>
      </c>
      <c r="BU97" t="s">
        <v>284</v>
      </c>
      <c r="BV97" t="s">
        <v>86</v>
      </c>
      <c r="BY97">
        <v>1200</v>
      </c>
      <c r="CC97" t="s">
        <v>66</v>
      </c>
      <c r="CD97">
        <v>2146</v>
      </c>
      <c r="CE97" t="s">
        <v>78</v>
      </c>
      <c r="CF97" s="1">
        <v>43656</v>
      </c>
      <c r="CI97">
        <v>1</v>
      </c>
      <c r="CJ97">
        <v>1</v>
      </c>
      <c r="CK97" t="s">
        <v>95</v>
      </c>
      <c r="CL97" t="s">
        <v>76</v>
      </c>
    </row>
    <row r="98" spans="1:90">
      <c r="A98" t="s">
        <v>180</v>
      </c>
      <c r="B98" t="s">
        <v>63</v>
      </c>
      <c r="C98" t="s">
        <v>64</v>
      </c>
      <c r="E98" t="str">
        <f>"039902812529"</f>
        <v>039902812529</v>
      </c>
      <c r="F98" s="1">
        <v>43651</v>
      </c>
      <c r="G98">
        <v>202001</v>
      </c>
      <c r="H98" t="s">
        <v>141</v>
      </c>
      <c r="I98" t="s">
        <v>99</v>
      </c>
      <c r="J98" t="s">
        <v>345</v>
      </c>
      <c r="K98" t="s">
        <v>68</v>
      </c>
      <c r="L98" t="s">
        <v>103</v>
      </c>
      <c r="M98" t="s">
        <v>104</v>
      </c>
      <c r="N98" t="s">
        <v>345</v>
      </c>
      <c r="O98" t="s">
        <v>72</v>
      </c>
      <c r="P98" t="str">
        <f t="shared" si="1"/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52.32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26.6</v>
      </c>
      <c r="BJ98">
        <v>42.1</v>
      </c>
      <c r="BK98">
        <v>42</v>
      </c>
      <c r="BL98" s="5">
        <v>306.95999999999998</v>
      </c>
      <c r="BM98" s="5">
        <v>46.04</v>
      </c>
      <c r="BN98" s="5">
        <v>353</v>
      </c>
      <c r="BO98" s="5">
        <v>353</v>
      </c>
      <c r="BR98" t="s">
        <v>179</v>
      </c>
      <c r="BS98" s="1">
        <v>43656</v>
      </c>
      <c r="BT98" s="2">
        <v>0.40277777777777773</v>
      </c>
      <c r="BU98" t="s">
        <v>100</v>
      </c>
      <c r="BV98" t="s">
        <v>86</v>
      </c>
      <c r="BY98">
        <v>210355.43</v>
      </c>
      <c r="CC98" t="s">
        <v>104</v>
      </c>
      <c r="CD98">
        <v>2000</v>
      </c>
      <c r="CE98" t="s">
        <v>78</v>
      </c>
      <c r="CF98" s="1">
        <v>43657</v>
      </c>
      <c r="CI98">
        <v>0</v>
      </c>
      <c r="CJ98">
        <v>0</v>
      </c>
      <c r="CK98" t="s">
        <v>88</v>
      </c>
      <c r="CL98" t="s">
        <v>76</v>
      </c>
    </row>
    <row r="99" spans="1:90">
      <c r="A99" t="s">
        <v>62</v>
      </c>
      <c r="B99" t="s">
        <v>63</v>
      </c>
      <c r="C99" t="s">
        <v>64</v>
      </c>
      <c r="E99" t="str">
        <f>"019911537132"</f>
        <v>019911537132</v>
      </c>
      <c r="F99" s="1">
        <v>43651</v>
      </c>
      <c r="G99">
        <v>202001</v>
      </c>
      <c r="H99" t="s">
        <v>350</v>
      </c>
      <c r="I99" t="s">
        <v>351</v>
      </c>
      <c r="J99" t="s">
        <v>67</v>
      </c>
      <c r="K99" t="s">
        <v>68</v>
      </c>
      <c r="L99" t="s">
        <v>103</v>
      </c>
      <c r="M99" t="s">
        <v>104</v>
      </c>
      <c r="N99" t="s">
        <v>67</v>
      </c>
      <c r="O99" t="s">
        <v>72</v>
      </c>
      <c r="P99" t="str">
        <f t="shared" si="1"/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20.64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20</v>
      </c>
      <c r="BJ99">
        <v>24</v>
      </c>
      <c r="BK99">
        <v>24</v>
      </c>
      <c r="BL99" s="5">
        <v>124.09</v>
      </c>
      <c r="BM99" s="5">
        <v>18.61</v>
      </c>
      <c r="BN99" s="5">
        <v>142.69999999999999</v>
      </c>
      <c r="BO99" s="5">
        <v>142.69999999999999</v>
      </c>
      <c r="BQ99" t="s">
        <v>352</v>
      </c>
      <c r="BR99" t="s">
        <v>155</v>
      </c>
      <c r="BS99" s="1">
        <v>43654</v>
      </c>
      <c r="BT99" s="2">
        <v>0.38611111111111113</v>
      </c>
      <c r="BU99" t="s">
        <v>175</v>
      </c>
      <c r="BV99" t="s">
        <v>86</v>
      </c>
      <c r="BY99">
        <v>120000</v>
      </c>
      <c r="CC99" t="s">
        <v>104</v>
      </c>
      <c r="CD99">
        <v>2196</v>
      </c>
      <c r="CE99" t="s">
        <v>318</v>
      </c>
      <c r="CF99" s="1">
        <v>43655</v>
      </c>
      <c r="CI99">
        <v>1</v>
      </c>
      <c r="CJ99">
        <v>1</v>
      </c>
      <c r="CK99" t="s">
        <v>95</v>
      </c>
      <c r="CL99" t="s">
        <v>76</v>
      </c>
    </row>
    <row r="100" spans="1:90">
      <c r="A100" t="s">
        <v>62</v>
      </c>
      <c r="B100" t="s">
        <v>63</v>
      </c>
      <c r="C100" t="s">
        <v>64</v>
      </c>
      <c r="E100" t="str">
        <f>"029908439179"</f>
        <v>029908439179</v>
      </c>
      <c r="F100" s="1">
        <v>43648</v>
      </c>
      <c r="G100">
        <v>202001</v>
      </c>
      <c r="H100" t="s">
        <v>116</v>
      </c>
      <c r="I100" t="s">
        <v>117</v>
      </c>
      <c r="J100" t="s">
        <v>118</v>
      </c>
      <c r="K100" t="s">
        <v>68</v>
      </c>
      <c r="L100" t="s">
        <v>103</v>
      </c>
      <c r="M100" t="s">
        <v>104</v>
      </c>
      <c r="N100" t="s">
        <v>353</v>
      </c>
      <c r="O100" t="s">
        <v>72</v>
      </c>
      <c r="P100" t="str">
        <f>"190 702 0054                  "</f>
        <v xml:space="preserve">190 702 0054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17.36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0.2</v>
      </c>
      <c r="BK100">
        <v>1</v>
      </c>
      <c r="BL100" s="5">
        <v>96.42</v>
      </c>
      <c r="BM100" s="5">
        <v>14.46</v>
      </c>
      <c r="BN100" s="5">
        <v>110.88</v>
      </c>
      <c r="BO100" s="5">
        <v>110.88</v>
      </c>
      <c r="BQ100" t="s">
        <v>354</v>
      </c>
      <c r="BR100" t="s">
        <v>214</v>
      </c>
      <c r="BS100" s="1">
        <v>43649</v>
      </c>
      <c r="BT100" s="2">
        <v>0.35555555555555557</v>
      </c>
      <c r="BU100" t="s">
        <v>215</v>
      </c>
      <c r="BV100" t="s">
        <v>86</v>
      </c>
      <c r="BY100">
        <v>1200</v>
      </c>
      <c r="CA100" t="s">
        <v>94</v>
      </c>
      <c r="CC100" t="s">
        <v>104</v>
      </c>
      <c r="CD100">
        <v>2000</v>
      </c>
      <c r="CE100" t="s">
        <v>78</v>
      </c>
      <c r="CF100" s="1">
        <v>43651</v>
      </c>
      <c r="CI100">
        <v>1</v>
      </c>
      <c r="CJ100">
        <v>1</v>
      </c>
      <c r="CK100" t="s">
        <v>338</v>
      </c>
      <c r="CL100" t="s">
        <v>76</v>
      </c>
    </row>
    <row r="101" spans="1:90">
      <c r="A101" t="s">
        <v>62</v>
      </c>
      <c r="B101" t="s">
        <v>63</v>
      </c>
      <c r="C101" t="s">
        <v>64</v>
      </c>
      <c r="E101" t="str">
        <f>"009938565356"</f>
        <v>009938565356</v>
      </c>
      <c r="F101" s="1">
        <v>43648</v>
      </c>
      <c r="G101">
        <v>202001</v>
      </c>
      <c r="H101" t="s">
        <v>307</v>
      </c>
      <c r="I101" t="s">
        <v>70</v>
      </c>
      <c r="J101" t="s">
        <v>82</v>
      </c>
      <c r="K101" t="s">
        <v>68</v>
      </c>
      <c r="L101" t="s">
        <v>65</v>
      </c>
      <c r="M101" t="s">
        <v>66</v>
      </c>
      <c r="N101" t="s">
        <v>308</v>
      </c>
      <c r="O101" t="s">
        <v>72</v>
      </c>
      <c r="P101" t="str">
        <f>"....                          "</f>
        <v xml:space="preserve">....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17.36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1.5</v>
      </c>
      <c r="BJ101">
        <v>3.1</v>
      </c>
      <c r="BK101">
        <v>4</v>
      </c>
      <c r="BL101" s="5">
        <v>96.42</v>
      </c>
      <c r="BM101" s="5">
        <v>14.46</v>
      </c>
      <c r="BN101" s="5">
        <v>110.88</v>
      </c>
      <c r="BO101" s="5">
        <v>110.88</v>
      </c>
      <c r="BQ101" t="s">
        <v>355</v>
      </c>
      <c r="BR101" t="s">
        <v>73</v>
      </c>
      <c r="BS101" s="1">
        <v>43649</v>
      </c>
      <c r="BT101" s="2">
        <v>0.39583333333333331</v>
      </c>
      <c r="BU101" t="s">
        <v>100</v>
      </c>
      <c r="BV101" t="s">
        <v>86</v>
      </c>
      <c r="BY101">
        <v>15636.24</v>
      </c>
      <c r="CC101" t="s">
        <v>66</v>
      </c>
      <c r="CD101">
        <v>2146</v>
      </c>
      <c r="CE101" t="s">
        <v>78</v>
      </c>
      <c r="CF101" s="1">
        <v>43651</v>
      </c>
      <c r="CI101">
        <v>1</v>
      </c>
      <c r="CJ101">
        <v>1</v>
      </c>
      <c r="CK101" t="s">
        <v>95</v>
      </c>
      <c r="CL101" t="s">
        <v>76</v>
      </c>
    </row>
    <row r="102" spans="1:90">
      <c r="A102" t="s">
        <v>180</v>
      </c>
      <c r="B102" t="s">
        <v>63</v>
      </c>
      <c r="C102" t="s">
        <v>64</v>
      </c>
      <c r="E102" t="str">
        <f>"089901559885"</f>
        <v>089901559885</v>
      </c>
      <c r="F102" s="1">
        <v>43648</v>
      </c>
      <c r="G102">
        <v>202001</v>
      </c>
      <c r="H102" t="s">
        <v>181</v>
      </c>
      <c r="I102" t="s">
        <v>182</v>
      </c>
      <c r="J102" t="s">
        <v>67</v>
      </c>
      <c r="K102" t="s">
        <v>68</v>
      </c>
      <c r="L102" t="s">
        <v>101</v>
      </c>
      <c r="M102" t="s">
        <v>102</v>
      </c>
      <c r="N102" t="s">
        <v>67</v>
      </c>
      <c r="O102" t="s">
        <v>72</v>
      </c>
      <c r="P102" t="str">
        <f t="shared" ref="P102:P108" si="2"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15.91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 s="5">
        <v>88.8</v>
      </c>
      <c r="BM102" s="5">
        <v>13.32</v>
      </c>
      <c r="BN102" s="5">
        <v>102.12</v>
      </c>
      <c r="BO102" s="5">
        <v>102.12</v>
      </c>
      <c r="BQ102" t="s">
        <v>356</v>
      </c>
      <c r="BR102" t="s">
        <v>357</v>
      </c>
      <c r="BS102" s="1">
        <v>43649</v>
      </c>
      <c r="BT102" s="2">
        <v>0.41666666666666669</v>
      </c>
      <c r="BU102" t="s">
        <v>358</v>
      </c>
      <c r="BV102" t="s">
        <v>86</v>
      </c>
      <c r="BY102">
        <v>1200</v>
      </c>
      <c r="CA102" t="s">
        <v>359</v>
      </c>
      <c r="CC102" t="s">
        <v>102</v>
      </c>
      <c r="CD102">
        <v>9460</v>
      </c>
      <c r="CE102" t="s">
        <v>78</v>
      </c>
      <c r="CF102" s="1">
        <v>43649</v>
      </c>
      <c r="CI102">
        <v>1</v>
      </c>
      <c r="CJ102">
        <v>1</v>
      </c>
      <c r="CK102" t="s">
        <v>177</v>
      </c>
      <c r="CL102" t="s">
        <v>76</v>
      </c>
    </row>
    <row r="103" spans="1:90">
      <c r="A103" t="s">
        <v>62</v>
      </c>
      <c r="B103" t="s">
        <v>63</v>
      </c>
      <c r="C103" t="s">
        <v>64</v>
      </c>
      <c r="E103" t="str">
        <f>"009936938581"</f>
        <v>009936938581</v>
      </c>
      <c r="F103" s="1">
        <v>43648</v>
      </c>
      <c r="G103">
        <v>202001</v>
      </c>
      <c r="H103" t="s">
        <v>206</v>
      </c>
      <c r="I103" t="s">
        <v>207</v>
      </c>
      <c r="J103" t="s">
        <v>67</v>
      </c>
      <c r="K103" t="s">
        <v>68</v>
      </c>
      <c r="L103" t="s">
        <v>65</v>
      </c>
      <c r="M103" t="s">
        <v>66</v>
      </c>
      <c r="N103" t="s">
        <v>67</v>
      </c>
      <c r="O103" t="s">
        <v>72</v>
      </c>
      <c r="P103" t="str">
        <f t="shared" si="2"/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36.799999999999997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5</v>
      </c>
      <c r="BI103">
        <v>36.1</v>
      </c>
      <c r="BJ103">
        <v>21.4</v>
      </c>
      <c r="BK103">
        <v>37</v>
      </c>
      <c r="BL103" s="5">
        <v>198.78</v>
      </c>
      <c r="BM103" s="5">
        <v>29.82</v>
      </c>
      <c r="BN103" s="5">
        <v>228.6</v>
      </c>
      <c r="BO103" s="5">
        <v>228.6</v>
      </c>
      <c r="BQ103" t="s">
        <v>173</v>
      </c>
      <c r="BR103" t="s">
        <v>270</v>
      </c>
      <c r="BS103" s="1">
        <v>43649</v>
      </c>
      <c r="BT103" s="2">
        <v>0.39583333333333331</v>
      </c>
      <c r="BU103" t="s">
        <v>100</v>
      </c>
      <c r="BV103" t="s">
        <v>86</v>
      </c>
      <c r="BY103">
        <v>107051.06</v>
      </c>
      <c r="CC103" t="s">
        <v>66</v>
      </c>
      <c r="CD103">
        <v>2146</v>
      </c>
      <c r="CE103" t="s">
        <v>78</v>
      </c>
      <c r="CF103" s="1">
        <v>43651</v>
      </c>
      <c r="CI103">
        <v>0</v>
      </c>
      <c r="CJ103">
        <v>0</v>
      </c>
      <c r="CK103" t="s">
        <v>115</v>
      </c>
      <c r="CL103" t="s">
        <v>76</v>
      </c>
    </row>
    <row r="104" spans="1:90">
      <c r="A104" t="s">
        <v>62</v>
      </c>
      <c r="B104" t="s">
        <v>63</v>
      </c>
      <c r="C104" t="s">
        <v>64</v>
      </c>
      <c r="E104" t="str">
        <f>"009937119085"</f>
        <v>009937119085</v>
      </c>
      <c r="F104" s="1">
        <v>43649</v>
      </c>
      <c r="G104">
        <v>202001</v>
      </c>
      <c r="H104" t="s">
        <v>96</v>
      </c>
      <c r="I104" t="s">
        <v>97</v>
      </c>
      <c r="J104" t="s">
        <v>360</v>
      </c>
      <c r="K104" t="s">
        <v>68</v>
      </c>
      <c r="L104" t="s">
        <v>65</v>
      </c>
      <c r="M104" t="s">
        <v>66</v>
      </c>
      <c r="N104" t="s">
        <v>67</v>
      </c>
      <c r="O104" t="s">
        <v>72</v>
      </c>
      <c r="P104" t="str">
        <f t="shared" si="2"/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58.69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65.599999999999994</v>
      </c>
      <c r="BJ104">
        <v>90.4</v>
      </c>
      <c r="BK104">
        <v>91</v>
      </c>
      <c r="BL104" s="5">
        <v>343.71</v>
      </c>
      <c r="BM104" s="5">
        <v>51.56</v>
      </c>
      <c r="BN104" s="5">
        <v>395.27</v>
      </c>
      <c r="BO104" s="5">
        <v>395.27</v>
      </c>
      <c r="BQ104" t="s">
        <v>144</v>
      </c>
      <c r="BR104" t="s">
        <v>199</v>
      </c>
      <c r="BS104" s="1">
        <v>43649</v>
      </c>
      <c r="BT104" s="2">
        <v>0.39583333333333331</v>
      </c>
      <c r="BU104" t="s">
        <v>100</v>
      </c>
      <c r="BV104" t="s">
        <v>86</v>
      </c>
      <c r="BY104">
        <v>451910.81</v>
      </c>
      <c r="CC104" t="s">
        <v>66</v>
      </c>
      <c r="CD104">
        <v>2146</v>
      </c>
      <c r="CE104" t="s">
        <v>78</v>
      </c>
      <c r="CF104" s="1">
        <v>43651</v>
      </c>
      <c r="CI104">
        <v>1</v>
      </c>
      <c r="CJ104">
        <v>1</v>
      </c>
      <c r="CK104" t="s">
        <v>95</v>
      </c>
      <c r="CL104" t="s">
        <v>76</v>
      </c>
    </row>
    <row r="105" spans="1:90">
      <c r="A105" t="s">
        <v>180</v>
      </c>
      <c r="B105" t="s">
        <v>63</v>
      </c>
      <c r="C105" t="s">
        <v>64</v>
      </c>
      <c r="E105" t="str">
        <f>"089901559886"</f>
        <v>089901559886</v>
      </c>
      <c r="F105" s="1">
        <v>43648</v>
      </c>
      <c r="G105">
        <v>202001</v>
      </c>
      <c r="H105" t="s">
        <v>181</v>
      </c>
      <c r="I105" t="s">
        <v>182</v>
      </c>
      <c r="J105" t="s">
        <v>67</v>
      </c>
      <c r="K105" t="s">
        <v>68</v>
      </c>
      <c r="L105" t="s">
        <v>103</v>
      </c>
      <c r="M105" t="s">
        <v>104</v>
      </c>
      <c r="N105" t="s">
        <v>67</v>
      </c>
      <c r="O105" t="s">
        <v>72</v>
      </c>
      <c r="P105" t="str">
        <f t="shared" si="2"/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31.97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3</v>
      </c>
      <c r="BI105">
        <v>26.8</v>
      </c>
      <c r="BJ105">
        <v>37.799999999999997</v>
      </c>
      <c r="BK105">
        <v>38</v>
      </c>
      <c r="BL105" s="5">
        <v>173.36</v>
      </c>
      <c r="BM105" s="5">
        <v>26</v>
      </c>
      <c r="BN105" s="5">
        <v>199.36</v>
      </c>
      <c r="BO105" s="5">
        <v>199.36</v>
      </c>
      <c r="BQ105" t="s">
        <v>144</v>
      </c>
      <c r="BR105" t="s">
        <v>361</v>
      </c>
      <c r="BS105" s="1">
        <v>43649</v>
      </c>
      <c r="BT105" s="2">
        <v>0.39583333333333331</v>
      </c>
      <c r="BU105" t="s">
        <v>100</v>
      </c>
      <c r="BV105" t="s">
        <v>86</v>
      </c>
      <c r="BY105">
        <v>189057.12</v>
      </c>
      <c r="CC105" t="s">
        <v>104</v>
      </c>
      <c r="CD105">
        <v>2000</v>
      </c>
      <c r="CE105" t="s">
        <v>78</v>
      </c>
      <c r="CF105" s="1">
        <v>43651</v>
      </c>
      <c r="CI105">
        <v>1</v>
      </c>
      <c r="CJ105">
        <v>1</v>
      </c>
      <c r="CK105" t="s">
        <v>95</v>
      </c>
      <c r="CL105" t="s">
        <v>76</v>
      </c>
    </row>
    <row r="106" spans="1:90">
      <c r="A106" t="s">
        <v>62</v>
      </c>
      <c r="B106" t="s">
        <v>63</v>
      </c>
      <c r="C106" t="s">
        <v>64</v>
      </c>
      <c r="E106" t="str">
        <f>"019911183759"</f>
        <v>019911183759</v>
      </c>
      <c r="F106" s="1">
        <v>43657</v>
      </c>
      <c r="G106">
        <v>202001</v>
      </c>
      <c r="H106" t="s">
        <v>137</v>
      </c>
      <c r="I106" t="s">
        <v>138</v>
      </c>
      <c r="J106" t="s">
        <v>67</v>
      </c>
      <c r="K106" t="s">
        <v>68</v>
      </c>
      <c r="L106" t="s">
        <v>141</v>
      </c>
      <c r="M106" t="s">
        <v>99</v>
      </c>
      <c r="N106" t="s">
        <v>67</v>
      </c>
      <c r="O106" t="s">
        <v>120</v>
      </c>
      <c r="P106" t="str">
        <f t="shared" si="2"/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105.51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5.9</v>
      </c>
      <c r="BJ106">
        <v>25.4</v>
      </c>
      <c r="BK106">
        <v>25.5</v>
      </c>
      <c r="BL106" s="5">
        <v>608.9</v>
      </c>
      <c r="BM106" s="5">
        <v>91.34</v>
      </c>
      <c r="BN106" s="5">
        <v>700.24</v>
      </c>
      <c r="BO106" s="5">
        <v>700.24</v>
      </c>
      <c r="BQ106" t="s">
        <v>362</v>
      </c>
      <c r="BR106" t="s">
        <v>140</v>
      </c>
      <c r="BS106" s="1">
        <v>43658</v>
      </c>
      <c r="BT106" s="2">
        <v>0.41666666666666669</v>
      </c>
      <c r="BU106" t="s">
        <v>363</v>
      </c>
      <c r="BV106" t="s">
        <v>86</v>
      </c>
      <c r="BY106">
        <v>126870.25</v>
      </c>
      <c r="BZ106" t="s">
        <v>23</v>
      </c>
      <c r="CC106" t="s">
        <v>99</v>
      </c>
      <c r="CD106">
        <v>6530</v>
      </c>
      <c r="CE106" t="s">
        <v>78</v>
      </c>
      <c r="CF106" s="1">
        <v>43664</v>
      </c>
      <c r="CI106">
        <v>1</v>
      </c>
      <c r="CJ106">
        <v>1</v>
      </c>
      <c r="CK106">
        <v>21</v>
      </c>
      <c r="CL106" t="s">
        <v>76</v>
      </c>
    </row>
    <row r="107" spans="1:90">
      <c r="A107" t="s">
        <v>62</v>
      </c>
      <c r="B107" t="s">
        <v>63</v>
      </c>
      <c r="C107" t="s">
        <v>64</v>
      </c>
      <c r="E107" t="str">
        <f>"089901535308"</f>
        <v>089901535308</v>
      </c>
      <c r="F107" s="1">
        <v>43658</v>
      </c>
      <c r="G107">
        <v>202001</v>
      </c>
      <c r="H107" t="s">
        <v>350</v>
      </c>
      <c r="I107" t="s">
        <v>351</v>
      </c>
      <c r="J107" t="s">
        <v>67</v>
      </c>
      <c r="K107" t="s">
        <v>68</v>
      </c>
      <c r="L107" t="s">
        <v>108</v>
      </c>
      <c r="M107" t="s">
        <v>109</v>
      </c>
      <c r="N107" t="s">
        <v>67</v>
      </c>
      <c r="O107" t="s">
        <v>120</v>
      </c>
      <c r="P107" t="str">
        <f t="shared" si="2"/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12.42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3</v>
      </c>
      <c r="BJ107">
        <v>1</v>
      </c>
      <c r="BK107">
        <v>3</v>
      </c>
      <c r="BL107" s="5">
        <v>71.66</v>
      </c>
      <c r="BM107" s="5">
        <v>10.75</v>
      </c>
      <c r="BN107" s="5">
        <v>82.41</v>
      </c>
      <c r="BO107" s="5">
        <v>82.41</v>
      </c>
      <c r="BQ107" t="s">
        <v>364</v>
      </c>
      <c r="BR107" t="s">
        <v>155</v>
      </c>
      <c r="BS107" s="1">
        <v>43661</v>
      </c>
      <c r="BT107" s="2">
        <v>0.36249999999999999</v>
      </c>
      <c r="BU107" t="s">
        <v>225</v>
      </c>
      <c r="BV107" t="s">
        <v>86</v>
      </c>
      <c r="BY107">
        <v>4800</v>
      </c>
      <c r="BZ107" t="s">
        <v>23</v>
      </c>
      <c r="CA107" t="s">
        <v>365</v>
      </c>
      <c r="CC107" t="s">
        <v>109</v>
      </c>
      <c r="CD107">
        <v>6000</v>
      </c>
      <c r="CE107" t="s">
        <v>366</v>
      </c>
      <c r="CF107" s="1">
        <v>43662</v>
      </c>
      <c r="CI107">
        <v>2</v>
      </c>
      <c r="CJ107">
        <v>1</v>
      </c>
      <c r="CK107">
        <v>21</v>
      </c>
      <c r="CL107" t="s">
        <v>76</v>
      </c>
    </row>
    <row r="108" spans="1:90">
      <c r="A108" t="s">
        <v>62</v>
      </c>
      <c r="B108" t="s">
        <v>63</v>
      </c>
      <c r="C108" t="s">
        <v>64</v>
      </c>
      <c r="E108" t="str">
        <f>"009935895267"</f>
        <v>009935895267</v>
      </c>
      <c r="F108" s="1">
        <v>43657</v>
      </c>
      <c r="G108">
        <v>202001</v>
      </c>
      <c r="H108" t="s">
        <v>65</v>
      </c>
      <c r="I108" t="s">
        <v>66</v>
      </c>
      <c r="J108" t="s">
        <v>67</v>
      </c>
      <c r="K108" t="s">
        <v>68</v>
      </c>
      <c r="L108" t="s">
        <v>216</v>
      </c>
      <c r="M108" t="s">
        <v>217</v>
      </c>
      <c r="N108" t="s">
        <v>67</v>
      </c>
      <c r="O108" t="s">
        <v>120</v>
      </c>
      <c r="P108" t="str">
        <f t="shared" si="2"/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14.48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1.6</v>
      </c>
      <c r="BJ108">
        <v>2.2000000000000002</v>
      </c>
      <c r="BK108">
        <v>2.5</v>
      </c>
      <c r="BL108" s="5">
        <v>83.56</v>
      </c>
      <c r="BM108" s="5">
        <v>12.53</v>
      </c>
      <c r="BN108" s="5">
        <v>96.09</v>
      </c>
      <c r="BO108" s="5">
        <v>96.09</v>
      </c>
      <c r="BQ108" t="s">
        <v>219</v>
      </c>
      <c r="BR108" t="s">
        <v>144</v>
      </c>
      <c r="BS108" s="1">
        <v>43658</v>
      </c>
      <c r="BT108" s="2">
        <v>0.38194444444444442</v>
      </c>
      <c r="BU108" t="s">
        <v>367</v>
      </c>
      <c r="BV108" t="s">
        <v>86</v>
      </c>
      <c r="BY108">
        <v>11173.44</v>
      </c>
      <c r="BZ108" t="s">
        <v>23</v>
      </c>
      <c r="CA108" t="s">
        <v>221</v>
      </c>
      <c r="CC108" t="s">
        <v>217</v>
      </c>
      <c r="CD108">
        <v>1034</v>
      </c>
      <c r="CE108" t="s">
        <v>78</v>
      </c>
      <c r="CF108" s="1">
        <v>43661</v>
      </c>
      <c r="CI108">
        <v>1</v>
      </c>
      <c r="CJ108">
        <v>1</v>
      </c>
      <c r="CK108">
        <v>24</v>
      </c>
      <c r="CL108" t="s">
        <v>76</v>
      </c>
    </row>
    <row r="109" spans="1:90">
      <c r="A109" t="s">
        <v>62</v>
      </c>
      <c r="B109" t="s">
        <v>63</v>
      </c>
      <c r="C109" t="s">
        <v>64</v>
      </c>
      <c r="E109" t="str">
        <f>"009939030278"</f>
        <v>009939030278</v>
      </c>
      <c r="F109" s="1">
        <v>43657</v>
      </c>
      <c r="G109">
        <v>202001</v>
      </c>
      <c r="H109" t="s">
        <v>65</v>
      </c>
      <c r="I109" t="s">
        <v>66</v>
      </c>
      <c r="J109" t="s">
        <v>67</v>
      </c>
      <c r="K109" t="s">
        <v>68</v>
      </c>
      <c r="L109" t="s">
        <v>307</v>
      </c>
      <c r="M109" t="s">
        <v>70</v>
      </c>
      <c r="N109" t="s">
        <v>368</v>
      </c>
      <c r="O109" t="s">
        <v>120</v>
      </c>
      <c r="P109" t="str">
        <f>"LCK                           "</f>
        <v xml:space="preserve">LCK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10.35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1.4</v>
      </c>
      <c r="BJ109">
        <v>2.2000000000000002</v>
      </c>
      <c r="BK109">
        <v>2.5</v>
      </c>
      <c r="BL109" s="5">
        <v>59.72</v>
      </c>
      <c r="BM109" s="5">
        <v>8.9600000000000009</v>
      </c>
      <c r="BN109" s="5">
        <v>68.680000000000007</v>
      </c>
      <c r="BO109" s="5">
        <v>68.680000000000007</v>
      </c>
      <c r="BQ109" t="s">
        <v>369</v>
      </c>
      <c r="BR109" t="s">
        <v>193</v>
      </c>
      <c r="BS109" s="1">
        <v>43661</v>
      </c>
      <c r="BT109" s="2">
        <v>0.375</v>
      </c>
      <c r="BU109" t="s">
        <v>370</v>
      </c>
      <c r="BV109" t="s">
        <v>76</v>
      </c>
      <c r="BY109">
        <v>11196</v>
      </c>
      <c r="BZ109" t="s">
        <v>23</v>
      </c>
      <c r="CA109" t="s">
        <v>77</v>
      </c>
      <c r="CC109" t="s">
        <v>70</v>
      </c>
      <c r="CD109">
        <v>1200</v>
      </c>
      <c r="CE109" t="s">
        <v>78</v>
      </c>
      <c r="CF109" s="1">
        <v>43661</v>
      </c>
      <c r="CI109">
        <v>1</v>
      </c>
      <c r="CJ109">
        <v>2</v>
      </c>
      <c r="CK109">
        <v>21</v>
      </c>
      <c r="CL109" t="s">
        <v>76</v>
      </c>
    </row>
    <row r="110" spans="1:90">
      <c r="A110" t="s">
        <v>62</v>
      </c>
      <c r="B110" t="s">
        <v>63</v>
      </c>
      <c r="C110" t="s">
        <v>64</v>
      </c>
      <c r="E110" t="str">
        <f>"009935987790"</f>
        <v>009935987790</v>
      </c>
      <c r="F110" s="1">
        <v>43657</v>
      </c>
      <c r="G110">
        <v>202001</v>
      </c>
      <c r="H110" t="s">
        <v>65</v>
      </c>
      <c r="I110" t="s">
        <v>66</v>
      </c>
      <c r="J110" t="s">
        <v>67</v>
      </c>
      <c r="K110" t="s">
        <v>68</v>
      </c>
      <c r="L110" t="s">
        <v>137</v>
      </c>
      <c r="M110" t="s">
        <v>138</v>
      </c>
      <c r="N110" t="s">
        <v>196</v>
      </c>
      <c r="O110" t="s">
        <v>120</v>
      </c>
      <c r="P110" t="str">
        <f>"....                          "</f>
        <v xml:space="preserve">....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8.2799999999999994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0.6</v>
      </c>
      <c r="BJ110">
        <v>1.6</v>
      </c>
      <c r="BK110">
        <v>2</v>
      </c>
      <c r="BL110" s="5">
        <v>47.78</v>
      </c>
      <c r="BM110" s="5">
        <v>7.17</v>
      </c>
      <c r="BN110" s="5">
        <v>54.95</v>
      </c>
      <c r="BO110" s="5">
        <v>54.95</v>
      </c>
      <c r="BQ110" t="s">
        <v>140</v>
      </c>
      <c r="BR110" t="s">
        <v>144</v>
      </c>
      <c r="BS110" s="1">
        <v>43658</v>
      </c>
      <c r="BT110" s="2">
        <v>0.35902777777777778</v>
      </c>
      <c r="BU110" t="s">
        <v>371</v>
      </c>
      <c r="BV110" t="s">
        <v>86</v>
      </c>
      <c r="BY110">
        <v>7810</v>
      </c>
      <c r="BZ110" t="s">
        <v>23</v>
      </c>
      <c r="CA110" t="s">
        <v>372</v>
      </c>
      <c r="CC110" t="s">
        <v>138</v>
      </c>
      <c r="CD110">
        <v>7700</v>
      </c>
      <c r="CE110" t="s">
        <v>78</v>
      </c>
      <c r="CF110" s="1">
        <v>43661</v>
      </c>
      <c r="CI110">
        <v>1</v>
      </c>
      <c r="CJ110">
        <v>1</v>
      </c>
      <c r="CK110">
        <v>21</v>
      </c>
      <c r="CL110" t="s">
        <v>76</v>
      </c>
    </row>
    <row r="111" spans="1:90">
      <c r="A111" t="s">
        <v>180</v>
      </c>
      <c r="B111" t="s">
        <v>63</v>
      </c>
      <c r="C111" t="s">
        <v>64</v>
      </c>
      <c r="E111" t="str">
        <f>"009939216304"</f>
        <v>009939216304</v>
      </c>
      <c r="F111" s="1">
        <v>43657</v>
      </c>
      <c r="G111">
        <v>202001</v>
      </c>
      <c r="H111" t="s">
        <v>255</v>
      </c>
      <c r="I111" t="s">
        <v>256</v>
      </c>
      <c r="J111" t="s">
        <v>67</v>
      </c>
      <c r="K111" t="s">
        <v>68</v>
      </c>
      <c r="L111" t="s">
        <v>103</v>
      </c>
      <c r="M111" t="s">
        <v>104</v>
      </c>
      <c r="N111" t="s">
        <v>67</v>
      </c>
      <c r="O111" t="s">
        <v>72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52.44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54.9</v>
      </c>
      <c r="BJ111">
        <v>79.5</v>
      </c>
      <c r="BK111">
        <v>80</v>
      </c>
      <c r="BL111" s="5">
        <v>307.64999999999998</v>
      </c>
      <c r="BM111" s="5">
        <v>46.15</v>
      </c>
      <c r="BN111" s="5">
        <v>353.8</v>
      </c>
      <c r="BO111" s="5">
        <v>353.8</v>
      </c>
      <c r="BQ111" t="s">
        <v>173</v>
      </c>
      <c r="BR111" t="s">
        <v>373</v>
      </c>
      <c r="BS111" s="1">
        <v>43658</v>
      </c>
      <c r="BT111" s="2">
        <v>0.5</v>
      </c>
      <c r="BU111" t="s">
        <v>167</v>
      </c>
      <c r="BV111" t="s">
        <v>86</v>
      </c>
      <c r="BY111">
        <v>198764</v>
      </c>
      <c r="CC111" t="s">
        <v>104</v>
      </c>
      <c r="CD111">
        <v>2196</v>
      </c>
      <c r="CE111" t="s">
        <v>78</v>
      </c>
      <c r="CF111" s="1">
        <v>43663</v>
      </c>
      <c r="CI111">
        <v>1</v>
      </c>
      <c r="CJ111">
        <v>1</v>
      </c>
      <c r="CK111" t="s">
        <v>95</v>
      </c>
      <c r="CL111" t="s">
        <v>76</v>
      </c>
    </row>
    <row r="112" spans="1:90">
      <c r="A112" t="s">
        <v>62</v>
      </c>
      <c r="B112" t="s">
        <v>63</v>
      </c>
      <c r="C112" t="s">
        <v>64</v>
      </c>
      <c r="E112" t="str">
        <f>"009938891151"</f>
        <v>009938891151</v>
      </c>
      <c r="F112" s="1">
        <v>43657</v>
      </c>
      <c r="G112">
        <v>202001</v>
      </c>
      <c r="H112" t="s">
        <v>65</v>
      </c>
      <c r="I112" t="s">
        <v>66</v>
      </c>
      <c r="J112" t="s">
        <v>67</v>
      </c>
      <c r="K112" t="s">
        <v>68</v>
      </c>
      <c r="L112" t="s">
        <v>206</v>
      </c>
      <c r="M112" t="s">
        <v>207</v>
      </c>
      <c r="N112" t="s">
        <v>67</v>
      </c>
      <c r="O112" t="s">
        <v>72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53.52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24.4</v>
      </c>
      <c r="BJ112">
        <v>42.9</v>
      </c>
      <c r="BK112">
        <v>43</v>
      </c>
      <c r="BL112" s="5">
        <v>313.83999999999997</v>
      </c>
      <c r="BM112" s="5">
        <v>47.08</v>
      </c>
      <c r="BN112" s="5">
        <v>360.92</v>
      </c>
      <c r="BO112" s="5">
        <v>360.92</v>
      </c>
      <c r="BQ112" t="s">
        <v>254</v>
      </c>
      <c r="BR112" t="s">
        <v>84</v>
      </c>
      <c r="BS112" s="1">
        <v>43662</v>
      </c>
      <c r="BT112" s="2">
        <v>0.34861111111111115</v>
      </c>
      <c r="BU112" t="s">
        <v>254</v>
      </c>
      <c r="BV112" t="s">
        <v>76</v>
      </c>
      <c r="BY112">
        <v>208574.35</v>
      </c>
      <c r="CA112" t="s">
        <v>313</v>
      </c>
      <c r="CC112" t="s">
        <v>207</v>
      </c>
      <c r="CD112">
        <v>450</v>
      </c>
      <c r="CE112" t="s">
        <v>78</v>
      </c>
      <c r="CF112" s="1">
        <v>43663</v>
      </c>
      <c r="CI112">
        <v>0</v>
      </c>
      <c r="CJ112">
        <v>0</v>
      </c>
      <c r="CK112" t="s">
        <v>88</v>
      </c>
      <c r="CL112" t="s">
        <v>76</v>
      </c>
    </row>
    <row r="113" spans="1:90">
      <c r="A113" t="s">
        <v>62</v>
      </c>
      <c r="B113" t="s">
        <v>63</v>
      </c>
      <c r="C113" t="s">
        <v>64</v>
      </c>
      <c r="E113" t="str">
        <f>"009938132483"</f>
        <v>009938132483</v>
      </c>
      <c r="F113" s="1">
        <v>43657</v>
      </c>
      <c r="G113">
        <v>202001</v>
      </c>
      <c r="H113" t="s">
        <v>206</v>
      </c>
      <c r="I113" t="s">
        <v>207</v>
      </c>
      <c r="J113" t="s">
        <v>67</v>
      </c>
      <c r="K113" t="s">
        <v>68</v>
      </c>
      <c r="L113" t="s">
        <v>65</v>
      </c>
      <c r="M113" t="s">
        <v>66</v>
      </c>
      <c r="N113" t="s">
        <v>67</v>
      </c>
      <c r="O113" t="s">
        <v>72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36.53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30.7</v>
      </c>
      <c r="BJ113">
        <v>42</v>
      </c>
      <c r="BK113">
        <v>42</v>
      </c>
      <c r="BL113" s="5">
        <v>215.81</v>
      </c>
      <c r="BM113" s="5">
        <v>32.369999999999997</v>
      </c>
      <c r="BN113" s="5">
        <v>248.18</v>
      </c>
      <c r="BO113" s="5">
        <v>248.18</v>
      </c>
      <c r="BQ113" t="s">
        <v>173</v>
      </c>
      <c r="BR113" t="s">
        <v>254</v>
      </c>
      <c r="BS113" s="1">
        <v>43658</v>
      </c>
      <c r="BT113" s="2">
        <v>0.5</v>
      </c>
      <c r="BU113" t="s">
        <v>167</v>
      </c>
      <c r="BV113" t="s">
        <v>86</v>
      </c>
      <c r="BY113">
        <v>209848.7</v>
      </c>
      <c r="CC113" t="s">
        <v>66</v>
      </c>
      <c r="CD113">
        <v>2146</v>
      </c>
      <c r="CE113" t="s">
        <v>78</v>
      </c>
      <c r="CF113" s="1">
        <v>43663</v>
      </c>
      <c r="CI113">
        <v>0</v>
      </c>
      <c r="CJ113">
        <v>0</v>
      </c>
      <c r="CK113" t="s">
        <v>115</v>
      </c>
      <c r="CL113" t="s">
        <v>76</v>
      </c>
    </row>
    <row r="114" spans="1:90">
      <c r="A114" t="s">
        <v>62</v>
      </c>
      <c r="B114" t="s">
        <v>63</v>
      </c>
      <c r="C114" t="s">
        <v>64</v>
      </c>
      <c r="E114" t="str">
        <f>"009935987791"</f>
        <v>009935987791</v>
      </c>
      <c r="F114" s="1">
        <v>43658</v>
      </c>
      <c r="G114">
        <v>202001</v>
      </c>
      <c r="H114" t="s">
        <v>65</v>
      </c>
      <c r="I114" t="s">
        <v>66</v>
      </c>
      <c r="J114" t="s">
        <v>67</v>
      </c>
      <c r="K114" t="s">
        <v>68</v>
      </c>
      <c r="L114" t="s">
        <v>137</v>
      </c>
      <c r="M114" t="s">
        <v>138</v>
      </c>
      <c r="N114" t="s">
        <v>196</v>
      </c>
      <c r="O114" t="s">
        <v>120</v>
      </c>
      <c r="P114" t="str">
        <f>"...                           "</f>
        <v xml:space="preserve">...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10.35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0.8</v>
      </c>
      <c r="BJ114">
        <v>2.1</v>
      </c>
      <c r="BK114">
        <v>2.5</v>
      </c>
      <c r="BL114" s="5">
        <v>59.72</v>
      </c>
      <c r="BM114" s="5">
        <v>8.9600000000000009</v>
      </c>
      <c r="BN114" s="5">
        <v>68.680000000000007</v>
      </c>
      <c r="BO114" s="5">
        <v>68.680000000000007</v>
      </c>
      <c r="BQ114" t="s">
        <v>140</v>
      </c>
      <c r="BR114" t="s">
        <v>144</v>
      </c>
      <c r="BS114" s="1">
        <v>43661</v>
      </c>
      <c r="BT114" s="2">
        <v>0.37777777777777777</v>
      </c>
      <c r="BU114" t="s">
        <v>374</v>
      </c>
      <c r="BV114" t="s">
        <v>86</v>
      </c>
      <c r="BY114">
        <v>10352.200000000001</v>
      </c>
      <c r="BZ114" t="s">
        <v>23</v>
      </c>
      <c r="CA114" t="s">
        <v>372</v>
      </c>
      <c r="CC114" t="s">
        <v>138</v>
      </c>
      <c r="CD114">
        <v>7700</v>
      </c>
      <c r="CE114" t="s">
        <v>78</v>
      </c>
      <c r="CF114" s="1">
        <v>43662</v>
      </c>
      <c r="CI114">
        <v>1</v>
      </c>
      <c r="CJ114">
        <v>1</v>
      </c>
      <c r="CK114">
        <v>21</v>
      </c>
      <c r="CL114" t="s">
        <v>76</v>
      </c>
    </row>
    <row r="115" spans="1:90">
      <c r="A115" t="s">
        <v>62</v>
      </c>
      <c r="B115" t="s">
        <v>63</v>
      </c>
      <c r="C115" t="s">
        <v>64</v>
      </c>
      <c r="E115" t="str">
        <f>"009938891385"</f>
        <v>009938891385</v>
      </c>
      <c r="F115" s="1">
        <v>43657</v>
      </c>
      <c r="G115">
        <v>202001</v>
      </c>
      <c r="H115" t="s">
        <v>65</v>
      </c>
      <c r="I115" t="s">
        <v>66</v>
      </c>
      <c r="J115" t="s">
        <v>67</v>
      </c>
      <c r="K115" t="s">
        <v>68</v>
      </c>
      <c r="L115" t="s">
        <v>122</v>
      </c>
      <c r="M115" t="s">
        <v>123</v>
      </c>
      <c r="N115" t="s">
        <v>67</v>
      </c>
      <c r="O115" t="s">
        <v>72</v>
      </c>
      <c r="P115" t="str">
        <f t="shared" ref="P115:P120" si="3"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116.63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4</v>
      </c>
      <c r="BI115">
        <v>166</v>
      </c>
      <c r="BJ115">
        <v>192.8</v>
      </c>
      <c r="BK115">
        <v>193</v>
      </c>
      <c r="BL115" s="5">
        <v>678.07</v>
      </c>
      <c r="BM115" s="5">
        <v>101.71</v>
      </c>
      <c r="BN115" s="5">
        <v>779.78</v>
      </c>
      <c r="BO115" s="5">
        <v>779.78</v>
      </c>
      <c r="BQ115" t="s">
        <v>375</v>
      </c>
      <c r="BR115" t="s">
        <v>84</v>
      </c>
      <c r="BS115" s="1">
        <v>43658</v>
      </c>
      <c r="BT115" s="2">
        <v>0.51458333333333328</v>
      </c>
      <c r="BU115" t="s">
        <v>167</v>
      </c>
      <c r="BV115" t="s">
        <v>86</v>
      </c>
      <c r="BY115">
        <v>964136</v>
      </c>
      <c r="CA115" t="s">
        <v>376</v>
      </c>
      <c r="CC115" t="s">
        <v>123</v>
      </c>
      <c r="CD115">
        <v>299</v>
      </c>
      <c r="CE115" t="s">
        <v>78</v>
      </c>
      <c r="CF115" s="1">
        <v>43663</v>
      </c>
      <c r="CI115">
        <v>1</v>
      </c>
      <c r="CJ115">
        <v>1</v>
      </c>
      <c r="CK115" t="s">
        <v>95</v>
      </c>
      <c r="CL115" t="s">
        <v>76</v>
      </c>
    </row>
    <row r="116" spans="1:90">
      <c r="A116" t="s">
        <v>62</v>
      </c>
      <c r="B116" t="s">
        <v>63</v>
      </c>
      <c r="C116" t="s">
        <v>64</v>
      </c>
      <c r="E116" t="str">
        <f>"009935987730"</f>
        <v>009935987730</v>
      </c>
      <c r="F116" s="1">
        <v>43658</v>
      </c>
      <c r="G116">
        <v>202001</v>
      </c>
      <c r="H116" t="s">
        <v>65</v>
      </c>
      <c r="I116" t="s">
        <v>66</v>
      </c>
      <c r="J116" t="s">
        <v>67</v>
      </c>
      <c r="K116" t="s">
        <v>68</v>
      </c>
      <c r="L116" t="s">
        <v>247</v>
      </c>
      <c r="M116" t="s">
        <v>138</v>
      </c>
      <c r="N116" t="s">
        <v>196</v>
      </c>
      <c r="O116" t="s">
        <v>72</v>
      </c>
      <c r="P116" t="str">
        <f t="shared" si="3"/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59.74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74</v>
      </c>
      <c r="BJ116">
        <v>49.5</v>
      </c>
      <c r="BK116">
        <v>74</v>
      </c>
      <c r="BL116" s="5">
        <v>349.74</v>
      </c>
      <c r="BM116" s="5">
        <v>52.46</v>
      </c>
      <c r="BN116" s="5">
        <v>402.2</v>
      </c>
      <c r="BO116" s="5">
        <v>402.2</v>
      </c>
      <c r="BQ116" t="s">
        <v>140</v>
      </c>
      <c r="BR116" t="s">
        <v>144</v>
      </c>
      <c r="BS116" s="1">
        <v>43661</v>
      </c>
      <c r="BT116" s="2">
        <v>0.50555555555555554</v>
      </c>
      <c r="BU116" t="s">
        <v>377</v>
      </c>
      <c r="BV116" t="s">
        <v>86</v>
      </c>
      <c r="BY116">
        <v>247428</v>
      </c>
      <c r="CA116" t="s">
        <v>288</v>
      </c>
      <c r="CC116" t="s">
        <v>138</v>
      </c>
      <c r="CD116">
        <v>7700</v>
      </c>
      <c r="CE116" t="s">
        <v>78</v>
      </c>
      <c r="CF116" s="1">
        <v>43661</v>
      </c>
      <c r="CI116">
        <v>2</v>
      </c>
      <c r="CJ116">
        <v>1</v>
      </c>
      <c r="CK116" t="s">
        <v>115</v>
      </c>
      <c r="CL116" t="s">
        <v>76</v>
      </c>
    </row>
    <row r="117" spans="1:90">
      <c r="A117" t="s">
        <v>62</v>
      </c>
      <c r="B117" t="s">
        <v>63</v>
      </c>
      <c r="C117" t="s">
        <v>64</v>
      </c>
      <c r="E117" t="str">
        <f>"009935998571"</f>
        <v>009935998571</v>
      </c>
      <c r="F117" s="1">
        <v>43657</v>
      </c>
      <c r="G117">
        <v>202001</v>
      </c>
      <c r="H117" t="s">
        <v>65</v>
      </c>
      <c r="I117" t="s">
        <v>66</v>
      </c>
      <c r="J117" t="s">
        <v>67</v>
      </c>
      <c r="K117" t="s">
        <v>68</v>
      </c>
      <c r="L117" t="s">
        <v>181</v>
      </c>
      <c r="M117" t="s">
        <v>182</v>
      </c>
      <c r="N117" t="s">
        <v>378</v>
      </c>
      <c r="O117" t="s">
        <v>72</v>
      </c>
      <c r="P117" t="str">
        <f t="shared" si="3"/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25.38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19</v>
      </c>
      <c r="BJ117">
        <v>42.9</v>
      </c>
      <c r="BK117">
        <v>43</v>
      </c>
      <c r="BL117" s="5">
        <v>151.44999999999999</v>
      </c>
      <c r="BM117" s="5">
        <v>22.72</v>
      </c>
      <c r="BN117" s="5">
        <v>174.17</v>
      </c>
      <c r="BO117" s="5">
        <v>174.17</v>
      </c>
      <c r="BQ117" t="s">
        <v>252</v>
      </c>
      <c r="BR117" t="s">
        <v>144</v>
      </c>
      <c r="BS117" s="1">
        <v>43658</v>
      </c>
      <c r="BT117" s="2">
        <v>0.5</v>
      </c>
      <c r="BU117" t="s">
        <v>379</v>
      </c>
      <c r="BV117" t="s">
        <v>86</v>
      </c>
      <c r="BY117">
        <v>214400</v>
      </c>
      <c r="CA117" t="s">
        <v>327</v>
      </c>
      <c r="CC117" t="s">
        <v>182</v>
      </c>
      <c r="CD117">
        <v>9301</v>
      </c>
      <c r="CE117" t="s">
        <v>78</v>
      </c>
      <c r="CF117" s="1">
        <v>43661</v>
      </c>
      <c r="CI117">
        <v>1</v>
      </c>
      <c r="CJ117">
        <v>1</v>
      </c>
      <c r="CK117" t="s">
        <v>79</v>
      </c>
      <c r="CL117" t="s">
        <v>76</v>
      </c>
    </row>
    <row r="118" spans="1:90">
      <c r="A118" t="s">
        <v>62</v>
      </c>
      <c r="B118" t="s">
        <v>63</v>
      </c>
      <c r="C118" t="s">
        <v>64</v>
      </c>
      <c r="E118" t="str">
        <f>"009938891386"</f>
        <v>009938891386</v>
      </c>
      <c r="F118" s="1">
        <v>43658</v>
      </c>
      <c r="G118">
        <v>202001</v>
      </c>
      <c r="H118" t="s">
        <v>65</v>
      </c>
      <c r="I118" t="s">
        <v>66</v>
      </c>
      <c r="J118" t="s">
        <v>67</v>
      </c>
      <c r="K118" t="s">
        <v>68</v>
      </c>
      <c r="L118" t="s">
        <v>122</v>
      </c>
      <c r="M118" t="s">
        <v>123</v>
      </c>
      <c r="N118" t="s">
        <v>67</v>
      </c>
      <c r="O118" t="s">
        <v>72</v>
      </c>
      <c r="P118" t="str">
        <f t="shared" si="3"/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35.4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42</v>
      </c>
      <c r="BJ118">
        <v>49.5</v>
      </c>
      <c r="BK118">
        <v>50</v>
      </c>
      <c r="BL118" s="5">
        <v>209.31</v>
      </c>
      <c r="BM118" s="5">
        <v>31.4</v>
      </c>
      <c r="BN118" s="5">
        <v>240.71</v>
      </c>
      <c r="BO118" s="5">
        <v>240.71</v>
      </c>
      <c r="BQ118" t="s">
        <v>331</v>
      </c>
      <c r="BR118" t="s">
        <v>84</v>
      </c>
      <c r="BS118" s="1">
        <v>43661</v>
      </c>
      <c r="BT118" s="2">
        <v>0.34375</v>
      </c>
      <c r="BU118" t="s">
        <v>380</v>
      </c>
      <c r="BV118" t="s">
        <v>86</v>
      </c>
      <c r="BY118">
        <v>247428</v>
      </c>
      <c r="CA118" t="s">
        <v>333</v>
      </c>
      <c r="CC118" t="s">
        <v>123</v>
      </c>
      <c r="CD118">
        <v>299</v>
      </c>
      <c r="CE118" t="s">
        <v>78</v>
      </c>
      <c r="CF118" s="1">
        <v>43664</v>
      </c>
      <c r="CI118">
        <v>1</v>
      </c>
      <c r="CJ118">
        <v>1</v>
      </c>
      <c r="CK118" t="s">
        <v>95</v>
      </c>
      <c r="CL118" t="s">
        <v>76</v>
      </c>
    </row>
    <row r="119" spans="1:90">
      <c r="A119" t="s">
        <v>62</v>
      </c>
      <c r="B119" t="s">
        <v>63</v>
      </c>
      <c r="C119" t="s">
        <v>64</v>
      </c>
      <c r="E119" t="str">
        <f>"009939030227"</f>
        <v>009939030227</v>
      </c>
      <c r="F119" s="1">
        <v>43657</v>
      </c>
      <c r="G119">
        <v>202001</v>
      </c>
      <c r="H119" t="s">
        <v>65</v>
      </c>
      <c r="I119" t="s">
        <v>66</v>
      </c>
      <c r="J119" t="s">
        <v>67</v>
      </c>
      <c r="K119" t="s">
        <v>68</v>
      </c>
      <c r="L119" t="s">
        <v>277</v>
      </c>
      <c r="M119" t="s">
        <v>278</v>
      </c>
      <c r="N119" t="s">
        <v>279</v>
      </c>
      <c r="O119" t="s">
        <v>72</v>
      </c>
      <c r="P119" t="str">
        <f t="shared" si="3"/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40.36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34</v>
      </c>
      <c r="BJ119">
        <v>50</v>
      </c>
      <c r="BK119">
        <v>50</v>
      </c>
      <c r="BL119" s="5">
        <v>237.94</v>
      </c>
      <c r="BM119" s="5">
        <v>35.69</v>
      </c>
      <c r="BN119" s="5">
        <v>273.63</v>
      </c>
      <c r="BO119" s="5">
        <v>273.63</v>
      </c>
      <c r="BQ119" t="s">
        <v>280</v>
      </c>
      <c r="BR119" t="s">
        <v>74</v>
      </c>
      <c r="BS119" s="1">
        <v>43658</v>
      </c>
      <c r="BT119" s="2">
        <v>0.41666666666666669</v>
      </c>
      <c r="BU119" t="s">
        <v>246</v>
      </c>
      <c r="BV119" t="s">
        <v>86</v>
      </c>
      <c r="BY119">
        <v>249912</v>
      </c>
      <c r="CA119" t="s">
        <v>282</v>
      </c>
      <c r="CC119" t="s">
        <v>278</v>
      </c>
      <c r="CD119">
        <v>9700</v>
      </c>
      <c r="CE119" t="s">
        <v>78</v>
      </c>
      <c r="CF119" s="1">
        <v>43662</v>
      </c>
      <c r="CI119">
        <v>1</v>
      </c>
      <c r="CJ119">
        <v>1</v>
      </c>
      <c r="CK119" t="s">
        <v>262</v>
      </c>
      <c r="CL119" t="s">
        <v>76</v>
      </c>
    </row>
    <row r="120" spans="1:90">
      <c r="A120" t="s">
        <v>62</v>
      </c>
      <c r="B120" t="s">
        <v>63</v>
      </c>
      <c r="C120" t="s">
        <v>64</v>
      </c>
      <c r="E120" t="str">
        <f>"009938681260"</f>
        <v>009938681260</v>
      </c>
      <c r="F120" s="1">
        <v>43658</v>
      </c>
      <c r="G120">
        <v>202001</v>
      </c>
      <c r="H120" t="s">
        <v>65</v>
      </c>
      <c r="I120" t="s">
        <v>66</v>
      </c>
      <c r="J120" t="s">
        <v>67</v>
      </c>
      <c r="K120" t="s">
        <v>68</v>
      </c>
      <c r="L120" t="s">
        <v>206</v>
      </c>
      <c r="M120" t="s">
        <v>207</v>
      </c>
      <c r="N120" t="s">
        <v>67</v>
      </c>
      <c r="O120" t="s">
        <v>72</v>
      </c>
      <c r="P120" t="str">
        <f t="shared" si="3"/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53.52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29</v>
      </c>
      <c r="BJ120">
        <v>42.2</v>
      </c>
      <c r="BK120">
        <v>43</v>
      </c>
      <c r="BL120" s="5">
        <v>313.83999999999997</v>
      </c>
      <c r="BM120" s="5">
        <v>47.08</v>
      </c>
      <c r="BN120" s="5">
        <v>360.92</v>
      </c>
      <c r="BO120" s="5">
        <v>360.92</v>
      </c>
      <c r="BQ120" t="s">
        <v>381</v>
      </c>
      <c r="BR120" t="s">
        <v>84</v>
      </c>
      <c r="BS120" s="1">
        <v>43661</v>
      </c>
      <c r="BT120" s="2">
        <v>0.35138888888888892</v>
      </c>
      <c r="BU120" t="s">
        <v>382</v>
      </c>
      <c r="BV120" t="s">
        <v>86</v>
      </c>
      <c r="BY120">
        <v>211200</v>
      </c>
      <c r="CA120" t="s">
        <v>313</v>
      </c>
      <c r="CC120" t="s">
        <v>207</v>
      </c>
      <c r="CD120">
        <v>450</v>
      </c>
      <c r="CE120" t="s">
        <v>78</v>
      </c>
      <c r="CF120" s="1">
        <v>43664</v>
      </c>
      <c r="CI120">
        <v>0</v>
      </c>
      <c r="CJ120">
        <v>0</v>
      </c>
      <c r="CK120" t="s">
        <v>88</v>
      </c>
      <c r="CL120" t="s">
        <v>76</v>
      </c>
    </row>
    <row r="121" spans="1:90">
      <c r="A121" t="s">
        <v>180</v>
      </c>
      <c r="B121" t="s">
        <v>63</v>
      </c>
      <c r="C121" t="s">
        <v>64</v>
      </c>
      <c r="E121" t="str">
        <f>"039902812530"</f>
        <v>039902812530</v>
      </c>
      <c r="F121" s="1">
        <v>43658</v>
      </c>
      <c r="G121">
        <v>202001</v>
      </c>
      <c r="H121" t="s">
        <v>141</v>
      </c>
      <c r="I121" t="s">
        <v>99</v>
      </c>
      <c r="J121" t="s">
        <v>345</v>
      </c>
      <c r="K121" t="s">
        <v>68</v>
      </c>
      <c r="L121" t="s">
        <v>103</v>
      </c>
      <c r="M121" t="s">
        <v>104</v>
      </c>
      <c r="N121" t="s">
        <v>345</v>
      </c>
      <c r="O121" t="s">
        <v>72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24.94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10.4</v>
      </c>
      <c r="BJ121">
        <v>18.8</v>
      </c>
      <c r="BK121">
        <v>19</v>
      </c>
      <c r="BL121" s="5">
        <v>148.94</v>
      </c>
      <c r="BM121" s="5">
        <v>22.34</v>
      </c>
      <c r="BN121" s="5">
        <v>171.28</v>
      </c>
      <c r="BO121" s="5">
        <v>171.28</v>
      </c>
      <c r="BS121" s="1">
        <v>43663</v>
      </c>
      <c r="BT121" s="2">
        <v>0.63055555555555554</v>
      </c>
      <c r="BU121" t="s">
        <v>100</v>
      </c>
      <c r="BV121" t="s">
        <v>86</v>
      </c>
      <c r="BY121">
        <v>100744.38</v>
      </c>
      <c r="CC121" t="s">
        <v>104</v>
      </c>
      <c r="CD121">
        <v>2000</v>
      </c>
      <c r="CE121" t="s">
        <v>347</v>
      </c>
      <c r="CF121" s="1">
        <v>43665</v>
      </c>
      <c r="CI121">
        <v>0</v>
      </c>
      <c r="CJ121">
        <v>0</v>
      </c>
      <c r="CK121" t="s">
        <v>88</v>
      </c>
      <c r="CL121" t="s">
        <v>76</v>
      </c>
    </row>
    <row r="122" spans="1:90">
      <c r="A122" t="s">
        <v>62</v>
      </c>
      <c r="B122" t="s">
        <v>63</v>
      </c>
      <c r="C122" t="s">
        <v>64</v>
      </c>
      <c r="E122" t="str">
        <f>"009935987731"</f>
        <v>009935987731</v>
      </c>
      <c r="F122" s="1">
        <v>43658</v>
      </c>
      <c r="G122">
        <v>202001</v>
      </c>
      <c r="H122" t="s">
        <v>65</v>
      </c>
      <c r="I122" t="s">
        <v>66</v>
      </c>
      <c r="J122" t="s">
        <v>67</v>
      </c>
      <c r="K122" t="s">
        <v>68</v>
      </c>
      <c r="L122" t="s">
        <v>247</v>
      </c>
      <c r="M122" t="s">
        <v>138</v>
      </c>
      <c r="N122" t="s">
        <v>196</v>
      </c>
      <c r="O122" t="s">
        <v>72</v>
      </c>
      <c r="P122" t="str">
        <f>"...                           "</f>
        <v xml:space="preserve">...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16.95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1.2</v>
      </c>
      <c r="BK122">
        <v>2</v>
      </c>
      <c r="BL122" s="5">
        <v>102.81</v>
      </c>
      <c r="BM122" s="5">
        <v>15.42</v>
      </c>
      <c r="BN122" s="5">
        <v>118.23</v>
      </c>
      <c r="BO122" s="5">
        <v>118.23</v>
      </c>
      <c r="BQ122" t="s">
        <v>140</v>
      </c>
      <c r="BR122" t="s">
        <v>144</v>
      </c>
      <c r="BS122" s="1">
        <v>43661</v>
      </c>
      <c r="BT122" s="2">
        <v>0.37777777777777777</v>
      </c>
      <c r="BU122" t="s">
        <v>374</v>
      </c>
      <c r="BV122" t="s">
        <v>86</v>
      </c>
      <c r="BY122">
        <v>5799.6</v>
      </c>
      <c r="CA122" t="s">
        <v>372</v>
      </c>
      <c r="CC122" t="s">
        <v>138</v>
      </c>
      <c r="CD122">
        <v>7700</v>
      </c>
      <c r="CE122" t="s">
        <v>78</v>
      </c>
      <c r="CF122" s="1">
        <v>43662</v>
      </c>
      <c r="CI122">
        <v>2</v>
      </c>
      <c r="CJ122">
        <v>1</v>
      </c>
      <c r="CK122" t="s">
        <v>115</v>
      </c>
      <c r="CL122" t="s">
        <v>76</v>
      </c>
    </row>
    <row r="123" spans="1:90">
      <c r="A123" t="s">
        <v>62</v>
      </c>
      <c r="B123" t="s">
        <v>63</v>
      </c>
      <c r="C123" t="s">
        <v>64</v>
      </c>
      <c r="E123" t="str">
        <f>"009939030225"</f>
        <v>009939030225</v>
      </c>
      <c r="F123" s="1">
        <v>43658</v>
      </c>
      <c r="G123">
        <v>202001</v>
      </c>
      <c r="H123" t="s">
        <v>65</v>
      </c>
      <c r="I123" t="s">
        <v>66</v>
      </c>
      <c r="J123" t="s">
        <v>67</v>
      </c>
      <c r="K123" t="s">
        <v>68</v>
      </c>
      <c r="L123" t="s">
        <v>383</v>
      </c>
      <c r="M123" t="s">
        <v>384</v>
      </c>
      <c r="N123" t="s">
        <v>385</v>
      </c>
      <c r="O123" t="s">
        <v>72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14.23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5</v>
      </c>
      <c r="BJ123">
        <v>3.3</v>
      </c>
      <c r="BK123">
        <v>5</v>
      </c>
      <c r="BL123" s="5">
        <v>87.12</v>
      </c>
      <c r="BM123" s="5">
        <v>13.07</v>
      </c>
      <c r="BN123" s="5">
        <v>100.19</v>
      </c>
      <c r="BO123" s="5">
        <v>100.19</v>
      </c>
      <c r="BQ123" t="s">
        <v>386</v>
      </c>
      <c r="BR123" t="s">
        <v>343</v>
      </c>
      <c r="BS123" s="1">
        <v>43661</v>
      </c>
      <c r="BT123" s="2">
        <v>0.36458333333333331</v>
      </c>
      <c r="BU123" t="s">
        <v>387</v>
      </c>
      <c r="BV123" t="s">
        <v>86</v>
      </c>
      <c r="BY123">
        <v>16649.8</v>
      </c>
      <c r="CA123" t="s">
        <v>388</v>
      </c>
      <c r="CC123" t="s">
        <v>384</v>
      </c>
      <c r="CD123">
        <v>46</v>
      </c>
      <c r="CE123" t="s">
        <v>78</v>
      </c>
      <c r="CF123" s="1">
        <v>43662</v>
      </c>
      <c r="CI123">
        <v>0</v>
      </c>
      <c r="CJ123">
        <v>0</v>
      </c>
      <c r="CK123" t="s">
        <v>177</v>
      </c>
      <c r="CL123" t="s">
        <v>76</v>
      </c>
    </row>
    <row r="124" spans="1:90">
      <c r="A124" t="s">
        <v>62</v>
      </c>
      <c r="B124" t="s">
        <v>63</v>
      </c>
      <c r="C124" t="s">
        <v>64</v>
      </c>
      <c r="E124" t="str">
        <f>"009939030226"</f>
        <v>009939030226</v>
      </c>
      <c r="F124" s="1">
        <v>43658</v>
      </c>
      <c r="G124">
        <v>202001</v>
      </c>
      <c r="H124" t="s">
        <v>65</v>
      </c>
      <c r="I124" t="s">
        <v>66</v>
      </c>
      <c r="J124" t="s">
        <v>67</v>
      </c>
      <c r="K124" t="s">
        <v>68</v>
      </c>
      <c r="L124" t="s">
        <v>389</v>
      </c>
      <c r="M124" t="s">
        <v>390</v>
      </c>
      <c r="N124" t="s">
        <v>391</v>
      </c>
      <c r="O124" t="s">
        <v>72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37.25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30</v>
      </c>
      <c r="BJ124">
        <v>42.2</v>
      </c>
      <c r="BK124">
        <v>43</v>
      </c>
      <c r="BL124" s="5">
        <v>219.99</v>
      </c>
      <c r="BM124" s="5">
        <v>33</v>
      </c>
      <c r="BN124" s="5">
        <v>252.99</v>
      </c>
      <c r="BO124" s="5">
        <v>252.99</v>
      </c>
      <c r="BQ124" t="s">
        <v>209</v>
      </c>
      <c r="BR124" t="s">
        <v>74</v>
      </c>
      <c r="BS124" s="1">
        <v>43663</v>
      </c>
      <c r="BT124" s="2">
        <v>0.41666666666666669</v>
      </c>
      <c r="BU124" t="s">
        <v>392</v>
      </c>
      <c r="BV124" t="s">
        <v>76</v>
      </c>
      <c r="BY124">
        <v>211200</v>
      </c>
      <c r="CC124" t="s">
        <v>390</v>
      </c>
      <c r="CD124">
        <v>3900</v>
      </c>
      <c r="CE124" t="s">
        <v>78</v>
      </c>
      <c r="CF124" s="1">
        <v>43665</v>
      </c>
      <c r="CI124">
        <v>2</v>
      </c>
      <c r="CJ124">
        <v>3</v>
      </c>
      <c r="CK124" t="s">
        <v>393</v>
      </c>
      <c r="CL124" t="s">
        <v>76</v>
      </c>
    </row>
    <row r="125" spans="1:90">
      <c r="A125" t="s">
        <v>62</v>
      </c>
      <c r="B125" t="s">
        <v>63</v>
      </c>
      <c r="C125" t="s">
        <v>64</v>
      </c>
      <c r="E125" t="str">
        <f>"009938662295"</f>
        <v>009938662295</v>
      </c>
      <c r="F125" s="1">
        <v>43658</v>
      </c>
      <c r="G125">
        <v>202001</v>
      </c>
      <c r="H125" t="s">
        <v>152</v>
      </c>
      <c r="I125" t="s">
        <v>153</v>
      </c>
      <c r="J125" t="s">
        <v>267</v>
      </c>
      <c r="K125" t="s">
        <v>68</v>
      </c>
      <c r="L125" t="s">
        <v>65</v>
      </c>
      <c r="M125" t="s">
        <v>66</v>
      </c>
      <c r="N125" t="s">
        <v>296</v>
      </c>
      <c r="O125" t="s">
        <v>72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35.659999999999997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36.1</v>
      </c>
      <c r="BJ125">
        <v>42.2</v>
      </c>
      <c r="BK125">
        <v>43</v>
      </c>
      <c r="BL125" s="5">
        <v>210.77</v>
      </c>
      <c r="BM125" s="5">
        <v>31.62</v>
      </c>
      <c r="BN125" s="5">
        <v>242.39</v>
      </c>
      <c r="BO125" s="5">
        <v>242.39</v>
      </c>
      <c r="BQ125" t="s">
        <v>394</v>
      </c>
      <c r="BR125" t="s">
        <v>395</v>
      </c>
      <c r="BS125" s="1">
        <v>43661</v>
      </c>
      <c r="BT125" s="2">
        <v>0.48333333333333334</v>
      </c>
      <c r="BU125" t="s">
        <v>167</v>
      </c>
      <c r="BV125" t="s">
        <v>86</v>
      </c>
      <c r="BY125">
        <v>210876.43</v>
      </c>
      <c r="CC125" t="s">
        <v>66</v>
      </c>
      <c r="CD125">
        <v>2146</v>
      </c>
      <c r="CE125">
        <v>1</v>
      </c>
      <c r="CF125" s="1">
        <v>43663</v>
      </c>
      <c r="CI125">
        <v>1</v>
      </c>
      <c r="CJ125">
        <v>1</v>
      </c>
      <c r="CK125" t="s">
        <v>262</v>
      </c>
      <c r="CL125" t="s">
        <v>76</v>
      </c>
    </row>
    <row r="126" spans="1:90">
      <c r="A126" t="s">
        <v>62</v>
      </c>
      <c r="B126" t="s">
        <v>63</v>
      </c>
      <c r="C126" t="s">
        <v>64</v>
      </c>
      <c r="E126" t="str">
        <f>"009938665106"</f>
        <v>009938665106</v>
      </c>
      <c r="F126" s="1">
        <v>43659</v>
      </c>
      <c r="G126">
        <v>202001</v>
      </c>
      <c r="H126" t="s">
        <v>96</v>
      </c>
      <c r="I126" t="s">
        <v>97</v>
      </c>
      <c r="J126" t="s">
        <v>67</v>
      </c>
      <c r="K126" t="s">
        <v>68</v>
      </c>
      <c r="L126" t="s">
        <v>65</v>
      </c>
      <c r="M126" t="s">
        <v>66</v>
      </c>
      <c r="N126" t="s">
        <v>67</v>
      </c>
      <c r="O126" t="s">
        <v>72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15.52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 s="5">
        <v>94.58</v>
      </c>
      <c r="BM126" s="5">
        <v>14.19</v>
      </c>
      <c r="BN126" s="5">
        <v>108.77</v>
      </c>
      <c r="BO126" s="5">
        <v>108.77</v>
      </c>
      <c r="BQ126" t="s">
        <v>300</v>
      </c>
      <c r="BR126" t="s">
        <v>396</v>
      </c>
      <c r="BS126" s="1">
        <v>43661</v>
      </c>
      <c r="BT126" s="2">
        <v>0.40208333333333335</v>
      </c>
      <c r="BU126" t="s">
        <v>284</v>
      </c>
      <c r="BV126" t="s">
        <v>86</v>
      </c>
      <c r="BY126">
        <v>1200</v>
      </c>
      <c r="CC126" t="s">
        <v>66</v>
      </c>
      <c r="CD126">
        <v>2146</v>
      </c>
      <c r="CE126" t="s">
        <v>78</v>
      </c>
      <c r="CI126">
        <v>1</v>
      </c>
      <c r="CJ126">
        <v>1</v>
      </c>
      <c r="CK126" t="s">
        <v>95</v>
      </c>
      <c r="CL126" t="s">
        <v>76</v>
      </c>
    </row>
    <row r="127" spans="1:90">
      <c r="A127" t="s">
        <v>62</v>
      </c>
      <c r="B127" t="s">
        <v>63</v>
      </c>
      <c r="C127" t="s">
        <v>64</v>
      </c>
      <c r="E127" t="str">
        <f>"009938042431"</f>
        <v>009938042431</v>
      </c>
      <c r="F127" s="1">
        <v>43657</v>
      </c>
      <c r="G127">
        <v>202001</v>
      </c>
      <c r="H127" t="s">
        <v>189</v>
      </c>
      <c r="I127" t="s">
        <v>190</v>
      </c>
      <c r="J127" t="s">
        <v>360</v>
      </c>
      <c r="K127" t="s">
        <v>68</v>
      </c>
      <c r="L127" t="s">
        <v>103</v>
      </c>
      <c r="M127" t="s">
        <v>104</v>
      </c>
      <c r="N127" t="s">
        <v>397</v>
      </c>
      <c r="O127" t="s">
        <v>72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153.52000000000001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3</v>
      </c>
      <c r="BI127">
        <v>66.900000000000006</v>
      </c>
      <c r="BJ127">
        <v>126.6</v>
      </c>
      <c r="BK127">
        <v>127</v>
      </c>
      <c r="BL127" s="5">
        <v>890.96</v>
      </c>
      <c r="BM127" s="5">
        <v>133.63999999999999</v>
      </c>
      <c r="BN127" s="5">
        <v>1024.5999999999999</v>
      </c>
      <c r="BO127" s="5">
        <v>1024.5999999999999</v>
      </c>
      <c r="BQ127" t="s">
        <v>398</v>
      </c>
      <c r="BR127" t="s">
        <v>399</v>
      </c>
      <c r="BS127" s="1">
        <v>43658</v>
      </c>
      <c r="BT127" s="2">
        <v>0.5</v>
      </c>
      <c r="BU127" t="s">
        <v>167</v>
      </c>
      <c r="BV127" t="s">
        <v>86</v>
      </c>
      <c r="BY127">
        <v>632998.07999999996</v>
      </c>
      <c r="CC127" t="s">
        <v>104</v>
      </c>
      <c r="CD127">
        <v>2000</v>
      </c>
      <c r="CE127">
        <v>1</v>
      </c>
      <c r="CF127" s="1">
        <v>43663</v>
      </c>
      <c r="CI127">
        <v>1</v>
      </c>
      <c r="CJ127">
        <v>1</v>
      </c>
      <c r="CK127" t="s">
        <v>146</v>
      </c>
      <c r="CL127" t="s">
        <v>76</v>
      </c>
    </row>
    <row r="128" spans="1:90">
      <c r="A128" t="s">
        <v>62</v>
      </c>
      <c r="B128" t="s">
        <v>63</v>
      </c>
      <c r="C128" t="s">
        <v>64</v>
      </c>
      <c r="E128" t="str">
        <f>"009938662294"</f>
        <v>009938662294</v>
      </c>
      <c r="F128" s="1">
        <v>43654</v>
      </c>
      <c r="G128">
        <v>202001</v>
      </c>
      <c r="H128" t="s">
        <v>152</v>
      </c>
      <c r="I128" t="s">
        <v>153</v>
      </c>
      <c r="J128" t="s">
        <v>67</v>
      </c>
      <c r="K128" t="s">
        <v>68</v>
      </c>
      <c r="L128" t="s">
        <v>65</v>
      </c>
      <c r="M128" t="s">
        <v>66</v>
      </c>
      <c r="N128" t="s">
        <v>400</v>
      </c>
      <c r="O128" t="s">
        <v>72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71.31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3</v>
      </c>
      <c r="BI128">
        <v>95.1</v>
      </c>
      <c r="BJ128">
        <v>41</v>
      </c>
      <c r="BK128">
        <v>96</v>
      </c>
      <c r="BL128" s="5">
        <v>416.55</v>
      </c>
      <c r="BM128" s="5">
        <v>62.48</v>
      </c>
      <c r="BN128" s="5">
        <v>479.03</v>
      </c>
      <c r="BO128" s="5">
        <v>479.03</v>
      </c>
      <c r="BQ128" t="s">
        <v>394</v>
      </c>
      <c r="BS128" s="1">
        <v>43655</v>
      </c>
      <c r="BT128" s="2">
        <v>0.4548611111111111</v>
      </c>
      <c r="BU128" t="s">
        <v>100</v>
      </c>
      <c r="BV128" t="s">
        <v>86</v>
      </c>
      <c r="BY128">
        <v>68400</v>
      </c>
      <c r="CC128" t="s">
        <v>66</v>
      </c>
      <c r="CD128">
        <v>2146</v>
      </c>
      <c r="CE128" t="s">
        <v>401</v>
      </c>
      <c r="CF128" s="1">
        <v>43656</v>
      </c>
      <c r="CI128">
        <v>1</v>
      </c>
      <c r="CJ128">
        <v>1</v>
      </c>
      <c r="CK128" t="s">
        <v>262</v>
      </c>
      <c r="CL128" t="s">
        <v>76</v>
      </c>
    </row>
    <row r="129" spans="1:90">
      <c r="A129" t="s">
        <v>62</v>
      </c>
      <c r="B129" t="s">
        <v>63</v>
      </c>
      <c r="C129" t="s">
        <v>64</v>
      </c>
      <c r="E129" t="str">
        <f>"009938311977"</f>
        <v>009938311977</v>
      </c>
      <c r="F129" s="1">
        <v>43657</v>
      </c>
      <c r="G129">
        <v>202001</v>
      </c>
      <c r="H129" t="s">
        <v>96</v>
      </c>
      <c r="I129" t="s">
        <v>97</v>
      </c>
      <c r="J129" t="s">
        <v>67</v>
      </c>
      <c r="K129" t="s">
        <v>68</v>
      </c>
      <c r="L129" t="s">
        <v>65</v>
      </c>
      <c r="M129" t="s">
        <v>66</v>
      </c>
      <c r="N129" t="s">
        <v>402</v>
      </c>
      <c r="O129" t="s">
        <v>72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15.52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 s="5">
        <v>94.58</v>
      </c>
      <c r="BM129" s="5">
        <v>14.19</v>
      </c>
      <c r="BN129" s="5">
        <v>108.77</v>
      </c>
      <c r="BO129" s="5">
        <v>108.77</v>
      </c>
      <c r="BQ129" t="s">
        <v>403</v>
      </c>
      <c r="BS129" s="1">
        <v>43658</v>
      </c>
      <c r="BT129" s="2">
        <v>0.39305555555555555</v>
      </c>
      <c r="BU129" t="s">
        <v>93</v>
      </c>
      <c r="BV129" t="s">
        <v>86</v>
      </c>
      <c r="BY129">
        <v>1200</v>
      </c>
      <c r="CA129" t="s">
        <v>94</v>
      </c>
      <c r="CC129" t="s">
        <v>66</v>
      </c>
      <c r="CD129">
        <v>2146</v>
      </c>
      <c r="CE129" t="s">
        <v>78</v>
      </c>
      <c r="CF129" s="1">
        <v>43661</v>
      </c>
      <c r="CI129">
        <v>1</v>
      </c>
      <c r="CJ129">
        <v>1</v>
      </c>
      <c r="CK129" t="s">
        <v>95</v>
      </c>
      <c r="CL129" t="s">
        <v>76</v>
      </c>
    </row>
    <row r="130" spans="1:90">
      <c r="A130" t="s">
        <v>62</v>
      </c>
      <c r="B130" t="s">
        <v>63</v>
      </c>
      <c r="C130" t="s">
        <v>64</v>
      </c>
      <c r="E130" t="str">
        <f>"009938168991"</f>
        <v>009938168991</v>
      </c>
      <c r="F130" s="1">
        <v>43661</v>
      </c>
      <c r="G130">
        <v>202001</v>
      </c>
      <c r="H130" t="s">
        <v>307</v>
      </c>
      <c r="I130" t="s">
        <v>70</v>
      </c>
      <c r="J130" t="s">
        <v>82</v>
      </c>
      <c r="K130" t="s">
        <v>68</v>
      </c>
      <c r="L130" t="s">
        <v>65</v>
      </c>
      <c r="M130" t="s">
        <v>66</v>
      </c>
      <c r="N130" t="s">
        <v>308</v>
      </c>
      <c r="O130" t="s">
        <v>72</v>
      </c>
      <c r="P130" t="str">
        <f>".....                         "</f>
        <v xml:space="preserve">.....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30.86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38.4</v>
      </c>
      <c r="BJ130">
        <v>41.2</v>
      </c>
      <c r="BK130">
        <v>42</v>
      </c>
      <c r="BL130" s="5">
        <v>183.09</v>
      </c>
      <c r="BM130" s="5">
        <v>27.46</v>
      </c>
      <c r="BN130" s="5">
        <v>210.55</v>
      </c>
      <c r="BO130" s="5">
        <v>210.55</v>
      </c>
      <c r="BQ130" t="s">
        <v>99</v>
      </c>
      <c r="BR130" t="s">
        <v>369</v>
      </c>
      <c r="BS130" s="1">
        <v>43662</v>
      </c>
      <c r="BT130" s="2">
        <v>0.33333333333333331</v>
      </c>
      <c r="BU130" t="s">
        <v>186</v>
      </c>
      <c r="BV130" t="s">
        <v>86</v>
      </c>
      <c r="BY130">
        <v>230211.83</v>
      </c>
      <c r="CC130" t="s">
        <v>66</v>
      </c>
      <c r="CD130">
        <v>2146</v>
      </c>
      <c r="CE130" t="s">
        <v>78</v>
      </c>
      <c r="CF130" s="1">
        <v>43663</v>
      </c>
      <c r="CI130">
        <v>1</v>
      </c>
      <c r="CJ130">
        <v>1</v>
      </c>
      <c r="CK130" t="s">
        <v>95</v>
      </c>
      <c r="CL130" t="s">
        <v>76</v>
      </c>
    </row>
    <row r="131" spans="1:90">
      <c r="A131" t="s">
        <v>62</v>
      </c>
      <c r="B131" t="s">
        <v>63</v>
      </c>
      <c r="C131" t="s">
        <v>64</v>
      </c>
      <c r="E131" t="str">
        <f>"039902747788"</f>
        <v>039902747788</v>
      </c>
      <c r="F131" s="1">
        <v>43661</v>
      </c>
      <c r="G131">
        <v>202001</v>
      </c>
      <c r="H131" t="s">
        <v>108</v>
      </c>
      <c r="I131" t="s">
        <v>109</v>
      </c>
      <c r="J131" t="s">
        <v>110</v>
      </c>
      <c r="K131" t="s">
        <v>68</v>
      </c>
      <c r="L131" t="s">
        <v>350</v>
      </c>
      <c r="M131" t="s">
        <v>351</v>
      </c>
      <c r="N131" t="s">
        <v>404</v>
      </c>
      <c r="O131" t="s">
        <v>72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20.18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2.2000000000000002</v>
      </c>
      <c r="BJ131">
        <v>0.2</v>
      </c>
      <c r="BK131">
        <v>2</v>
      </c>
      <c r="BL131" s="5">
        <v>121.46</v>
      </c>
      <c r="BM131" s="5">
        <v>18.22</v>
      </c>
      <c r="BN131" s="5">
        <v>139.68</v>
      </c>
      <c r="BO131" s="5">
        <v>139.68</v>
      </c>
      <c r="BQ131" t="s">
        <v>405</v>
      </c>
      <c r="BR131" t="s">
        <v>113</v>
      </c>
      <c r="BS131" s="1">
        <v>43663</v>
      </c>
      <c r="BT131" s="2">
        <v>0.41666666666666669</v>
      </c>
      <c r="BU131" t="s">
        <v>406</v>
      </c>
      <c r="BV131" t="s">
        <v>86</v>
      </c>
      <c r="BY131">
        <v>10166.31</v>
      </c>
      <c r="CA131" t="s">
        <v>407</v>
      </c>
      <c r="CC131" t="s">
        <v>351</v>
      </c>
      <c r="CD131">
        <v>8300</v>
      </c>
      <c r="CE131" t="s">
        <v>366</v>
      </c>
      <c r="CF131" s="1">
        <v>43663</v>
      </c>
      <c r="CI131">
        <v>2</v>
      </c>
      <c r="CJ131">
        <v>2</v>
      </c>
      <c r="CK131" t="s">
        <v>146</v>
      </c>
      <c r="CL131" t="s">
        <v>76</v>
      </c>
    </row>
    <row r="132" spans="1:90">
      <c r="A132" t="s">
        <v>62</v>
      </c>
      <c r="B132" t="s">
        <v>63</v>
      </c>
      <c r="C132" t="s">
        <v>64</v>
      </c>
      <c r="E132" t="str">
        <f>"009938925316"</f>
        <v>009938925316</v>
      </c>
      <c r="F132" s="1">
        <v>43661</v>
      </c>
      <c r="G132">
        <v>202001</v>
      </c>
      <c r="H132" t="s">
        <v>101</v>
      </c>
      <c r="I132" t="s">
        <v>102</v>
      </c>
      <c r="J132" t="s">
        <v>82</v>
      </c>
      <c r="K132" t="s">
        <v>68</v>
      </c>
      <c r="L132" t="s">
        <v>65</v>
      </c>
      <c r="M132" t="s">
        <v>66</v>
      </c>
      <c r="N132" t="s">
        <v>218</v>
      </c>
      <c r="O132" t="s">
        <v>72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38.24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27</v>
      </c>
      <c r="BJ132">
        <v>54.7</v>
      </c>
      <c r="BK132">
        <v>55</v>
      </c>
      <c r="BL132" s="5">
        <v>225.7</v>
      </c>
      <c r="BM132" s="5">
        <v>33.86</v>
      </c>
      <c r="BN132" s="5">
        <v>259.56</v>
      </c>
      <c r="BO132" s="5">
        <v>259.56</v>
      </c>
      <c r="BQ132" t="s">
        <v>408</v>
      </c>
      <c r="BR132" t="s">
        <v>106</v>
      </c>
      <c r="BS132" s="1">
        <v>43662</v>
      </c>
      <c r="BT132" s="2">
        <v>0.33333333333333331</v>
      </c>
      <c r="BU132" t="s">
        <v>186</v>
      </c>
      <c r="BV132" t="s">
        <v>86</v>
      </c>
      <c r="BY132">
        <v>259815.47</v>
      </c>
      <c r="CC132" t="s">
        <v>66</v>
      </c>
      <c r="CD132">
        <v>2146</v>
      </c>
      <c r="CE132" t="s">
        <v>78</v>
      </c>
      <c r="CF132" s="1">
        <v>43663</v>
      </c>
      <c r="CI132">
        <v>1</v>
      </c>
      <c r="CJ132">
        <v>1</v>
      </c>
      <c r="CK132" t="s">
        <v>107</v>
      </c>
      <c r="CL132" t="s">
        <v>76</v>
      </c>
    </row>
    <row r="133" spans="1:90">
      <c r="A133" t="s">
        <v>62</v>
      </c>
      <c r="B133" t="s">
        <v>63</v>
      </c>
      <c r="C133" t="s">
        <v>64</v>
      </c>
      <c r="E133" t="str">
        <f>"009937965152"</f>
        <v>009937965152</v>
      </c>
      <c r="F133" s="1">
        <v>43661</v>
      </c>
      <c r="G133">
        <v>202001</v>
      </c>
      <c r="H133" t="s">
        <v>65</v>
      </c>
      <c r="I133" t="s">
        <v>66</v>
      </c>
      <c r="J133" t="s">
        <v>67</v>
      </c>
      <c r="K133" t="s">
        <v>68</v>
      </c>
      <c r="L133" t="s">
        <v>128</v>
      </c>
      <c r="M133" t="s">
        <v>129</v>
      </c>
      <c r="N133" t="s">
        <v>67</v>
      </c>
      <c r="O133" t="s">
        <v>72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53.52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22</v>
      </c>
      <c r="BJ133">
        <v>42.4</v>
      </c>
      <c r="BK133">
        <v>43</v>
      </c>
      <c r="BL133" s="5">
        <v>313.83999999999997</v>
      </c>
      <c r="BM133" s="5">
        <v>47.08</v>
      </c>
      <c r="BN133" s="5">
        <v>360.92</v>
      </c>
      <c r="BO133" s="5">
        <v>360.92</v>
      </c>
      <c r="BQ133" t="s">
        <v>130</v>
      </c>
      <c r="BR133" t="s">
        <v>84</v>
      </c>
      <c r="BS133" s="1">
        <v>43663</v>
      </c>
      <c r="BT133" s="2">
        <v>0.41666666666666669</v>
      </c>
      <c r="BU133" t="s">
        <v>409</v>
      </c>
      <c r="BV133" t="s">
        <v>86</v>
      </c>
      <c r="BY133">
        <v>212160</v>
      </c>
      <c r="CC133" t="s">
        <v>129</v>
      </c>
      <c r="CD133">
        <v>5320</v>
      </c>
      <c r="CE133" t="s">
        <v>78</v>
      </c>
      <c r="CF133" s="1">
        <v>43665</v>
      </c>
      <c r="CI133">
        <v>4</v>
      </c>
      <c r="CJ133">
        <v>2</v>
      </c>
      <c r="CK133" t="s">
        <v>88</v>
      </c>
      <c r="CL133" t="s">
        <v>76</v>
      </c>
    </row>
    <row r="134" spans="1:90">
      <c r="A134" t="s">
        <v>62</v>
      </c>
      <c r="B134" t="s">
        <v>63</v>
      </c>
      <c r="C134" t="s">
        <v>64</v>
      </c>
      <c r="E134" t="str">
        <f>"029908430993"</f>
        <v>029908430993</v>
      </c>
      <c r="F134" s="1">
        <v>43661</v>
      </c>
      <c r="G134">
        <v>202001</v>
      </c>
      <c r="H134" t="s">
        <v>116</v>
      </c>
      <c r="I134" t="s">
        <v>117</v>
      </c>
      <c r="J134" t="s">
        <v>118</v>
      </c>
      <c r="K134" t="s">
        <v>68</v>
      </c>
      <c r="L134" t="s">
        <v>103</v>
      </c>
      <c r="M134" t="s">
        <v>104</v>
      </c>
      <c r="N134" t="s">
        <v>410</v>
      </c>
      <c r="O134" t="s">
        <v>72</v>
      </c>
      <c r="P134" t="str">
        <f>"JNB1907150030                 "</f>
        <v xml:space="preserve">JNB1907150030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15.52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0.2</v>
      </c>
      <c r="BK134">
        <v>1</v>
      </c>
      <c r="BL134" s="5">
        <v>94.58</v>
      </c>
      <c r="BM134" s="5">
        <v>14.19</v>
      </c>
      <c r="BN134" s="5">
        <v>108.77</v>
      </c>
      <c r="BO134" s="5">
        <v>108.77</v>
      </c>
      <c r="BQ134" t="s">
        <v>193</v>
      </c>
      <c r="BR134" t="s">
        <v>235</v>
      </c>
      <c r="BS134" s="1">
        <v>43662</v>
      </c>
      <c r="BT134" s="2">
        <v>0.34513888888888888</v>
      </c>
      <c r="BU134" t="s">
        <v>411</v>
      </c>
      <c r="BV134" t="s">
        <v>86</v>
      </c>
      <c r="BY134">
        <v>1200</v>
      </c>
      <c r="CA134" t="s">
        <v>94</v>
      </c>
      <c r="CC134" t="s">
        <v>104</v>
      </c>
      <c r="CD134">
        <v>2000</v>
      </c>
      <c r="CE134" t="s">
        <v>78</v>
      </c>
      <c r="CF134" s="1">
        <v>43663</v>
      </c>
      <c r="CI134">
        <v>1</v>
      </c>
      <c r="CJ134">
        <v>1</v>
      </c>
      <c r="CK134" t="s">
        <v>338</v>
      </c>
      <c r="CL134" t="s">
        <v>76</v>
      </c>
    </row>
    <row r="135" spans="1:90">
      <c r="A135" t="s">
        <v>62</v>
      </c>
      <c r="B135" t="s">
        <v>63</v>
      </c>
      <c r="C135" t="s">
        <v>64</v>
      </c>
      <c r="E135" t="str">
        <f>"009936763522"</f>
        <v>009936763522</v>
      </c>
      <c r="F135" s="1">
        <v>43661</v>
      </c>
      <c r="G135">
        <v>202001</v>
      </c>
      <c r="H135" t="s">
        <v>96</v>
      </c>
      <c r="I135" t="s">
        <v>97</v>
      </c>
      <c r="J135" t="s">
        <v>67</v>
      </c>
      <c r="K135" t="s">
        <v>68</v>
      </c>
      <c r="L135" t="s">
        <v>65</v>
      </c>
      <c r="M135" t="s">
        <v>66</v>
      </c>
      <c r="N135" t="s">
        <v>82</v>
      </c>
      <c r="O135" t="s">
        <v>72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37.68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3</v>
      </c>
      <c r="BI135">
        <v>40.9</v>
      </c>
      <c r="BJ135">
        <v>53.2</v>
      </c>
      <c r="BK135">
        <v>54</v>
      </c>
      <c r="BL135" s="5">
        <v>222.43</v>
      </c>
      <c r="BM135" s="5">
        <v>33.36</v>
      </c>
      <c r="BN135" s="5">
        <v>255.79</v>
      </c>
      <c r="BO135" s="5">
        <v>255.79</v>
      </c>
      <c r="BQ135" t="s">
        <v>98</v>
      </c>
      <c r="BS135" s="1">
        <v>43662</v>
      </c>
      <c r="BT135" s="2">
        <v>0.33333333333333331</v>
      </c>
      <c r="BU135" t="s">
        <v>186</v>
      </c>
      <c r="BV135" t="s">
        <v>86</v>
      </c>
      <c r="BY135">
        <v>266100.57</v>
      </c>
      <c r="CC135" t="s">
        <v>66</v>
      </c>
      <c r="CD135">
        <v>2146</v>
      </c>
      <c r="CE135">
        <v>1</v>
      </c>
      <c r="CF135" s="1">
        <v>43663</v>
      </c>
      <c r="CI135">
        <v>1</v>
      </c>
      <c r="CJ135">
        <v>1</v>
      </c>
      <c r="CK135" t="s">
        <v>95</v>
      </c>
      <c r="CL135" t="s">
        <v>76</v>
      </c>
    </row>
    <row r="136" spans="1:90">
      <c r="A136" t="s">
        <v>62</v>
      </c>
      <c r="B136" t="s">
        <v>63</v>
      </c>
      <c r="C136" t="s">
        <v>64</v>
      </c>
      <c r="E136" t="str">
        <f>"009935996432"</f>
        <v>009935996432</v>
      </c>
      <c r="F136" s="1">
        <v>43661</v>
      </c>
      <c r="G136">
        <v>202001</v>
      </c>
      <c r="H136" t="s">
        <v>65</v>
      </c>
      <c r="I136" t="s">
        <v>66</v>
      </c>
      <c r="J136" t="s">
        <v>67</v>
      </c>
      <c r="K136" t="s">
        <v>68</v>
      </c>
      <c r="L136" t="s">
        <v>108</v>
      </c>
      <c r="M136" t="s">
        <v>109</v>
      </c>
      <c r="N136" t="s">
        <v>168</v>
      </c>
      <c r="O136" t="s">
        <v>72</v>
      </c>
      <c r="P136" t="str">
        <f t="shared" ref="P136:P141" si="4"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37.25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19</v>
      </c>
      <c r="BJ136">
        <v>42.4</v>
      </c>
      <c r="BK136">
        <v>43</v>
      </c>
      <c r="BL136" s="5">
        <v>219.99</v>
      </c>
      <c r="BM136" s="5">
        <v>33</v>
      </c>
      <c r="BN136" s="5">
        <v>252.99</v>
      </c>
      <c r="BO136" s="5">
        <v>252.99</v>
      </c>
      <c r="BQ136" t="s">
        <v>335</v>
      </c>
      <c r="BR136" t="s">
        <v>144</v>
      </c>
      <c r="BS136" s="1">
        <v>43663</v>
      </c>
      <c r="BT136" s="2">
        <v>0.39583333333333331</v>
      </c>
      <c r="BU136" t="s">
        <v>412</v>
      </c>
      <c r="BV136" t="s">
        <v>86</v>
      </c>
      <c r="BY136">
        <v>212160</v>
      </c>
      <c r="CA136" t="s">
        <v>337</v>
      </c>
      <c r="CC136" t="s">
        <v>109</v>
      </c>
      <c r="CD136">
        <v>6045</v>
      </c>
      <c r="CE136" t="s">
        <v>78</v>
      </c>
      <c r="CF136" s="1">
        <v>43664</v>
      </c>
      <c r="CI136">
        <v>2</v>
      </c>
      <c r="CJ136">
        <v>2</v>
      </c>
      <c r="CK136" t="s">
        <v>115</v>
      </c>
      <c r="CL136" t="s">
        <v>76</v>
      </c>
    </row>
    <row r="137" spans="1:90">
      <c r="A137" t="s">
        <v>62</v>
      </c>
      <c r="B137" t="s">
        <v>63</v>
      </c>
      <c r="C137" t="s">
        <v>64</v>
      </c>
      <c r="E137" t="str">
        <f>"009939030220"</f>
        <v>009939030220</v>
      </c>
      <c r="F137" s="1">
        <v>43661</v>
      </c>
      <c r="G137">
        <v>202001</v>
      </c>
      <c r="H137" t="s">
        <v>65</v>
      </c>
      <c r="I137" t="s">
        <v>66</v>
      </c>
      <c r="J137" t="s">
        <v>67</v>
      </c>
      <c r="K137" t="s">
        <v>68</v>
      </c>
      <c r="L137" t="s">
        <v>131</v>
      </c>
      <c r="M137" t="s">
        <v>132</v>
      </c>
      <c r="N137" t="s">
        <v>413</v>
      </c>
      <c r="O137" t="s">
        <v>72</v>
      </c>
      <c r="P137" t="str">
        <f t="shared" si="4"/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63.04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42</v>
      </c>
      <c r="BJ137">
        <v>50.6</v>
      </c>
      <c r="BK137">
        <v>51</v>
      </c>
      <c r="BL137" s="5">
        <v>368.8</v>
      </c>
      <c r="BM137" s="5">
        <v>55.32</v>
      </c>
      <c r="BN137" s="5">
        <v>424.12</v>
      </c>
      <c r="BO137" s="5">
        <v>424.12</v>
      </c>
      <c r="BQ137" t="s">
        <v>134</v>
      </c>
      <c r="BR137" t="s">
        <v>74</v>
      </c>
      <c r="BS137" s="1">
        <v>43663</v>
      </c>
      <c r="BT137" s="2">
        <v>0.61111111111111105</v>
      </c>
      <c r="BU137" t="s">
        <v>295</v>
      </c>
      <c r="BV137" t="s">
        <v>86</v>
      </c>
      <c r="BY137">
        <v>253116</v>
      </c>
      <c r="CA137" t="s">
        <v>136</v>
      </c>
      <c r="CC137" t="s">
        <v>132</v>
      </c>
      <c r="CD137">
        <v>1150</v>
      </c>
      <c r="CE137" t="s">
        <v>78</v>
      </c>
      <c r="CF137" s="1">
        <v>43665</v>
      </c>
      <c r="CI137">
        <v>0</v>
      </c>
      <c r="CJ137">
        <v>0</v>
      </c>
      <c r="CK137" t="s">
        <v>88</v>
      </c>
      <c r="CL137" t="s">
        <v>76</v>
      </c>
    </row>
    <row r="138" spans="1:90">
      <c r="A138" t="s">
        <v>62</v>
      </c>
      <c r="B138" t="s">
        <v>63</v>
      </c>
      <c r="C138" t="s">
        <v>64</v>
      </c>
      <c r="E138" t="str">
        <f>"009939030221"</f>
        <v>009939030221</v>
      </c>
      <c r="F138" s="1">
        <v>43661</v>
      </c>
      <c r="G138">
        <v>202001</v>
      </c>
      <c r="H138" t="s">
        <v>65</v>
      </c>
      <c r="I138" t="s">
        <v>66</v>
      </c>
      <c r="J138" t="s">
        <v>67</v>
      </c>
      <c r="K138" t="s">
        <v>68</v>
      </c>
      <c r="L138" t="s">
        <v>141</v>
      </c>
      <c r="M138" t="s">
        <v>99</v>
      </c>
      <c r="N138" t="s">
        <v>142</v>
      </c>
      <c r="O138" t="s">
        <v>72</v>
      </c>
      <c r="P138" t="str">
        <f t="shared" si="4"/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34.47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11.5</v>
      </c>
      <c r="BJ138">
        <v>26.4</v>
      </c>
      <c r="BK138">
        <v>27</v>
      </c>
      <c r="BL138" s="5">
        <v>203.91</v>
      </c>
      <c r="BM138" s="5">
        <v>30.59</v>
      </c>
      <c r="BN138" s="5">
        <v>234.5</v>
      </c>
      <c r="BO138" s="5">
        <v>234.5</v>
      </c>
      <c r="BQ138" t="s">
        <v>414</v>
      </c>
      <c r="BR138" t="s">
        <v>74</v>
      </c>
      <c r="BS138" s="1">
        <v>43663</v>
      </c>
      <c r="BT138" s="2">
        <v>0.34722222222222227</v>
      </c>
      <c r="BU138" t="s">
        <v>179</v>
      </c>
      <c r="BV138" t="s">
        <v>86</v>
      </c>
      <c r="BY138">
        <v>132192.06</v>
      </c>
      <c r="CC138" t="s">
        <v>99</v>
      </c>
      <c r="CD138">
        <v>6529</v>
      </c>
      <c r="CE138" t="s">
        <v>78</v>
      </c>
      <c r="CF138" s="1">
        <v>43665</v>
      </c>
      <c r="CI138">
        <v>0</v>
      </c>
      <c r="CJ138">
        <v>0</v>
      </c>
      <c r="CK138" t="s">
        <v>146</v>
      </c>
      <c r="CL138" t="s">
        <v>76</v>
      </c>
    </row>
    <row r="139" spans="1:90">
      <c r="A139" t="s">
        <v>62</v>
      </c>
      <c r="B139" t="s">
        <v>63</v>
      </c>
      <c r="C139" t="s">
        <v>64</v>
      </c>
      <c r="E139" t="str">
        <f>"009939030224"</f>
        <v>009939030224</v>
      </c>
      <c r="F139" s="1">
        <v>43661</v>
      </c>
      <c r="G139">
        <v>202001</v>
      </c>
      <c r="H139" t="s">
        <v>65</v>
      </c>
      <c r="I139" t="s">
        <v>66</v>
      </c>
      <c r="J139" t="s">
        <v>67</v>
      </c>
      <c r="K139" t="s">
        <v>68</v>
      </c>
      <c r="L139" t="s">
        <v>152</v>
      </c>
      <c r="M139" t="s">
        <v>153</v>
      </c>
      <c r="N139" t="s">
        <v>267</v>
      </c>
      <c r="O139" t="s">
        <v>72</v>
      </c>
      <c r="P139" t="str">
        <f t="shared" si="4"/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53.52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26</v>
      </c>
      <c r="BJ139">
        <v>42.4</v>
      </c>
      <c r="BK139">
        <v>43</v>
      </c>
      <c r="BL139" s="5">
        <v>313.83999999999997</v>
      </c>
      <c r="BM139" s="5">
        <v>47.08</v>
      </c>
      <c r="BN139" s="5">
        <v>360.92</v>
      </c>
      <c r="BO139" s="5">
        <v>360.92</v>
      </c>
      <c r="BQ139" t="s">
        <v>415</v>
      </c>
      <c r="BR139" t="s">
        <v>74</v>
      </c>
      <c r="BS139" s="1">
        <v>43662</v>
      </c>
      <c r="BT139" s="2">
        <v>0.55555555555555558</v>
      </c>
      <c r="BU139" t="s">
        <v>416</v>
      </c>
      <c r="BV139" t="s">
        <v>86</v>
      </c>
      <c r="BY139">
        <v>212160</v>
      </c>
      <c r="CA139" t="s">
        <v>417</v>
      </c>
      <c r="CC139" t="s">
        <v>153</v>
      </c>
      <c r="CD139">
        <v>850</v>
      </c>
      <c r="CE139" t="s">
        <v>78</v>
      </c>
      <c r="CF139" s="1">
        <v>43664</v>
      </c>
      <c r="CI139">
        <v>1</v>
      </c>
      <c r="CJ139">
        <v>1</v>
      </c>
      <c r="CK139" t="s">
        <v>88</v>
      </c>
      <c r="CL139" t="s">
        <v>76</v>
      </c>
    </row>
    <row r="140" spans="1:90">
      <c r="A140" t="s">
        <v>62</v>
      </c>
      <c r="B140" t="s">
        <v>63</v>
      </c>
      <c r="C140" t="s">
        <v>64</v>
      </c>
      <c r="E140" t="str">
        <f>"009939030219"</f>
        <v>009939030219</v>
      </c>
      <c r="F140" s="1">
        <v>43661</v>
      </c>
      <c r="G140">
        <v>202001</v>
      </c>
      <c r="H140" t="s">
        <v>65</v>
      </c>
      <c r="I140" t="s">
        <v>66</v>
      </c>
      <c r="J140" t="s">
        <v>67</v>
      </c>
      <c r="K140" t="s">
        <v>68</v>
      </c>
      <c r="L140" t="s">
        <v>418</v>
      </c>
      <c r="M140" t="s">
        <v>419</v>
      </c>
      <c r="N140" t="s">
        <v>420</v>
      </c>
      <c r="O140" t="s">
        <v>72</v>
      </c>
      <c r="P140" t="str">
        <f t="shared" si="4"/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13.61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12.2</v>
      </c>
      <c r="BJ140">
        <v>18.7</v>
      </c>
      <c r="BK140">
        <v>19</v>
      </c>
      <c r="BL140" s="5">
        <v>83.52</v>
      </c>
      <c r="BM140" s="5">
        <v>12.53</v>
      </c>
      <c r="BN140" s="5">
        <v>96.05</v>
      </c>
      <c r="BO140" s="5">
        <v>96.05</v>
      </c>
      <c r="BQ140" t="s">
        <v>421</v>
      </c>
      <c r="BR140" t="s">
        <v>74</v>
      </c>
      <c r="BS140" s="1">
        <v>43662</v>
      </c>
      <c r="BT140" s="2">
        <v>0.33333333333333331</v>
      </c>
      <c r="BU140" t="s">
        <v>422</v>
      </c>
      <c r="BV140" t="s">
        <v>86</v>
      </c>
      <c r="BY140">
        <v>93305.52</v>
      </c>
      <c r="CA140" t="s">
        <v>423</v>
      </c>
      <c r="CC140" t="s">
        <v>419</v>
      </c>
      <c r="CD140">
        <v>2571</v>
      </c>
      <c r="CE140" t="s">
        <v>78</v>
      </c>
      <c r="CF140" s="1">
        <v>43665</v>
      </c>
      <c r="CI140">
        <v>1</v>
      </c>
      <c r="CJ140">
        <v>1</v>
      </c>
      <c r="CK140" t="s">
        <v>79</v>
      </c>
      <c r="CL140" t="s">
        <v>76</v>
      </c>
    </row>
    <row r="141" spans="1:90">
      <c r="A141" t="s">
        <v>62</v>
      </c>
      <c r="B141" t="s">
        <v>63</v>
      </c>
      <c r="C141" t="s">
        <v>64</v>
      </c>
      <c r="E141" t="str">
        <f>"009939030218"</f>
        <v>009939030218</v>
      </c>
      <c r="F141" s="1">
        <v>43661</v>
      </c>
      <c r="G141">
        <v>202001</v>
      </c>
      <c r="H141" t="s">
        <v>65</v>
      </c>
      <c r="I141" t="s">
        <v>66</v>
      </c>
      <c r="J141" t="s">
        <v>67</v>
      </c>
      <c r="K141" t="s">
        <v>68</v>
      </c>
      <c r="L141" t="s">
        <v>277</v>
      </c>
      <c r="M141" t="s">
        <v>278</v>
      </c>
      <c r="N141" t="s">
        <v>424</v>
      </c>
      <c r="O141" t="s">
        <v>72</v>
      </c>
      <c r="P141" t="str">
        <f t="shared" si="4"/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16.82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0.5</v>
      </c>
      <c r="BK141">
        <v>1</v>
      </c>
      <c r="BL141" s="5">
        <v>102.05</v>
      </c>
      <c r="BM141" s="5">
        <v>15.31</v>
      </c>
      <c r="BN141" s="5">
        <v>117.36</v>
      </c>
      <c r="BO141" s="5">
        <v>117.36</v>
      </c>
      <c r="BQ141" t="s">
        <v>246</v>
      </c>
      <c r="BR141" t="s">
        <v>74</v>
      </c>
      <c r="BS141" s="1">
        <v>43662</v>
      </c>
      <c r="BT141" s="2">
        <v>0.375</v>
      </c>
      <c r="BU141" t="s">
        <v>246</v>
      </c>
      <c r="BV141" t="s">
        <v>86</v>
      </c>
      <c r="BY141">
        <v>2276.88</v>
      </c>
      <c r="CA141" t="s">
        <v>282</v>
      </c>
      <c r="CC141" t="s">
        <v>278</v>
      </c>
      <c r="CD141">
        <v>9700</v>
      </c>
      <c r="CE141" t="s">
        <v>78</v>
      </c>
      <c r="CF141" s="1">
        <v>43665</v>
      </c>
      <c r="CI141">
        <v>1</v>
      </c>
      <c r="CJ141">
        <v>1</v>
      </c>
      <c r="CK141" t="s">
        <v>262</v>
      </c>
      <c r="CL141" t="s">
        <v>76</v>
      </c>
    </row>
    <row r="142" spans="1:90">
      <c r="A142" t="s">
        <v>62</v>
      </c>
      <c r="B142" t="s">
        <v>63</v>
      </c>
      <c r="C142" t="s">
        <v>64</v>
      </c>
      <c r="E142" t="str">
        <f>"009938978288"</f>
        <v>009938978288</v>
      </c>
      <c r="F142" s="1">
        <v>43657</v>
      </c>
      <c r="G142">
        <v>202001</v>
      </c>
      <c r="H142" t="s">
        <v>216</v>
      </c>
      <c r="I142" t="s">
        <v>217</v>
      </c>
      <c r="J142" t="s">
        <v>342</v>
      </c>
      <c r="K142" t="s">
        <v>68</v>
      </c>
      <c r="L142" t="s">
        <v>65</v>
      </c>
      <c r="M142" t="s">
        <v>66</v>
      </c>
      <c r="N142" t="s">
        <v>67</v>
      </c>
      <c r="O142" t="s">
        <v>72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68.37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3</v>
      </c>
      <c r="BI142">
        <v>69.099999999999994</v>
      </c>
      <c r="BJ142">
        <v>137.69999999999999</v>
      </c>
      <c r="BK142">
        <v>138</v>
      </c>
      <c r="BL142" s="5">
        <v>399.56</v>
      </c>
      <c r="BM142" s="5">
        <v>59.93</v>
      </c>
      <c r="BN142" s="5">
        <v>459.49</v>
      </c>
      <c r="BO142" s="5">
        <v>459.49</v>
      </c>
      <c r="BQ142" t="s">
        <v>343</v>
      </c>
      <c r="BR142" t="s">
        <v>425</v>
      </c>
      <c r="BS142" s="1">
        <v>43658</v>
      </c>
      <c r="BT142" s="2">
        <v>0.5</v>
      </c>
      <c r="BU142" t="s">
        <v>167</v>
      </c>
      <c r="BV142" t="s">
        <v>86</v>
      </c>
      <c r="BY142">
        <v>688263.6</v>
      </c>
      <c r="CC142" t="s">
        <v>66</v>
      </c>
      <c r="CD142">
        <v>2146</v>
      </c>
      <c r="CE142" t="s">
        <v>78</v>
      </c>
      <c r="CF142" s="1">
        <v>43663</v>
      </c>
      <c r="CI142">
        <v>1</v>
      </c>
      <c r="CJ142">
        <v>1</v>
      </c>
      <c r="CK142" t="s">
        <v>177</v>
      </c>
      <c r="CL142" t="s">
        <v>76</v>
      </c>
    </row>
    <row r="143" spans="1:90">
      <c r="A143" t="s">
        <v>62</v>
      </c>
      <c r="B143" t="s">
        <v>63</v>
      </c>
      <c r="C143" t="s">
        <v>64</v>
      </c>
      <c r="E143" t="str">
        <f>"009935987796"</f>
        <v>009935987796</v>
      </c>
      <c r="F143" s="1">
        <v>43662</v>
      </c>
      <c r="G143">
        <v>202001</v>
      </c>
      <c r="H143" t="s">
        <v>65</v>
      </c>
      <c r="I143" t="s">
        <v>66</v>
      </c>
      <c r="J143" t="s">
        <v>67</v>
      </c>
      <c r="K143" t="s">
        <v>68</v>
      </c>
      <c r="L143" t="s">
        <v>137</v>
      </c>
      <c r="M143" t="s">
        <v>138</v>
      </c>
      <c r="N143" t="s">
        <v>196</v>
      </c>
      <c r="O143" t="s">
        <v>120</v>
      </c>
      <c r="P143" t="str">
        <f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8.2799999999999994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0.5</v>
      </c>
      <c r="BK143">
        <v>1</v>
      </c>
      <c r="BL143" s="5">
        <v>47.78</v>
      </c>
      <c r="BM143" s="5">
        <v>7.17</v>
      </c>
      <c r="BN143" s="5">
        <v>54.95</v>
      </c>
      <c r="BO143" s="5">
        <v>54.95</v>
      </c>
      <c r="BQ143" t="s">
        <v>140</v>
      </c>
      <c r="BR143" t="s">
        <v>144</v>
      </c>
      <c r="BS143" s="1">
        <v>43663</v>
      </c>
      <c r="BT143" s="2">
        <v>0.37708333333333338</v>
      </c>
      <c r="BU143" t="s">
        <v>426</v>
      </c>
      <c r="BV143" t="s">
        <v>86</v>
      </c>
      <c r="BY143">
        <v>2400</v>
      </c>
      <c r="BZ143" t="s">
        <v>23</v>
      </c>
      <c r="CA143" t="s">
        <v>372</v>
      </c>
      <c r="CC143" t="s">
        <v>138</v>
      </c>
      <c r="CD143">
        <v>7700</v>
      </c>
      <c r="CE143" t="s">
        <v>78</v>
      </c>
      <c r="CF143" s="1">
        <v>43664</v>
      </c>
      <c r="CI143">
        <v>1</v>
      </c>
      <c r="CJ143">
        <v>1</v>
      </c>
      <c r="CK143">
        <v>21</v>
      </c>
      <c r="CL143" t="s">
        <v>76</v>
      </c>
    </row>
    <row r="144" spans="1:90">
      <c r="A144" t="s">
        <v>62</v>
      </c>
      <c r="B144" t="s">
        <v>63</v>
      </c>
      <c r="C144" t="s">
        <v>64</v>
      </c>
      <c r="E144" t="str">
        <f>"009938769242"</f>
        <v>009938769242</v>
      </c>
      <c r="F144" s="1">
        <v>43662</v>
      </c>
      <c r="G144">
        <v>202001</v>
      </c>
      <c r="H144" t="s">
        <v>65</v>
      </c>
      <c r="I144" t="s">
        <v>66</v>
      </c>
      <c r="J144" t="s">
        <v>67</v>
      </c>
      <c r="K144" t="s">
        <v>68</v>
      </c>
      <c r="L144" t="s">
        <v>116</v>
      </c>
      <c r="M144" t="s">
        <v>117</v>
      </c>
      <c r="N144" t="s">
        <v>67</v>
      </c>
      <c r="O144" t="s">
        <v>120</v>
      </c>
      <c r="P144" t="str">
        <f>"FIELD SERV                    "</f>
        <v xml:space="preserve">FIELD SERV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8.2799999999999994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0.5</v>
      </c>
      <c r="BK144">
        <v>1</v>
      </c>
      <c r="BL144" s="5">
        <v>47.78</v>
      </c>
      <c r="BM144" s="5">
        <v>7.17</v>
      </c>
      <c r="BN144" s="5">
        <v>54.95</v>
      </c>
      <c r="BO144" s="5">
        <v>54.95</v>
      </c>
      <c r="BQ144" t="s">
        <v>427</v>
      </c>
      <c r="BR144" t="s">
        <v>84</v>
      </c>
      <c r="BS144" s="1">
        <v>43663</v>
      </c>
      <c r="BT144" s="2">
        <v>0.32847222222222222</v>
      </c>
      <c r="BU144" t="s">
        <v>428</v>
      </c>
      <c r="BV144" t="s">
        <v>86</v>
      </c>
      <c r="BY144">
        <v>2400</v>
      </c>
      <c r="BZ144" t="s">
        <v>23</v>
      </c>
      <c r="CA144" t="s">
        <v>188</v>
      </c>
      <c r="CC144" t="s">
        <v>117</v>
      </c>
      <c r="CD144">
        <v>4091</v>
      </c>
      <c r="CE144" t="s">
        <v>78</v>
      </c>
      <c r="CF144" s="1">
        <v>43664</v>
      </c>
      <c r="CI144">
        <v>1</v>
      </c>
      <c r="CJ144">
        <v>1</v>
      </c>
      <c r="CK144">
        <v>21</v>
      </c>
      <c r="CL144" t="s">
        <v>76</v>
      </c>
    </row>
    <row r="145" spans="1:90">
      <c r="A145" t="s">
        <v>62</v>
      </c>
      <c r="B145" t="s">
        <v>63</v>
      </c>
      <c r="C145" t="s">
        <v>64</v>
      </c>
      <c r="E145" t="str">
        <f>"009935987729"</f>
        <v>009935987729</v>
      </c>
      <c r="F145" s="1">
        <v>43662</v>
      </c>
      <c r="G145">
        <v>202001</v>
      </c>
      <c r="H145" t="s">
        <v>65</v>
      </c>
      <c r="I145" t="s">
        <v>66</v>
      </c>
      <c r="J145" t="s">
        <v>67</v>
      </c>
      <c r="K145" t="s">
        <v>68</v>
      </c>
      <c r="L145" t="s">
        <v>137</v>
      </c>
      <c r="M145" t="s">
        <v>138</v>
      </c>
      <c r="N145" t="s">
        <v>196</v>
      </c>
      <c r="O145" t="s">
        <v>120</v>
      </c>
      <c r="P145" t="str">
        <f>"FIELD SERV                    "</f>
        <v xml:space="preserve">FIELD SERV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8.2799999999999994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0.5</v>
      </c>
      <c r="BK145">
        <v>1</v>
      </c>
      <c r="BL145" s="5">
        <v>47.78</v>
      </c>
      <c r="BM145" s="5">
        <v>7.17</v>
      </c>
      <c r="BN145" s="5">
        <v>54.95</v>
      </c>
      <c r="BO145" s="5">
        <v>54.95</v>
      </c>
      <c r="BQ145" t="s">
        <v>140</v>
      </c>
      <c r="BR145" t="s">
        <v>144</v>
      </c>
      <c r="BS145" s="1">
        <v>43663</v>
      </c>
      <c r="BT145" s="2">
        <v>0.37708333333333338</v>
      </c>
      <c r="BU145" t="s">
        <v>426</v>
      </c>
      <c r="BV145" t="s">
        <v>86</v>
      </c>
      <c r="BY145">
        <v>2400</v>
      </c>
      <c r="BZ145" t="s">
        <v>23</v>
      </c>
      <c r="CA145" t="s">
        <v>372</v>
      </c>
      <c r="CC145" t="s">
        <v>138</v>
      </c>
      <c r="CD145">
        <v>7700</v>
      </c>
      <c r="CE145" t="s">
        <v>78</v>
      </c>
      <c r="CF145" s="1">
        <v>43664</v>
      </c>
      <c r="CI145">
        <v>1</v>
      </c>
      <c r="CJ145">
        <v>1</v>
      </c>
      <c r="CK145">
        <v>21</v>
      </c>
      <c r="CL145" t="s">
        <v>76</v>
      </c>
    </row>
    <row r="146" spans="1:90">
      <c r="A146" t="s">
        <v>62</v>
      </c>
      <c r="B146" t="s">
        <v>63</v>
      </c>
      <c r="C146" t="s">
        <v>64</v>
      </c>
      <c r="E146" t="str">
        <f>"009939030213"</f>
        <v>009939030213</v>
      </c>
      <c r="F146" s="1">
        <v>43662</v>
      </c>
      <c r="G146">
        <v>202001</v>
      </c>
      <c r="H146" t="s">
        <v>65</v>
      </c>
      <c r="I146" t="s">
        <v>66</v>
      </c>
      <c r="J146" t="s">
        <v>67</v>
      </c>
      <c r="K146" t="s">
        <v>68</v>
      </c>
      <c r="L146" t="s">
        <v>429</v>
      </c>
      <c r="M146" t="s">
        <v>430</v>
      </c>
      <c r="N146" t="s">
        <v>431</v>
      </c>
      <c r="O146" t="s">
        <v>120</v>
      </c>
      <c r="P146" t="str">
        <f>"FIELDS SERV                   "</f>
        <v xml:space="preserve">FIELDS SERV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16.04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0.5</v>
      </c>
      <c r="BK146">
        <v>1</v>
      </c>
      <c r="BL146" s="5">
        <v>92.57</v>
      </c>
      <c r="BM146" s="5">
        <v>13.89</v>
      </c>
      <c r="BN146" s="5">
        <v>106.46</v>
      </c>
      <c r="BO146" s="5">
        <v>106.46</v>
      </c>
      <c r="BQ146" t="s">
        <v>422</v>
      </c>
      <c r="BR146" t="s">
        <v>432</v>
      </c>
      <c r="BS146" s="1">
        <v>43670</v>
      </c>
      <c r="BT146" s="2">
        <v>0.50902777777777775</v>
      </c>
      <c r="BU146" t="s">
        <v>433</v>
      </c>
      <c r="BV146" t="s">
        <v>76</v>
      </c>
      <c r="BW146" t="s">
        <v>325</v>
      </c>
      <c r="BX146" t="s">
        <v>434</v>
      </c>
      <c r="BY146">
        <v>2400</v>
      </c>
      <c r="BZ146" t="s">
        <v>23</v>
      </c>
      <c r="CA146" t="s">
        <v>435</v>
      </c>
      <c r="CC146" t="s">
        <v>430</v>
      </c>
      <c r="CD146">
        <v>2570</v>
      </c>
      <c r="CE146" t="s">
        <v>78</v>
      </c>
      <c r="CF146" s="1">
        <v>43670</v>
      </c>
      <c r="CI146">
        <v>1</v>
      </c>
      <c r="CJ146">
        <v>6</v>
      </c>
      <c r="CK146">
        <v>23</v>
      </c>
      <c r="CL146" t="s">
        <v>76</v>
      </c>
    </row>
    <row r="147" spans="1:90">
      <c r="A147" t="s">
        <v>62</v>
      </c>
      <c r="B147" t="s">
        <v>63</v>
      </c>
      <c r="C147" t="s">
        <v>64</v>
      </c>
      <c r="E147" t="str">
        <f>"009936458907"</f>
        <v>009936458907</v>
      </c>
      <c r="F147" s="1">
        <v>43662</v>
      </c>
      <c r="G147">
        <v>202001</v>
      </c>
      <c r="H147" t="s">
        <v>65</v>
      </c>
      <c r="I147" t="s">
        <v>66</v>
      </c>
      <c r="J147" t="s">
        <v>67</v>
      </c>
      <c r="K147" t="s">
        <v>68</v>
      </c>
      <c r="L147" t="s">
        <v>96</v>
      </c>
      <c r="M147" t="s">
        <v>97</v>
      </c>
      <c r="N147" t="s">
        <v>67</v>
      </c>
      <c r="O147" t="s">
        <v>120</v>
      </c>
      <c r="P147" t="str">
        <f>"LCK                           "</f>
        <v xml:space="preserve">LCK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26.9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6.1</v>
      </c>
      <c r="BJ147">
        <v>3.4</v>
      </c>
      <c r="BK147">
        <v>6.5</v>
      </c>
      <c r="BL147" s="5">
        <v>155.22999999999999</v>
      </c>
      <c r="BM147" s="5">
        <v>23.28</v>
      </c>
      <c r="BN147" s="5">
        <v>178.51</v>
      </c>
      <c r="BO147" s="5">
        <v>178.51</v>
      </c>
      <c r="BQ147" t="s">
        <v>199</v>
      </c>
      <c r="BR147" t="s">
        <v>84</v>
      </c>
      <c r="BS147" s="1">
        <v>43663</v>
      </c>
      <c r="BT147" s="2">
        <v>0.4375</v>
      </c>
      <c r="BU147" t="s">
        <v>161</v>
      </c>
      <c r="BV147" t="s">
        <v>86</v>
      </c>
      <c r="BY147">
        <v>17005.349999999999</v>
      </c>
      <c r="BZ147" t="s">
        <v>23</v>
      </c>
      <c r="CA147" t="s">
        <v>160</v>
      </c>
      <c r="CC147" t="s">
        <v>97</v>
      </c>
      <c r="CD147">
        <v>699</v>
      </c>
      <c r="CE147" t="s">
        <v>78</v>
      </c>
      <c r="CF147" s="1">
        <v>43664</v>
      </c>
      <c r="CI147">
        <v>1</v>
      </c>
      <c r="CJ147">
        <v>1</v>
      </c>
      <c r="CK147">
        <v>21</v>
      </c>
      <c r="CL147" t="s">
        <v>76</v>
      </c>
    </row>
    <row r="148" spans="1:90">
      <c r="A148" t="s">
        <v>62</v>
      </c>
      <c r="B148" t="s">
        <v>63</v>
      </c>
      <c r="C148" t="s">
        <v>64</v>
      </c>
      <c r="E148" t="str">
        <f>"009938769243"</f>
        <v>009938769243</v>
      </c>
      <c r="F148" s="1">
        <v>43662</v>
      </c>
      <c r="G148">
        <v>202001</v>
      </c>
      <c r="H148" t="s">
        <v>65</v>
      </c>
      <c r="I148" t="s">
        <v>66</v>
      </c>
      <c r="J148" t="s">
        <v>67</v>
      </c>
      <c r="K148" t="s">
        <v>68</v>
      </c>
      <c r="L148" t="s">
        <v>116</v>
      </c>
      <c r="M148" t="s">
        <v>117</v>
      </c>
      <c r="N148" t="s">
        <v>67</v>
      </c>
      <c r="O148" t="s">
        <v>120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8.2799999999999994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0.5</v>
      </c>
      <c r="BK148">
        <v>1</v>
      </c>
      <c r="BL148" s="5">
        <v>47.78</v>
      </c>
      <c r="BM148" s="5">
        <v>7.17</v>
      </c>
      <c r="BN148" s="5">
        <v>54.95</v>
      </c>
      <c r="BO148" s="5">
        <v>54.95</v>
      </c>
      <c r="BQ148" t="s">
        <v>436</v>
      </c>
      <c r="BR148" t="s">
        <v>84</v>
      </c>
      <c r="BS148" s="1">
        <v>43663</v>
      </c>
      <c r="BT148" s="2">
        <v>0.32847222222222222</v>
      </c>
      <c r="BU148" t="s">
        <v>428</v>
      </c>
      <c r="BV148" t="s">
        <v>86</v>
      </c>
      <c r="BY148">
        <v>2400</v>
      </c>
      <c r="BZ148" t="s">
        <v>23</v>
      </c>
      <c r="CA148" t="s">
        <v>188</v>
      </c>
      <c r="CC148" t="s">
        <v>117</v>
      </c>
      <c r="CD148">
        <v>4091</v>
      </c>
      <c r="CE148" t="s">
        <v>78</v>
      </c>
      <c r="CF148" s="1">
        <v>43664</v>
      </c>
      <c r="CI148">
        <v>1</v>
      </c>
      <c r="CJ148">
        <v>1</v>
      </c>
      <c r="CK148">
        <v>21</v>
      </c>
      <c r="CL148" t="s">
        <v>76</v>
      </c>
    </row>
    <row r="149" spans="1:90">
      <c r="A149" t="s">
        <v>62</v>
      </c>
      <c r="B149" t="s">
        <v>63</v>
      </c>
      <c r="C149" t="s">
        <v>64</v>
      </c>
      <c r="E149" t="str">
        <f>"009937720441"</f>
        <v>009937720441</v>
      </c>
      <c r="F149" s="1">
        <v>43662</v>
      </c>
      <c r="G149">
        <v>202001</v>
      </c>
      <c r="H149" t="s">
        <v>65</v>
      </c>
      <c r="I149" t="s">
        <v>66</v>
      </c>
      <c r="J149" t="s">
        <v>67</v>
      </c>
      <c r="K149" t="s">
        <v>68</v>
      </c>
      <c r="L149" t="s">
        <v>96</v>
      </c>
      <c r="M149" t="s">
        <v>97</v>
      </c>
      <c r="N149" t="s">
        <v>67</v>
      </c>
      <c r="O149" t="s">
        <v>120</v>
      </c>
      <c r="P149" t="str">
        <f>"FIELD S                       "</f>
        <v xml:space="preserve">FIELD S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8.2799999999999994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0.5</v>
      </c>
      <c r="BK149">
        <v>1</v>
      </c>
      <c r="BL149" s="5">
        <v>47.78</v>
      </c>
      <c r="BM149" s="5">
        <v>7.17</v>
      </c>
      <c r="BN149" s="5">
        <v>54.95</v>
      </c>
      <c r="BO149" s="5">
        <v>54.95</v>
      </c>
      <c r="BQ149" t="s">
        <v>437</v>
      </c>
      <c r="BR149" t="s">
        <v>84</v>
      </c>
      <c r="BS149" s="1">
        <v>43663</v>
      </c>
      <c r="BT149" s="2">
        <v>0.4375</v>
      </c>
      <c r="BU149" t="s">
        <v>161</v>
      </c>
      <c r="BV149" t="s">
        <v>86</v>
      </c>
      <c r="BY149">
        <v>2400</v>
      </c>
      <c r="BZ149" t="s">
        <v>23</v>
      </c>
      <c r="CA149" t="s">
        <v>160</v>
      </c>
      <c r="CC149" t="s">
        <v>97</v>
      </c>
      <c r="CD149">
        <v>699</v>
      </c>
      <c r="CE149" t="s">
        <v>78</v>
      </c>
      <c r="CF149" s="1">
        <v>43664</v>
      </c>
      <c r="CI149">
        <v>1</v>
      </c>
      <c r="CJ149">
        <v>1</v>
      </c>
      <c r="CK149">
        <v>21</v>
      </c>
      <c r="CL149" t="s">
        <v>76</v>
      </c>
    </row>
    <row r="150" spans="1:90">
      <c r="A150" t="s">
        <v>62</v>
      </c>
      <c r="B150" t="s">
        <v>63</v>
      </c>
      <c r="C150" t="s">
        <v>64</v>
      </c>
      <c r="E150" t="str">
        <f>"009935996433"</f>
        <v>009935996433</v>
      </c>
      <c r="F150" s="1">
        <v>43662</v>
      </c>
      <c r="G150">
        <v>202001</v>
      </c>
      <c r="H150" t="s">
        <v>65</v>
      </c>
      <c r="I150" t="s">
        <v>66</v>
      </c>
      <c r="J150" t="s">
        <v>67</v>
      </c>
      <c r="K150" t="s">
        <v>68</v>
      </c>
      <c r="L150" t="s">
        <v>108</v>
      </c>
      <c r="M150" t="s">
        <v>109</v>
      </c>
      <c r="N150" t="s">
        <v>168</v>
      </c>
      <c r="O150" t="s">
        <v>120</v>
      </c>
      <c r="P150" t="str">
        <f>"STORES F.S                    "</f>
        <v xml:space="preserve">STORES F.S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8.2799999999999994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0.5</v>
      </c>
      <c r="BK150">
        <v>1</v>
      </c>
      <c r="BL150" s="5">
        <v>47.78</v>
      </c>
      <c r="BM150" s="5">
        <v>7.17</v>
      </c>
      <c r="BN150" s="5">
        <v>54.95</v>
      </c>
      <c r="BO150" s="5">
        <v>54.95</v>
      </c>
      <c r="BQ150" t="s">
        <v>335</v>
      </c>
      <c r="BR150" t="s">
        <v>144</v>
      </c>
      <c r="BS150" s="1">
        <v>43663</v>
      </c>
      <c r="BT150" s="2">
        <v>0.34722222222222227</v>
      </c>
      <c r="BU150" t="s">
        <v>438</v>
      </c>
      <c r="BV150" t="s">
        <v>86</v>
      </c>
      <c r="BY150">
        <v>2400</v>
      </c>
      <c r="BZ150" t="s">
        <v>23</v>
      </c>
      <c r="CA150" t="s">
        <v>226</v>
      </c>
      <c r="CC150" t="s">
        <v>109</v>
      </c>
      <c r="CD150">
        <v>6045</v>
      </c>
      <c r="CE150" t="s">
        <v>78</v>
      </c>
      <c r="CF150" s="1">
        <v>43664</v>
      </c>
      <c r="CI150">
        <v>1</v>
      </c>
      <c r="CJ150">
        <v>1</v>
      </c>
      <c r="CK150">
        <v>21</v>
      </c>
      <c r="CL150" t="s">
        <v>76</v>
      </c>
    </row>
    <row r="151" spans="1:90">
      <c r="A151" t="s">
        <v>62</v>
      </c>
      <c r="B151" t="s">
        <v>63</v>
      </c>
      <c r="C151" t="s">
        <v>64</v>
      </c>
      <c r="E151" t="str">
        <f>"019910066622"</f>
        <v>019910066622</v>
      </c>
      <c r="F151" s="1">
        <v>43662</v>
      </c>
      <c r="G151">
        <v>202001</v>
      </c>
      <c r="H151" t="s">
        <v>137</v>
      </c>
      <c r="I151" t="s">
        <v>138</v>
      </c>
      <c r="J151" t="s">
        <v>67</v>
      </c>
      <c r="K151" t="s">
        <v>68</v>
      </c>
      <c r="L151" t="s">
        <v>103</v>
      </c>
      <c r="M151" t="s">
        <v>104</v>
      </c>
      <c r="N151" t="s">
        <v>67</v>
      </c>
      <c r="O151" t="s">
        <v>72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148.94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7</v>
      </c>
      <c r="BI151">
        <v>125.2</v>
      </c>
      <c r="BJ151">
        <v>196.5</v>
      </c>
      <c r="BK151">
        <v>197</v>
      </c>
      <c r="BL151" s="5">
        <v>864.52</v>
      </c>
      <c r="BM151" s="5">
        <v>129.68</v>
      </c>
      <c r="BN151" s="5">
        <v>994.2</v>
      </c>
      <c r="BO151" s="5">
        <v>994.2</v>
      </c>
      <c r="BQ151" t="s">
        <v>439</v>
      </c>
      <c r="BR151" t="s">
        <v>440</v>
      </c>
      <c r="BS151" s="1">
        <v>43664</v>
      </c>
      <c r="BT151" s="2">
        <v>0.43611111111111112</v>
      </c>
      <c r="BU151" t="s">
        <v>100</v>
      </c>
      <c r="BV151" t="s">
        <v>86</v>
      </c>
      <c r="BY151">
        <v>982366.51</v>
      </c>
      <c r="CC151" t="s">
        <v>104</v>
      </c>
      <c r="CD151">
        <v>2090</v>
      </c>
      <c r="CE151" t="s">
        <v>78</v>
      </c>
      <c r="CF151" s="1">
        <v>43665</v>
      </c>
      <c r="CI151">
        <v>2</v>
      </c>
      <c r="CJ151">
        <v>2</v>
      </c>
      <c r="CK151" t="s">
        <v>115</v>
      </c>
      <c r="CL151" t="s">
        <v>76</v>
      </c>
    </row>
    <row r="152" spans="1:90">
      <c r="A152" t="s">
        <v>62</v>
      </c>
      <c r="B152" t="s">
        <v>63</v>
      </c>
      <c r="C152" t="s">
        <v>64</v>
      </c>
      <c r="E152" t="str">
        <f>"009939030217"</f>
        <v>009939030217</v>
      </c>
      <c r="F152" s="1">
        <v>43662</v>
      </c>
      <c r="G152">
        <v>202001</v>
      </c>
      <c r="H152" t="s">
        <v>65</v>
      </c>
      <c r="I152" t="s">
        <v>66</v>
      </c>
      <c r="J152" t="s">
        <v>67</v>
      </c>
      <c r="K152" t="s">
        <v>68</v>
      </c>
      <c r="L152" t="s">
        <v>255</v>
      </c>
      <c r="M152" t="s">
        <v>256</v>
      </c>
      <c r="N152" t="s">
        <v>441</v>
      </c>
      <c r="O152" t="s">
        <v>72</v>
      </c>
      <c r="P152" t="str">
        <f t="shared" ref="P152:P157" si="5"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43.06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26.9</v>
      </c>
      <c r="BJ152">
        <v>54</v>
      </c>
      <c r="BK152">
        <v>54</v>
      </c>
      <c r="BL152" s="5">
        <v>253.48</v>
      </c>
      <c r="BM152" s="5">
        <v>38.020000000000003</v>
      </c>
      <c r="BN152" s="5">
        <v>291.5</v>
      </c>
      <c r="BO152" s="5">
        <v>291.5</v>
      </c>
      <c r="BQ152" t="s">
        <v>442</v>
      </c>
      <c r="BR152" t="s">
        <v>74</v>
      </c>
      <c r="BS152" s="1">
        <v>43665</v>
      </c>
      <c r="BT152" s="2">
        <v>0.51041666666666663</v>
      </c>
      <c r="BU152" t="s">
        <v>443</v>
      </c>
      <c r="BV152" t="s">
        <v>76</v>
      </c>
      <c r="BW152" t="s">
        <v>264</v>
      </c>
      <c r="BX152" t="s">
        <v>265</v>
      </c>
      <c r="BY152">
        <v>270034.73</v>
      </c>
      <c r="CA152" t="s">
        <v>261</v>
      </c>
      <c r="CC152" t="s">
        <v>256</v>
      </c>
      <c r="CD152">
        <v>3200</v>
      </c>
      <c r="CE152" t="s">
        <v>78</v>
      </c>
      <c r="CF152" s="1">
        <v>43669</v>
      </c>
      <c r="CI152">
        <v>1</v>
      </c>
      <c r="CJ152">
        <v>3</v>
      </c>
      <c r="CK152" t="s">
        <v>262</v>
      </c>
      <c r="CL152" t="s">
        <v>76</v>
      </c>
    </row>
    <row r="153" spans="1:90">
      <c r="A153" t="s">
        <v>62</v>
      </c>
      <c r="B153" t="s">
        <v>63</v>
      </c>
      <c r="C153" t="s">
        <v>64</v>
      </c>
      <c r="E153" t="str">
        <f>"009937720442"</f>
        <v>009937720442</v>
      </c>
      <c r="F153" s="1">
        <v>43662</v>
      </c>
      <c r="G153">
        <v>202001</v>
      </c>
      <c r="H153" t="s">
        <v>65</v>
      </c>
      <c r="I153" t="s">
        <v>66</v>
      </c>
      <c r="J153" t="s">
        <v>67</v>
      </c>
      <c r="K153" t="s">
        <v>68</v>
      </c>
      <c r="L153" t="s">
        <v>96</v>
      </c>
      <c r="M153" t="s">
        <v>97</v>
      </c>
      <c r="N153" t="s">
        <v>67</v>
      </c>
      <c r="O153" t="s">
        <v>72</v>
      </c>
      <c r="P153" t="str">
        <f t="shared" si="5"/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34.700000000000003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61.3</v>
      </c>
      <c r="BJ153">
        <v>59.2</v>
      </c>
      <c r="BK153">
        <v>62</v>
      </c>
      <c r="BL153" s="5">
        <v>205.23</v>
      </c>
      <c r="BM153" s="5">
        <v>30.78</v>
      </c>
      <c r="BN153" s="5">
        <v>236.01</v>
      </c>
      <c r="BO153" s="5">
        <v>236.01</v>
      </c>
      <c r="BQ153" t="s">
        <v>73</v>
      </c>
      <c r="BS153" s="1">
        <v>43663</v>
      </c>
      <c r="BT153" s="2">
        <v>0.4548611111111111</v>
      </c>
      <c r="BU153" t="s">
        <v>161</v>
      </c>
      <c r="BV153" t="s">
        <v>86</v>
      </c>
      <c r="BY153">
        <v>295863.15999999997</v>
      </c>
      <c r="CA153" t="s">
        <v>160</v>
      </c>
      <c r="CC153" t="s">
        <v>97</v>
      </c>
      <c r="CD153">
        <v>699</v>
      </c>
      <c r="CE153" t="s">
        <v>78</v>
      </c>
      <c r="CF153" s="1">
        <v>43664</v>
      </c>
      <c r="CI153">
        <v>1</v>
      </c>
      <c r="CJ153">
        <v>1</v>
      </c>
      <c r="CK153" t="s">
        <v>79</v>
      </c>
      <c r="CL153" t="s">
        <v>76</v>
      </c>
    </row>
    <row r="154" spans="1:90">
      <c r="A154" t="s">
        <v>62</v>
      </c>
      <c r="B154" t="s">
        <v>63</v>
      </c>
      <c r="C154" t="s">
        <v>64</v>
      </c>
      <c r="E154" t="str">
        <f>"009938769241"</f>
        <v>009938769241</v>
      </c>
      <c r="F154" s="1">
        <v>43662</v>
      </c>
      <c r="G154">
        <v>202001</v>
      </c>
      <c r="H154" t="s">
        <v>65</v>
      </c>
      <c r="I154" t="s">
        <v>66</v>
      </c>
      <c r="J154" t="s">
        <v>67</v>
      </c>
      <c r="K154" t="s">
        <v>68</v>
      </c>
      <c r="L154" t="s">
        <v>116</v>
      </c>
      <c r="M154" t="s">
        <v>117</v>
      </c>
      <c r="N154" t="s">
        <v>67</v>
      </c>
      <c r="O154" t="s">
        <v>72</v>
      </c>
      <c r="P154" t="str">
        <f t="shared" si="5"/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31.75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55.6</v>
      </c>
      <c r="BJ154">
        <v>55.8</v>
      </c>
      <c r="BK154">
        <v>56</v>
      </c>
      <c r="BL154" s="5">
        <v>188.24</v>
      </c>
      <c r="BM154" s="5">
        <v>28.24</v>
      </c>
      <c r="BN154" s="5">
        <v>216.48</v>
      </c>
      <c r="BO154" s="5">
        <v>216.48</v>
      </c>
      <c r="BQ154" t="s">
        <v>185</v>
      </c>
      <c r="BR154" t="s">
        <v>84</v>
      </c>
      <c r="BS154" s="1">
        <v>43663</v>
      </c>
      <c r="BT154" s="2">
        <v>0.56666666666666665</v>
      </c>
      <c r="BU154" t="s">
        <v>289</v>
      </c>
      <c r="BV154" t="s">
        <v>86</v>
      </c>
      <c r="BY154">
        <v>278976.21999999997</v>
      </c>
      <c r="CA154" t="s">
        <v>290</v>
      </c>
      <c r="CC154" t="s">
        <v>117</v>
      </c>
      <c r="CD154">
        <v>4091</v>
      </c>
      <c r="CE154" t="s">
        <v>78</v>
      </c>
      <c r="CF154" s="1">
        <v>43663</v>
      </c>
      <c r="CI154">
        <v>1</v>
      </c>
      <c r="CJ154">
        <v>1</v>
      </c>
      <c r="CK154" t="s">
        <v>291</v>
      </c>
      <c r="CL154" t="s">
        <v>76</v>
      </c>
    </row>
    <row r="155" spans="1:90">
      <c r="A155" t="s">
        <v>62</v>
      </c>
      <c r="B155" t="s">
        <v>63</v>
      </c>
      <c r="C155" t="s">
        <v>64</v>
      </c>
      <c r="E155" t="str">
        <f>"009939030214"</f>
        <v>009939030214</v>
      </c>
      <c r="F155" s="1">
        <v>43662</v>
      </c>
      <c r="G155">
        <v>202001</v>
      </c>
      <c r="H155" t="s">
        <v>65</v>
      </c>
      <c r="I155" t="s">
        <v>66</v>
      </c>
      <c r="J155" t="s">
        <v>67</v>
      </c>
      <c r="K155" t="s">
        <v>68</v>
      </c>
      <c r="L155" t="s">
        <v>444</v>
      </c>
      <c r="M155" t="s">
        <v>445</v>
      </c>
      <c r="N155" t="s">
        <v>446</v>
      </c>
      <c r="O155" t="s">
        <v>72</v>
      </c>
      <c r="P155" t="str">
        <f t="shared" si="5"/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111.85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2</v>
      </c>
      <c r="BI155">
        <v>62</v>
      </c>
      <c r="BJ155">
        <v>91.5</v>
      </c>
      <c r="BK155">
        <v>92</v>
      </c>
      <c r="BL155" s="5">
        <v>650.49</v>
      </c>
      <c r="BM155" s="5">
        <v>97.57</v>
      </c>
      <c r="BN155" s="5">
        <v>748.06</v>
      </c>
      <c r="BO155" s="5">
        <v>748.06</v>
      </c>
      <c r="BQ155" t="s">
        <v>447</v>
      </c>
      <c r="BR155" t="s">
        <v>74</v>
      </c>
      <c r="BS155" s="1">
        <v>43664</v>
      </c>
      <c r="BT155" s="2">
        <v>0.72569444444444453</v>
      </c>
      <c r="BU155" t="s">
        <v>448</v>
      </c>
      <c r="BV155" t="s">
        <v>86</v>
      </c>
      <c r="BY155">
        <v>457738</v>
      </c>
      <c r="CA155" t="s">
        <v>449</v>
      </c>
      <c r="CC155" t="s">
        <v>445</v>
      </c>
      <c r="CD155">
        <v>8800</v>
      </c>
      <c r="CE155" t="s">
        <v>78</v>
      </c>
      <c r="CF155" s="1">
        <v>43669</v>
      </c>
      <c r="CI155">
        <v>2</v>
      </c>
      <c r="CJ155">
        <v>2</v>
      </c>
      <c r="CK155" t="s">
        <v>88</v>
      </c>
      <c r="CL155" t="s">
        <v>76</v>
      </c>
    </row>
    <row r="156" spans="1:90">
      <c r="A156" t="s">
        <v>62</v>
      </c>
      <c r="B156" t="s">
        <v>63</v>
      </c>
      <c r="C156" t="s">
        <v>64</v>
      </c>
      <c r="E156" t="str">
        <f>"009939030216"</f>
        <v>009939030216</v>
      </c>
      <c r="F156" s="1">
        <v>43662</v>
      </c>
      <c r="G156">
        <v>202001</v>
      </c>
      <c r="H156" t="s">
        <v>65</v>
      </c>
      <c r="I156" t="s">
        <v>66</v>
      </c>
      <c r="J156" t="s">
        <v>67</v>
      </c>
      <c r="K156" t="s">
        <v>68</v>
      </c>
      <c r="L156" t="s">
        <v>450</v>
      </c>
      <c r="M156" t="s">
        <v>451</v>
      </c>
      <c r="N156" t="s">
        <v>452</v>
      </c>
      <c r="O156" t="s">
        <v>72</v>
      </c>
      <c r="P156" t="str">
        <f t="shared" si="5"/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25.38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15</v>
      </c>
      <c r="BJ156">
        <v>42.3</v>
      </c>
      <c r="BK156">
        <v>43</v>
      </c>
      <c r="BL156" s="5">
        <v>151.44999999999999</v>
      </c>
      <c r="BM156" s="5">
        <v>22.72</v>
      </c>
      <c r="BN156" s="5">
        <v>174.17</v>
      </c>
      <c r="BO156" s="5">
        <v>174.17</v>
      </c>
      <c r="BQ156" t="s">
        <v>453</v>
      </c>
      <c r="BR156" t="s">
        <v>74</v>
      </c>
      <c r="BS156" s="1">
        <v>43663</v>
      </c>
      <c r="BT156" s="2">
        <v>0.35416666666666669</v>
      </c>
      <c r="BU156" t="s">
        <v>453</v>
      </c>
      <c r="BV156" t="s">
        <v>86</v>
      </c>
      <c r="BY156">
        <v>211653</v>
      </c>
      <c r="CC156" t="s">
        <v>451</v>
      </c>
      <c r="CD156">
        <v>2940</v>
      </c>
      <c r="CE156" t="s">
        <v>78</v>
      </c>
      <c r="CF156" s="1">
        <v>43665</v>
      </c>
      <c r="CI156">
        <v>1</v>
      </c>
      <c r="CJ156">
        <v>1</v>
      </c>
      <c r="CK156" t="s">
        <v>291</v>
      </c>
      <c r="CL156" t="s">
        <v>76</v>
      </c>
    </row>
    <row r="157" spans="1:90">
      <c r="A157" t="s">
        <v>62</v>
      </c>
      <c r="B157" t="s">
        <v>63</v>
      </c>
      <c r="C157" t="s">
        <v>64</v>
      </c>
      <c r="E157" t="str">
        <f>"009938891119"</f>
        <v>009938891119</v>
      </c>
      <c r="F157" s="1">
        <v>43662</v>
      </c>
      <c r="G157">
        <v>202001</v>
      </c>
      <c r="H157" t="s">
        <v>65</v>
      </c>
      <c r="I157" t="s">
        <v>66</v>
      </c>
      <c r="J157" t="s">
        <v>67</v>
      </c>
      <c r="K157" t="s">
        <v>68</v>
      </c>
      <c r="L157" t="s">
        <v>189</v>
      </c>
      <c r="M157" t="s">
        <v>190</v>
      </c>
      <c r="N157" t="s">
        <v>67</v>
      </c>
      <c r="O157" t="s">
        <v>72</v>
      </c>
      <c r="P157" t="str">
        <f t="shared" si="5"/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20.18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8</v>
      </c>
      <c r="BJ157">
        <v>14.5</v>
      </c>
      <c r="BK157">
        <v>15</v>
      </c>
      <c r="BL157" s="5">
        <v>121.46</v>
      </c>
      <c r="BM157" s="5">
        <v>18.22</v>
      </c>
      <c r="BN157" s="5">
        <v>139.68</v>
      </c>
      <c r="BO157" s="5">
        <v>139.68</v>
      </c>
      <c r="BQ157" t="s">
        <v>192</v>
      </c>
      <c r="BR157" t="s">
        <v>84</v>
      </c>
      <c r="BS157" s="1">
        <v>43663</v>
      </c>
      <c r="BT157" s="2">
        <v>0.58958333333333335</v>
      </c>
      <c r="BU157" t="s">
        <v>194</v>
      </c>
      <c r="BV157" t="s">
        <v>86</v>
      </c>
      <c r="BY157">
        <v>72334.97</v>
      </c>
      <c r="CA157" t="s">
        <v>195</v>
      </c>
      <c r="CC157" t="s">
        <v>190</v>
      </c>
      <c r="CD157">
        <v>920</v>
      </c>
      <c r="CE157" t="s">
        <v>78</v>
      </c>
      <c r="CF157" s="1">
        <v>43663</v>
      </c>
      <c r="CI157">
        <v>1</v>
      </c>
      <c r="CJ157">
        <v>1</v>
      </c>
      <c r="CK157" t="s">
        <v>146</v>
      </c>
      <c r="CL157" t="s">
        <v>76</v>
      </c>
    </row>
    <row r="158" spans="1:90">
      <c r="A158" t="s">
        <v>62</v>
      </c>
      <c r="B158" t="s">
        <v>63</v>
      </c>
      <c r="C158" t="s">
        <v>64</v>
      </c>
      <c r="E158" t="str">
        <f>"009938743130"</f>
        <v>009938743130</v>
      </c>
      <c r="F158" s="1">
        <v>43662</v>
      </c>
      <c r="G158">
        <v>202001</v>
      </c>
      <c r="H158" t="s">
        <v>89</v>
      </c>
      <c r="I158" t="s">
        <v>90</v>
      </c>
      <c r="J158" t="s">
        <v>82</v>
      </c>
      <c r="K158" t="s">
        <v>68</v>
      </c>
      <c r="L158" t="s">
        <v>65</v>
      </c>
      <c r="M158" t="s">
        <v>66</v>
      </c>
      <c r="N158" t="s">
        <v>82</v>
      </c>
      <c r="O158" t="s">
        <v>72</v>
      </c>
      <c r="P158" t="str">
        <f>"....                          "</f>
        <v xml:space="preserve">....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15.52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 s="5">
        <v>94.58</v>
      </c>
      <c r="BM158" s="5">
        <v>14.19</v>
      </c>
      <c r="BN158" s="5">
        <v>108.77</v>
      </c>
      <c r="BO158" s="5">
        <v>108.77</v>
      </c>
      <c r="BQ158" t="s">
        <v>283</v>
      </c>
      <c r="BR158" t="s">
        <v>454</v>
      </c>
      <c r="BS158" s="1">
        <v>43663</v>
      </c>
      <c r="BT158" s="2">
        <v>0.3979166666666667</v>
      </c>
      <c r="BU158" t="s">
        <v>455</v>
      </c>
      <c r="BV158" t="s">
        <v>86</v>
      </c>
      <c r="BY158">
        <v>1200</v>
      </c>
      <c r="CA158" t="s">
        <v>449</v>
      </c>
      <c r="CC158" t="s">
        <v>66</v>
      </c>
      <c r="CD158">
        <v>2146</v>
      </c>
      <c r="CE158" t="s">
        <v>78</v>
      </c>
      <c r="CF158" s="1">
        <v>43664</v>
      </c>
      <c r="CI158">
        <v>1</v>
      </c>
      <c r="CJ158">
        <v>1</v>
      </c>
      <c r="CK158" t="s">
        <v>95</v>
      </c>
      <c r="CL158" t="s">
        <v>76</v>
      </c>
    </row>
    <row r="159" spans="1:90">
      <c r="A159" t="s">
        <v>62</v>
      </c>
      <c r="B159" t="s">
        <v>63</v>
      </c>
      <c r="C159" t="s">
        <v>64</v>
      </c>
      <c r="E159" t="str">
        <f>"029908431930"</f>
        <v>029908431930</v>
      </c>
      <c r="F159" s="1">
        <v>43662</v>
      </c>
      <c r="G159">
        <v>202001</v>
      </c>
      <c r="H159" t="s">
        <v>116</v>
      </c>
      <c r="I159" t="s">
        <v>117</v>
      </c>
      <c r="J159" t="s">
        <v>118</v>
      </c>
      <c r="K159" t="s">
        <v>68</v>
      </c>
      <c r="L159" t="s">
        <v>65</v>
      </c>
      <c r="M159" t="s">
        <v>66</v>
      </c>
      <c r="N159" t="s">
        <v>456</v>
      </c>
      <c r="O159" t="s">
        <v>120</v>
      </c>
      <c r="P159" t="str">
        <f>"190 716 0237                  "</f>
        <v xml:space="preserve">190 716 0237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8.2799999999999994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0.2</v>
      </c>
      <c r="BK159">
        <v>0.5</v>
      </c>
      <c r="BL159" s="5">
        <v>47.78</v>
      </c>
      <c r="BM159" s="5">
        <v>7.17</v>
      </c>
      <c r="BN159" s="5">
        <v>54.95</v>
      </c>
      <c r="BO159" s="5">
        <v>54.95</v>
      </c>
      <c r="BQ159" t="s">
        <v>237</v>
      </c>
      <c r="BR159" t="s">
        <v>121</v>
      </c>
      <c r="BS159" s="1">
        <v>43663</v>
      </c>
      <c r="BT159" s="2">
        <v>0.39930555555555558</v>
      </c>
      <c r="BU159" t="s">
        <v>455</v>
      </c>
      <c r="BV159" t="s">
        <v>86</v>
      </c>
      <c r="BY159">
        <v>1200</v>
      </c>
      <c r="BZ159" t="s">
        <v>23</v>
      </c>
      <c r="CA159" t="s">
        <v>449</v>
      </c>
      <c r="CC159" t="s">
        <v>66</v>
      </c>
      <c r="CD159">
        <v>2146</v>
      </c>
      <c r="CE159" t="s">
        <v>78</v>
      </c>
      <c r="CF159" s="1">
        <v>43664</v>
      </c>
      <c r="CI159">
        <v>1</v>
      </c>
      <c r="CJ159">
        <v>1</v>
      </c>
      <c r="CK159">
        <v>21</v>
      </c>
      <c r="CL159" t="s">
        <v>76</v>
      </c>
    </row>
    <row r="160" spans="1:90">
      <c r="A160" t="s">
        <v>180</v>
      </c>
      <c r="B160" t="s">
        <v>63</v>
      </c>
      <c r="C160" t="s">
        <v>64</v>
      </c>
      <c r="E160" t="str">
        <f>"089901559884"</f>
        <v>089901559884</v>
      </c>
      <c r="F160" s="1">
        <v>43658</v>
      </c>
      <c r="G160">
        <v>202001</v>
      </c>
      <c r="H160" t="s">
        <v>181</v>
      </c>
      <c r="I160" t="s">
        <v>182</v>
      </c>
      <c r="J160" t="s">
        <v>67</v>
      </c>
      <c r="K160" t="s">
        <v>68</v>
      </c>
      <c r="L160" t="s">
        <v>277</v>
      </c>
      <c r="M160" t="s">
        <v>278</v>
      </c>
      <c r="N160" t="s">
        <v>218</v>
      </c>
      <c r="O160" t="s">
        <v>72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14.23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7.2</v>
      </c>
      <c r="BK160">
        <v>8</v>
      </c>
      <c r="BL160" s="5">
        <v>87.12</v>
      </c>
      <c r="BM160" s="5">
        <v>13.07</v>
      </c>
      <c r="BN160" s="5">
        <v>100.19</v>
      </c>
      <c r="BO160" s="5">
        <v>100.19</v>
      </c>
      <c r="BQ160" t="s">
        <v>457</v>
      </c>
      <c r="BR160" t="s">
        <v>458</v>
      </c>
      <c r="BS160" s="1">
        <v>43661</v>
      </c>
      <c r="BT160" s="2">
        <v>0.3576388888888889</v>
      </c>
      <c r="BU160" t="s">
        <v>246</v>
      </c>
      <c r="BV160" t="s">
        <v>86</v>
      </c>
      <c r="BY160">
        <v>36000</v>
      </c>
      <c r="CA160" t="s">
        <v>282</v>
      </c>
      <c r="CC160" t="s">
        <v>278</v>
      </c>
      <c r="CD160">
        <v>9700</v>
      </c>
      <c r="CE160" t="s">
        <v>366</v>
      </c>
      <c r="CF160" s="1">
        <v>43664</v>
      </c>
      <c r="CI160">
        <v>6</v>
      </c>
      <c r="CJ160">
        <v>1</v>
      </c>
      <c r="CK160" t="s">
        <v>177</v>
      </c>
      <c r="CL160" t="s">
        <v>76</v>
      </c>
    </row>
    <row r="161" spans="1:90">
      <c r="A161" t="s">
        <v>62</v>
      </c>
      <c r="B161" t="s">
        <v>63</v>
      </c>
      <c r="C161" t="s">
        <v>64</v>
      </c>
      <c r="E161" t="str">
        <f>"039902814821"</f>
        <v>039902814821</v>
      </c>
      <c r="F161" s="1">
        <v>43663</v>
      </c>
      <c r="G161">
        <v>202001</v>
      </c>
      <c r="H161" t="s">
        <v>108</v>
      </c>
      <c r="I161" t="s">
        <v>109</v>
      </c>
      <c r="J161" t="s">
        <v>110</v>
      </c>
      <c r="K161" t="s">
        <v>68</v>
      </c>
      <c r="L161" t="s">
        <v>103</v>
      </c>
      <c r="M161" t="s">
        <v>104</v>
      </c>
      <c r="N161" t="s">
        <v>459</v>
      </c>
      <c r="O161" t="s">
        <v>72</v>
      </c>
      <c r="P161" t="str">
        <f>"JNX1907361015                 "</f>
        <v xml:space="preserve">JNX1907361015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31.45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3</v>
      </c>
      <c r="BI161">
        <v>52</v>
      </c>
      <c r="BJ161">
        <v>26.1</v>
      </c>
      <c r="BK161">
        <v>35</v>
      </c>
      <c r="BL161" s="5">
        <v>186.51</v>
      </c>
      <c r="BM161" s="5">
        <v>27.98</v>
      </c>
      <c r="BN161" s="5">
        <v>214.49</v>
      </c>
      <c r="BO161" s="5">
        <v>214.49</v>
      </c>
      <c r="BQ161" t="s">
        <v>112</v>
      </c>
      <c r="BR161" t="s">
        <v>113</v>
      </c>
      <c r="BS161" s="1">
        <v>43665</v>
      </c>
      <c r="BT161" s="2">
        <v>0.5</v>
      </c>
      <c r="BU161" t="s">
        <v>100</v>
      </c>
      <c r="BV161" t="s">
        <v>86</v>
      </c>
      <c r="BY161">
        <v>313581.78000000003</v>
      </c>
      <c r="CC161" t="s">
        <v>104</v>
      </c>
      <c r="CD161">
        <v>2090</v>
      </c>
      <c r="CE161" t="s">
        <v>318</v>
      </c>
      <c r="CF161" s="1">
        <v>43669</v>
      </c>
      <c r="CI161">
        <v>2</v>
      </c>
      <c r="CJ161">
        <v>2</v>
      </c>
      <c r="CK161" t="s">
        <v>115</v>
      </c>
      <c r="CL161" t="s">
        <v>76</v>
      </c>
    </row>
    <row r="162" spans="1:90">
      <c r="A162" t="s">
        <v>62</v>
      </c>
      <c r="B162" t="s">
        <v>63</v>
      </c>
      <c r="C162" t="s">
        <v>64</v>
      </c>
      <c r="E162" t="str">
        <f>"029908431077"</f>
        <v>029908431077</v>
      </c>
      <c r="F162" s="1">
        <v>43663</v>
      </c>
      <c r="G162">
        <v>202001</v>
      </c>
      <c r="H162" t="s">
        <v>116</v>
      </c>
      <c r="I162" t="s">
        <v>117</v>
      </c>
      <c r="J162" t="s">
        <v>118</v>
      </c>
      <c r="K162" t="s">
        <v>68</v>
      </c>
      <c r="L162" t="s">
        <v>103</v>
      </c>
      <c r="M162" t="s">
        <v>104</v>
      </c>
      <c r="N162" t="s">
        <v>67</v>
      </c>
      <c r="O162" t="s">
        <v>120</v>
      </c>
      <c r="P162" t="str">
        <f>"SUREN                         "</f>
        <v xml:space="preserve">SUREN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8.2799999999999994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0.2</v>
      </c>
      <c r="BK162">
        <v>0.5</v>
      </c>
      <c r="BL162" s="5">
        <v>47.78</v>
      </c>
      <c r="BM162" s="5">
        <v>7.17</v>
      </c>
      <c r="BN162" s="5">
        <v>54.95</v>
      </c>
      <c r="BO162" s="5">
        <v>54.95</v>
      </c>
      <c r="BQ162" t="s">
        <v>460</v>
      </c>
      <c r="BR162" t="s">
        <v>121</v>
      </c>
      <c r="BS162" s="1">
        <v>43664</v>
      </c>
      <c r="BT162" s="2">
        <v>0.39097222222222222</v>
      </c>
      <c r="BU162" t="s">
        <v>461</v>
      </c>
      <c r="BV162" t="s">
        <v>86</v>
      </c>
      <c r="BY162">
        <v>1200</v>
      </c>
      <c r="BZ162" t="s">
        <v>23</v>
      </c>
      <c r="CC162" t="s">
        <v>104</v>
      </c>
      <c r="CD162">
        <v>2000</v>
      </c>
      <c r="CE162" t="s">
        <v>78</v>
      </c>
      <c r="CF162" s="1">
        <v>43665</v>
      </c>
      <c r="CI162">
        <v>1</v>
      </c>
      <c r="CJ162">
        <v>1</v>
      </c>
      <c r="CK162">
        <v>21</v>
      </c>
      <c r="CL162" t="s">
        <v>76</v>
      </c>
    </row>
    <row r="163" spans="1:90">
      <c r="A163" t="s">
        <v>62</v>
      </c>
      <c r="B163" t="s">
        <v>63</v>
      </c>
      <c r="C163" t="s">
        <v>64</v>
      </c>
      <c r="E163" t="str">
        <f>"009939030349"</f>
        <v>009939030349</v>
      </c>
      <c r="F163" s="1">
        <v>43663</v>
      </c>
      <c r="G163">
        <v>202001</v>
      </c>
      <c r="H163" t="s">
        <v>65</v>
      </c>
      <c r="I163" t="s">
        <v>66</v>
      </c>
      <c r="J163" t="s">
        <v>67</v>
      </c>
      <c r="K163" t="s">
        <v>68</v>
      </c>
      <c r="L163" t="s">
        <v>101</v>
      </c>
      <c r="M163" t="s">
        <v>102</v>
      </c>
      <c r="N163" t="s">
        <v>218</v>
      </c>
      <c r="O163" t="s">
        <v>120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10.35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0.5</v>
      </c>
      <c r="BJ163">
        <v>2.1</v>
      </c>
      <c r="BK163">
        <v>2.5</v>
      </c>
      <c r="BL163" s="5">
        <v>59.72</v>
      </c>
      <c r="BM163" s="5">
        <v>8.9600000000000009</v>
      </c>
      <c r="BN163" s="5">
        <v>68.680000000000007</v>
      </c>
      <c r="BO163" s="5">
        <v>68.680000000000007</v>
      </c>
      <c r="BQ163" t="s">
        <v>356</v>
      </c>
      <c r="BR163" t="s">
        <v>462</v>
      </c>
      <c r="BS163" s="1">
        <v>43664</v>
      </c>
      <c r="BT163" s="2">
        <v>0.41666666666666669</v>
      </c>
      <c r="BU163" t="s">
        <v>463</v>
      </c>
      <c r="BV163" t="s">
        <v>86</v>
      </c>
      <c r="BY163">
        <v>10708.8</v>
      </c>
      <c r="BZ163" t="s">
        <v>23</v>
      </c>
      <c r="CA163" t="s">
        <v>464</v>
      </c>
      <c r="CC163" t="s">
        <v>102</v>
      </c>
      <c r="CD163">
        <v>9459</v>
      </c>
      <c r="CE163" t="s">
        <v>78</v>
      </c>
      <c r="CF163" s="1">
        <v>43671</v>
      </c>
      <c r="CI163">
        <v>1</v>
      </c>
      <c r="CJ163">
        <v>1</v>
      </c>
      <c r="CK163">
        <v>21</v>
      </c>
      <c r="CL163" t="s">
        <v>76</v>
      </c>
    </row>
    <row r="164" spans="1:90">
      <c r="A164" t="s">
        <v>62</v>
      </c>
      <c r="B164" t="s">
        <v>63</v>
      </c>
      <c r="C164" t="s">
        <v>64</v>
      </c>
      <c r="E164" t="str">
        <f>"00993930249"</f>
        <v>00993930249</v>
      </c>
      <c r="F164" s="1">
        <v>43663</v>
      </c>
      <c r="G164">
        <v>202001</v>
      </c>
      <c r="H164" t="s">
        <v>103</v>
      </c>
      <c r="I164" t="s">
        <v>104</v>
      </c>
      <c r="J164" t="s">
        <v>205</v>
      </c>
      <c r="K164" t="s">
        <v>68</v>
      </c>
      <c r="L164" t="s">
        <v>152</v>
      </c>
      <c r="M164" t="s">
        <v>153</v>
      </c>
      <c r="N164" t="s">
        <v>218</v>
      </c>
      <c r="O164" t="s">
        <v>120</v>
      </c>
      <c r="P164" t="str">
        <f>"LCK                           "</f>
        <v xml:space="preserve">LCK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37.770000000000003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1.5</v>
      </c>
      <c r="BJ164">
        <v>5</v>
      </c>
      <c r="BK164">
        <v>5</v>
      </c>
      <c r="BL164" s="5">
        <v>217.98</v>
      </c>
      <c r="BM164" s="5">
        <v>32.700000000000003</v>
      </c>
      <c r="BN164" s="5">
        <v>250.68</v>
      </c>
      <c r="BO164" s="5">
        <v>250.68</v>
      </c>
      <c r="BQ164" t="s">
        <v>415</v>
      </c>
      <c r="BR164" t="s">
        <v>465</v>
      </c>
      <c r="BS164" s="1">
        <v>43664</v>
      </c>
      <c r="BT164" s="2">
        <v>0.62916666666666665</v>
      </c>
      <c r="BU164" t="s">
        <v>232</v>
      </c>
      <c r="BV164" t="s">
        <v>76</v>
      </c>
      <c r="BY164">
        <v>24889.78</v>
      </c>
      <c r="BZ164" t="s">
        <v>23</v>
      </c>
      <c r="CC164" t="s">
        <v>153</v>
      </c>
      <c r="CD164">
        <v>850</v>
      </c>
      <c r="CE164" t="s">
        <v>78</v>
      </c>
      <c r="CI164">
        <v>1</v>
      </c>
      <c r="CJ164">
        <v>1</v>
      </c>
      <c r="CK164">
        <v>23</v>
      </c>
      <c r="CL164" t="s">
        <v>76</v>
      </c>
    </row>
    <row r="165" spans="1:90">
      <c r="A165" t="s">
        <v>62</v>
      </c>
      <c r="B165" t="s">
        <v>63</v>
      </c>
      <c r="C165" t="s">
        <v>64</v>
      </c>
      <c r="E165" t="str">
        <f>"009935185518"</f>
        <v>009935185518</v>
      </c>
      <c r="F165" s="1">
        <v>43663</v>
      </c>
      <c r="G165">
        <v>202001</v>
      </c>
      <c r="H165" t="s">
        <v>103</v>
      </c>
      <c r="I165" t="s">
        <v>104</v>
      </c>
      <c r="J165" t="s">
        <v>205</v>
      </c>
      <c r="K165" t="s">
        <v>68</v>
      </c>
      <c r="L165" t="s">
        <v>116</v>
      </c>
      <c r="M165" t="s">
        <v>117</v>
      </c>
      <c r="N165" t="s">
        <v>218</v>
      </c>
      <c r="O165" t="s">
        <v>120</v>
      </c>
      <c r="P165" t="str">
        <f>"LCK                           "</f>
        <v xml:space="preserve">LCK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8.2799999999999994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1.2</v>
      </c>
      <c r="BJ165">
        <v>1.3</v>
      </c>
      <c r="BK165">
        <v>1.5</v>
      </c>
      <c r="BL165" s="5">
        <v>47.78</v>
      </c>
      <c r="BM165" s="5">
        <v>7.17</v>
      </c>
      <c r="BN165" s="5">
        <v>54.95</v>
      </c>
      <c r="BO165" s="5">
        <v>54.95</v>
      </c>
      <c r="BQ165" t="s">
        <v>239</v>
      </c>
      <c r="BR165" t="s">
        <v>209</v>
      </c>
      <c r="BS165" s="1">
        <v>43664</v>
      </c>
      <c r="BT165" s="2">
        <v>0.36805555555555558</v>
      </c>
      <c r="BU165" t="s">
        <v>428</v>
      </c>
      <c r="BV165" t="s">
        <v>86</v>
      </c>
      <c r="BY165">
        <v>6306.89</v>
      </c>
      <c r="BZ165" t="s">
        <v>23</v>
      </c>
      <c r="CA165" t="s">
        <v>188</v>
      </c>
      <c r="CC165" t="s">
        <v>117</v>
      </c>
      <c r="CD165">
        <v>4091</v>
      </c>
      <c r="CE165" t="s">
        <v>78</v>
      </c>
      <c r="CF165" s="1">
        <v>43664</v>
      </c>
      <c r="CI165">
        <v>1</v>
      </c>
      <c r="CJ165">
        <v>1</v>
      </c>
      <c r="CK165">
        <v>21</v>
      </c>
      <c r="CL165" t="s">
        <v>76</v>
      </c>
    </row>
    <row r="166" spans="1:90">
      <c r="A166" t="s">
        <v>62</v>
      </c>
      <c r="B166" t="s">
        <v>63</v>
      </c>
      <c r="C166" t="s">
        <v>64</v>
      </c>
      <c r="E166" t="str">
        <f>"009935660394"</f>
        <v>009935660394</v>
      </c>
      <c r="F166" s="1">
        <v>43663</v>
      </c>
      <c r="G166">
        <v>202001</v>
      </c>
      <c r="H166" t="s">
        <v>65</v>
      </c>
      <c r="I166" t="s">
        <v>66</v>
      </c>
      <c r="J166" t="s">
        <v>67</v>
      </c>
      <c r="K166" t="s">
        <v>68</v>
      </c>
      <c r="L166" t="s">
        <v>444</v>
      </c>
      <c r="M166" t="s">
        <v>445</v>
      </c>
      <c r="N166" t="s">
        <v>218</v>
      </c>
      <c r="O166" t="s">
        <v>120</v>
      </c>
      <c r="P166" t="str">
        <f>"LOCKS                         "</f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16.04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1.8</v>
      </c>
      <c r="BK166">
        <v>2</v>
      </c>
      <c r="BL166" s="5">
        <v>92.57</v>
      </c>
      <c r="BM166" s="5">
        <v>13.89</v>
      </c>
      <c r="BN166" s="5">
        <v>106.46</v>
      </c>
      <c r="BO166" s="5">
        <v>106.46</v>
      </c>
      <c r="BQ166" t="s">
        <v>466</v>
      </c>
      <c r="BR166" t="s">
        <v>462</v>
      </c>
      <c r="BS166" s="1">
        <v>43668</v>
      </c>
      <c r="BT166" s="2">
        <v>0.49305555555555558</v>
      </c>
      <c r="BU166" t="s">
        <v>467</v>
      </c>
      <c r="BV166" t="s">
        <v>86</v>
      </c>
      <c r="BY166">
        <v>8777.09</v>
      </c>
      <c r="BZ166" t="s">
        <v>23</v>
      </c>
      <c r="CC166" t="s">
        <v>445</v>
      </c>
      <c r="CD166">
        <v>8800</v>
      </c>
      <c r="CE166" t="s">
        <v>78</v>
      </c>
      <c r="CF166" s="1">
        <v>43672</v>
      </c>
      <c r="CI166">
        <v>3</v>
      </c>
      <c r="CJ166">
        <v>3</v>
      </c>
      <c r="CK166">
        <v>23</v>
      </c>
      <c r="CL166" t="s">
        <v>76</v>
      </c>
    </row>
    <row r="167" spans="1:90">
      <c r="A167" t="s">
        <v>62</v>
      </c>
      <c r="B167" t="s">
        <v>63</v>
      </c>
      <c r="C167" t="s">
        <v>64</v>
      </c>
      <c r="E167" t="str">
        <f>"009938769244"</f>
        <v>009938769244</v>
      </c>
      <c r="F167" s="1">
        <v>43663</v>
      </c>
      <c r="G167">
        <v>202001</v>
      </c>
      <c r="H167" t="s">
        <v>65</v>
      </c>
      <c r="I167" t="s">
        <v>66</v>
      </c>
      <c r="J167" t="s">
        <v>67</v>
      </c>
      <c r="K167" t="s">
        <v>68</v>
      </c>
      <c r="L167" t="s">
        <v>116</v>
      </c>
      <c r="M167" t="s">
        <v>117</v>
      </c>
      <c r="N167" t="s">
        <v>218</v>
      </c>
      <c r="O167" t="s">
        <v>120</v>
      </c>
      <c r="P167" t="str">
        <f>"NA                            "</f>
        <v xml:space="preserve">NA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8.2799999999999994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0.7</v>
      </c>
      <c r="BJ167">
        <v>2</v>
      </c>
      <c r="BK167">
        <v>2</v>
      </c>
      <c r="BL167" s="5">
        <v>47.78</v>
      </c>
      <c r="BM167" s="5">
        <v>7.17</v>
      </c>
      <c r="BN167" s="5">
        <v>54.95</v>
      </c>
      <c r="BO167" s="5">
        <v>54.95</v>
      </c>
      <c r="BQ167" t="s">
        <v>185</v>
      </c>
      <c r="BR167" t="s">
        <v>317</v>
      </c>
      <c r="BS167" s="1">
        <v>43664</v>
      </c>
      <c r="BT167" s="2">
        <v>0.36805555555555558</v>
      </c>
      <c r="BU167" t="s">
        <v>428</v>
      </c>
      <c r="BV167" t="s">
        <v>86</v>
      </c>
      <c r="BY167">
        <v>9818.7099999999991</v>
      </c>
      <c r="BZ167" t="s">
        <v>23</v>
      </c>
      <c r="CA167" t="s">
        <v>188</v>
      </c>
      <c r="CC167" t="s">
        <v>117</v>
      </c>
      <c r="CD167">
        <v>4091</v>
      </c>
      <c r="CE167" t="s">
        <v>78</v>
      </c>
      <c r="CF167" s="1">
        <v>43664</v>
      </c>
      <c r="CI167">
        <v>1</v>
      </c>
      <c r="CJ167">
        <v>1</v>
      </c>
      <c r="CK167">
        <v>21</v>
      </c>
      <c r="CL167" t="s">
        <v>76</v>
      </c>
    </row>
    <row r="168" spans="1:90">
      <c r="A168" t="s">
        <v>62</v>
      </c>
      <c r="B168" t="s">
        <v>63</v>
      </c>
      <c r="C168" t="s">
        <v>64</v>
      </c>
      <c r="E168" t="str">
        <f>"009938891118"</f>
        <v>009938891118</v>
      </c>
      <c r="F168" s="1">
        <v>43663</v>
      </c>
      <c r="G168">
        <v>202001</v>
      </c>
      <c r="H168" t="s">
        <v>65</v>
      </c>
      <c r="I168" t="s">
        <v>66</v>
      </c>
      <c r="J168" t="s">
        <v>67</v>
      </c>
      <c r="K168" t="s">
        <v>68</v>
      </c>
      <c r="L168" t="s">
        <v>189</v>
      </c>
      <c r="M168" t="s">
        <v>190</v>
      </c>
      <c r="N168" t="s">
        <v>218</v>
      </c>
      <c r="O168" t="s">
        <v>72</v>
      </c>
      <c r="P168" t="str">
        <f t="shared" ref="P168:P173" si="6"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63.04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51</v>
      </c>
      <c r="BJ168">
        <v>47.7</v>
      </c>
      <c r="BK168">
        <v>51</v>
      </c>
      <c r="BL168" s="5">
        <v>368.8</v>
      </c>
      <c r="BM168" s="5">
        <v>55.32</v>
      </c>
      <c r="BN168" s="5">
        <v>424.12</v>
      </c>
      <c r="BO168" s="5">
        <v>424.12</v>
      </c>
      <c r="BQ168" t="s">
        <v>399</v>
      </c>
      <c r="BR168" t="s">
        <v>317</v>
      </c>
      <c r="BS168" s="1">
        <v>43664</v>
      </c>
      <c r="BT168" s="2">
        <v>0.48749999999999999</v>
      </c>
      <c r="BU168" t="s">
        <v>468</v>
      </c>
      <c r="BV168" t="s">
        <v>86</v>
      </c>
      <c r="BY168">
        <v>238542</v>
      </c>
      <c r="CA168" t="s">
        <v>195</v>
      </c>
      <c r="CC168" t="s">
        <v>190</v>
      </c>
      <c r="CD168">
        <v>920</v>
      </c>
      <c r="CE168" t="s">
        <v>78</v>
      </c>
      <c r="CF168" s="1">
        <v>43668</v>
      </c>
      <c r="CI168">
        <v>1</v>
      </c>
      <c r="CJ168">
        <v>1</v>
      </c>
      <c r="CK168" t="s">
        <v>146</v>
      </c>
      <c r="CL168" t="s">
        <v>76</v>
      </c>
    </row>
    <row r="169" spans="1:90">
      <c r="A169" t="s">
        <v>62</v>
      </c>
      <c r="B169" t="s">
        <v>63</v>
      </c>
      <c r="C169" t="s">
        <v>64</v>
      </c>
      <c r="E169" t="str">
        <f>"009935998572"</f>
        <v>009935998572</v>
      </c>
      <c r="F169" s="1">
        <v>43663</v>
      </c>
      <c r="G169">
        <v>202001</v>
      </c>
      <c r="H169" t="s">
        <v>65</v>
      </c>
      <c r="I169" t="s">
        <v>66</v>
      </c>
      <c r="J169" t="s">
        <v>67</v>
      </c>
      <c r="K169" t="s">
        <v>68</v>
      </c>
      <c r="L169" t="s">
        <v>181</v>
      </c>
      <c r="M169" t="s">
        <v>182</v>
      </c>
      <c r="N169" t="s">
        <v>218</v>
      </c>
      <c r="O169" t="s">
        <v>72</v>
      </c>
      <c r="P169" t="str">
        <f t="shared" si="6"/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29.3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33</v>
      </c>
      <c r="BJ169">
        <v>50.9</v>
      </c>
      <c r="BK169">
        <v>51</v>
      </c>
      <c r="BL169" s="5">
        <v>174.09</v>
      </c>
      <c r="BM169" s="5">
        <v>26.11</v>
      </c>
      <c r="BN169" s="5">
        <v>200.2</v>
      </c>
      <c r="BO169" s="5">
        <v>200.2</v>
      </c>
      <c r="BQ169" t="s">
        <v>241</v>
      </c>
      <c r="BR169" t="s">
        <v>144</v>
      </c>
      <c r="BS169" s="1">
        <v>43664</v>
      </c>
      <c r="BT169" s="2">
        <v>0.51666666666666672</v>
      </c>
      <c r="BU169" t="s">
        <v>469</v>
      </c>
      <c r="BV169" t="s">
        <v>86</v>
      </c>
      <c r="BY169">
        <v>254306.62</v>
      </c>
      <c r="CC169" t="s">
        <v>182</v>
      </c>
      <c r="CD169">
        <v>9301</v>
      </c>
      <c r="CE169" t="s">
        <v>78</v>
      </c>
      <c r="CF169" s="1">
        <v>43664</v>
      </c>
      <c r="CI169">
        <v>1</v>
      </c>
      <c r="CJ169">
        <v>1</v>
      </c>
      <c r="CK169" t="s">
        <v>79</v>
      </c>
      <c r="CL169" t="s">
        <v>76</v>
      </c>
    </row>
    <row r="170" spans="1:90">
      <c r="A170" t="s">
        <v>62</v>
      </c>
      <c r="B170" t="s">
        <v>63</v>
      </c>
      <c r="C170" t="s">
        <v>64</v>
      </c>
      <c r="E170" t="str">
        <f>"009937287957"</f>
        <v>009937287957</v>
      </c>
      <c r="F170" s="1">
        <v>43663</v>
      </c>
      <c r="G170">
        <v>202001</v>
      </c>
      <c r="H170" t="s">
        <v>65</v>
      </c>
      <c r="I170" t="s">
        <v>66</v>
      </c>
      <c r="J170" t="s">
        <v>67</v>
      </c>
      <c r="K170" t="s">
        <v>68</v>
      </c>
      <c r="L170" t="s">
        <v>80</v>
      </c>
      <c r="M170" t="s">
        <v>81</v>
      </c>
      <c r="N170" t="s">
        <v>218</v>
      </c>
      <c r="O170" t="s">
        <v>72</v>
      </c>
      <c r="P170" t="str">
        <f t="shared" si="6"/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41.61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12.3</v>
      </c>
      <c r="BJ170">
        <v>32.1</v>
      </c>
      <c r="BK170">
        <v>33</v>
      </c>
      <c r="BL170" s="5">
        <v>245.13</v>
      </c>
      <c r="BM170" s="5">
        <v>36.770000000000003</v>
      </c>
      <c r="BN170" s="5">
        <v>281.89999999999998</v>
      </c>
      <c r="BO170" s="5">
        <v>281.89999999999998</v>
      </c>
      <c r="BQ170" t="s">
        <v>83</v>
      </c>
      <c r="BR170" t="s">
        <v>470</v>
      </c>
      <c r="BS170" s="1">
        <v>43664</v>
      </c>
      <c r="BT170" s="2">
        <v>0.47361111111111115</v>
      </c>
      <c r="BU170" t="s">
        <v>229</v>
      </c>
      <c r="BV170" t="s">
        <v>86</v>
      </c>
      <c r="BY170">
        <v>160550.25</v>
      </c>
      <c r="CA170" t="s">
        <v>87</v>
      </c>
      <c r="CC170" t="s">
        <v>81</v>
      </c>
      <c r="CD170">
        <v>8600</v>
      </c>
      <c r="CE170" t="s">
        <v>78</v>
      </c>
      <c r="CF170" s="1">
        <v>43668</v>
      </c>
      <c r="CI170">
        <v>1</v>
      </c>
      <c r="CJ170">
        <v>1</v>
      </c>
      <c r="CK170" t="s">
        <v>88</v>
      </c>
      <c r="CL170" t="s">
        <v>76</v>
      </c>
    </row>
    <row r="171" spans="1:90">
      <c r="A171" t="s">
        <v>62</v>
      </c>
      <c r="B171" t="s">
        <v>63</v>
      </c>
      <c r="C171" t="s">
        <v>64</v>
      </c>
      <c r="E171" t="str">
        <f>"009938681262"</f>
        <v>009938681262</v>
      </c>
      <c r="F171" s="1">
        <v>43663</v>
      </c>
      <c r="G171">
        <v>202001</v>
      </c>
      <c r="H171" t="s">
        <v>65</v>
      </c>
      <c r="I171" t="s">
        <v>66</v>
      </c>
      <c r="J171" t="s">
        <v>67</v>
      </c>
      <c r="K171" t="s">
        <v>68</v>
      </c>
      <c r="L171" t="s">
        <v>206</v>
      </c>
      <c r="M171" t="s">
        <v>207</v>
      </c>
      <c r="N171" t="s">
        <v>218</v>
      </c>
      <c r="O171" t="s">
        <v>72</v>
      </c>
      <c r="P171" t="str">
        <f t="shared" si="6"/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67.8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24</v>
      </c>
      <c r="BJ171">
        <v>54.8</v>
      </c>
      <c r="BK171">
        <v>55</v>
      </c>
      <c r="BL171" s="5">
        <v>396.28</v>
      </c>
      <c r="BM171" s="5">
        <v>59.44</v>
      </c>
      <c r="BN171" s="5">
        <v>455.72</v>
      </c>
      <c r="BO171" s="5">
        <v>455.72</v>
      </c>
      <c r="BQ171" t="s">
        <v>208</v>
      </c>
      <c r="BR171" t="s">
        <v>317</v>
      </c>
      <c r="BS171" s="1">
        <v>43664</v>
      </c>
      <c r="BT171" s="2">
        <v>0.37152777777777773</v>
      </c>
      <c r="BU171" t="s">
        <v>382</v>
      </c>
      <c r="BV171" t="s">
        <v>86</v>
      </c>
      <c r="BY171">
        <v>274209</v>
      </c>
      <c r="CA171" t="s">
        <v>221</v>
      </c>
      <c r="CC171" t="s">
        <v>207</v>
      </c>
      <c r="CD171">
        <v>450</v>
      </c>
      <c r="CE171" t="s">
        <v>78</v>
      </c>
      <c r="CF171" s="1">
        <v>43669</v>
      </c>
      <c r="CI171">
        <v>0</v>
      </c>
      <c r="CJ171">
        <v>0</v>
      </c>
      <c r="CK171" t="s">
        <v>88</v>
      </c>
      <c r="CL171" t="s">
        <v>76</v>
      </c>
    </row>
    <row r="172" spans="1:90">
      <c r="A172" t="s">
        <v>62</v>
      </c>
      <c r="B172" t="s">
        <v>63</v>
      </c>
      <c r="C172" t="s">
        <v>64</v>
      </c>
      <c r="E172" t="str">
        <f>"009939030215"</f>
        <v>009939030215</v>
      </c>
      <c r="F172" s="1">
        <v>43663</v>
      </c>
      <c r="G172">
        <v>202001</v>
      </c>
      <c r="H172" t="s">
        <v>65</v>
      </c>
      <c r="I172" t="s">
        <v>66</v>
      </c>
      <c r="J172" t="s">
        <v>67</v>
      </c>
      <c r="K172" t="s">
        <v>68</v>
      </c>
      <c r="L172" t="s">
        <v>101</v>
      </c>
      <c r="M172" t="s">
        <v>102</v>
      </c>
      <c r="N172" t="s">
        <v>218</v>
      </c>
      <c r="O172" t="s">
        <v>72</v>
      </c>
      <c r="P172" t="str">
        <f t="shared" si="6"/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27.58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25</v>
      </c>
      <c r="BJ172">
        <v>31</v>
      </c>
      <c r="BK172">
        <v>31</v>
      </c>
      <c r="BL172" s="5">
        <v>164.17</v>
      </c>
      <c r="BM172" s="5">
        <v>24.63</v>
      </c>
      <c r="BN172" s="5">
        <v>188.8</v>
      </c>
      <c r="BO172" s="5">
        <v>188.8</v>
      </c>
      <c r="BQ172" t="s">
        <v>356</v>
      </c>
      <c r="BR172" t="s">
        <v>74</v>
      </c>
      <c r="BS172" s="1">
        <v>43664</v>
      </c>
      <c r="BT172" s="2">
        <v>0.41805555555555557</v>
      </c>
      <c r="BU172" t="s">
        <v>471</v>
      </c>
      <c r="BV172" t="s">
        <v>86</v>
      </c>
      <c r="BY172">
        <v>155232</v>
      </c>
      <c r="CA172" t="s">
        <v>464</v>
      </c>
      <c r="CC172" t="s">
        <v>102</v>
      </c>
      <c r="CD172">
        <v>9459</v>
      </c>
      <c r="CE172" t="s">
        <v>78</v>
      </c>
      <c r="CF172" s="1">
        <v>43664</v>
      </c>
      <c r="CI172">
        <v>1</v>
      </c>
      <c r="CJ172">
        <v>1</v>
      </c>
      <c r="CK172" t="s">
        <v>262</v>
      </c>
      <c r="CL172" t="s">
        <v>76</v>
      </c>
    </row>
    <row r="173" spans="1:90">
      <c r="A173" t="s">
        <v>62</v>
      </c>
      <c r="B173" t="s">
        <v>63</v>
      </c>
      <c r="C173" t="s">
        <v>64</v>
      </c>
      <c r="E173" t="str">
        <f>"009935895309"</f>
        <v>009935895309</v>
      </c>
      <c r="F173" s="1">
        <v>43663</v>
      </c>
      <c r="G173">
        <v>202001</v>
      </c>
      <c r="H173" t="s">
        <v>65</v>
      </c>
      <c r="I173" t="s">
        <v>66</v>
      </c>
      <c r="J173" t="s">
        <v>67</v>
      </c>
      <c r="K173" t="s">
        <v>68</v>
      </c>
      <c r="L173" t="s">
        <v>216</v>
      </c>
      <c r="M173" t="s">
        <v>217</v>
      </c>
      <c r="N173" t="s">
        <v>218</v>
      </c>
      <c r="O173" t="s">
        <v>72</v>
      </c>
      <c r="P173" t="str">
        <f t="shared" si="6"/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56.42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73.7</v>
      </c>
      <c r="BJ173">
        <v>86.3</v>
      </c>
      <c r="BK173">
        <v>87</v>
      </c>
      <c r="BL173" s="5">
        <v>330.6</v>
      </c>
      <c r="BM173" s="5">
        <v>49.59</v>
      </c>
      <c r="BN173" s="5">
        <v>380.19</v>
      </c>
      <c r="BO173" s="5">
        <v>380.19</v>
      </c>
      <c r="BQ173" t="s">
        <v>219</v>
      </c>
      <c r="BR173" t="s">
        <v>144</v>
      </c>
      <c r="BS173" s="1">
        <v>43664</v>
      </c>
      <c r="BT173" s="2">
        <v>0.3430555555555555</v>
      </c>
      <c r="BU173" t="s">
        <v>367</v>
      </c>
      <c r="BV173" t="s">
        <v>86</v>
      </c>
      <c r="BY173">
        <v>431361.96</v>
      </c>
      <c r="CA173" t="s">
        <v>221</v>
      </c>
      <c r="CC173" t="s">
        <v>217</v>
      </c>
      <c r="CD173">
        <v>1034</v>
      </c>
      <c r="CE173" t="s">
        <v>78</v>
      </c>
      <c r="CF173" s="1">
        <v>43664</v>
      </c>
      <c r="CI173">
        <v>1</v>
      </c>
      <c r="CJ173">
        <v>1</v>
      </c>
      <c r="CK173" t="s">
        <v>95</v>
      </c>
      <c r="CL173" t="s">
        <v>76</v>
      </c>
    </row>
    <row r="174" spans="1:90">
      <c r="A174" t="s">
        <v>62</v>
      </c>
      <c r="B174" t="s">
        <v>63</v>
      </c>
      <c r="C174" t="s">
        <v>64</v>
      </c>
      <c r="E174" t="str">
        <f>"009938675133"</f>
        <v>009938675133</v>
      </c>
      <c r="F174" s="1">
        <v>43663</v>
      </c>
      <c r="G174">
        <v>202001</v>
      </c>
      <c r="H174" t="s">
        <v>122</v>
      </c>
      <c r="I174" t="s">
        <v>123</v>
      </c>
      <c r="J174" t="s">
        <v>472</v>
      </c>
      <c r="K174" t="s">
        <v>68</v>
      </c>
      <c r="L174" t="s">
        <v>65</v>
      </c>
      <c r="M174" t="s">
        <v>66</v>
      </c>
      <c r="N174" t="s">
        <v>82</v>
      </c>
      <c r="O174" t="s">
        <v>72</v>
      </c>
      <c r="P174" t="str">
        <f>"PARTS                         "</f>
        <v xml:space="preserve">PARTS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30.08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35</v>
      </c>
      <c r="BJ174">
        <v>50.9</v>
      </c>
      <c r="BK174">
        <v>51</v>
      </c>
      <c r="BL174" s="5">
        <v>178.57</v>
      </c>
      <c r="BM174" s="5">
        <v>26.79</v>
      </c>
      <c r="BN174" s="5">
        <v>205.36</v>
      </c>
      <c r="BO174" s="5">
        <v>205.36</v>
      </c>
      <c r="BQ174" t="s">
        <v>173</v>
      </c>
      <c r="BR174" t="s">
        <v>174</v>
      </c>
      <c r="BS174" s="1">
        <v>43664</v>
      </c>
      <c r="BT174" s="2">
        <v>0.43611111111111112</v>
      </c>
      <c r="BU174" t="s">
        <v>100</v>
      </c>
      <c r="BV174" t="s">
        <v>86</v>
      </c>
      <c r="BY174">
        <v>254560</v>
      </c>
      <c r="CC174" t="s">
        <v>66</v>
      </c>
      <c r="CD174">
        <v>2146</v>
      </c>
      <c r="CE174" t="s">
        <v>78</v>
      </c>
      <c r="CF174" s="1">
        <v>43665</v>
      </c>
      <c r="CI174">
        <v>1</v>
      </c>
      <c r="CJ174">
        <v>1</v>
      </c>
      <c r="CK174" t="s">
        <v>177</v>
      </c>
      <c r="CL174" t="s">
        <v>76</v>
      </c>
    </row>
    <row r="175" spans="1:90">
      <c r="A175" t="s">
        <v>180</v>
      </c>
      <c r="B175" t="s">
        <v>63</v>
      </c>
      <c r="C175" t="s">
        <v>64</v>
      </c>
      <c r="E175" t="str">
        <f>"089901559883"</f>
        <v>089901559883</v>
      </c>
      <c r="F175" s="1">
        <v>43663</v>
      </c>
      <c r="G175">
        <v>202001</v>
      </c>
      <c r="H175" t="s">
        <v>181</v>
      </c>
      <c r="I175" t="s">
        <v>182</v>
      </c>
      <c r="J175" t="s">
        <v>67</v>
      </c>
      <c r="K175" t="s">
        <v>68</v>
      </c>
      <c r="L175" t="s">
        <v>103</v>
      </c>
      <c r="M175" t="s">
        <v>104</v>
      </c>
      <c r="N175" t="s">
        <v>67</v>
      </c>
      <c r="O175" t="s">
        <v>72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81.98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3</v>
      </c>
      <c r="BI175">
        <v>73.2</v>
      </c>
      <c r="BJ175">
        <v>131.6</v>
      </c>
      <c r="BK175">
        <v>132</v>
      </c>
      <c r="BL175" s="5">
        <v>478.11</v>
      </c>
      <c r="BM175" s="5">
        <v>71.72</v>
      </c>
      <c r="BN175" s="5">
        <v>549.83000000000004</v>
      </c>
      <c r="BO175" s="5">
        <v>549.83000000000004</v>
      </c>
      <c r="BQ175" t="s">
        <v>144</v>
      </c>
      <c r="BR175" t="s">
        <v>361</v>
      </c>
      <c r="BS175" s="1">
        <v>43664</v>
      </c>
      <c r="BT175" s="2">
        <v>0.43611111111111112</v>
      </c>
      <c r="BU175" t="s">
        <v>175</v>
      </c>
      <c r="BV175" t="s">
        <v>86</v>
      </c>
      <c r="BY175">
        <v>677273.15</v>
      </c>
      <c r="CC175" t="s">
        <v>104</v>
      </c>
      <c r="CD175">
        <v>2000</v>
      </c>
      <c r="CE175" t="s">
        <v>78</v>
      </c>
      <c r="CF175" s="1">
        <v>43665</v>
      </c>
      <c r="CI175">
        <v>1</v>
      </c>
      <c r="CJ175">
        <v>1</v>
      </c>
      <c r="CK175" t="s">
        <v>95</v>
      </c>
      <c r="CL175" t="s">
        <v>76</v>
      </c>
    </row>
    <row r="176" spans="1:90">
      <c r="A176" t="s">
        <v>62</v>
      </c>
      <c r="B176" t="s">
        <v>63</v>
      </c>
      <c r="C176" t="s">
        <v>64</v>
      </c>
      <c r="E176" t="str">
        <f>"029908430994"</f>
        <v>029908430994</v>
      </c>
      <c r="F176" s="1">
        <v>43663</v>
      </c>
      <c r="G176">
        <v>202001</v>
      </c>
      <c r="H176" t="s">
        <v>116</v>
      </c>
      <c r="I176" t="s">
        <v>117</v>
      </c>
      <c r="J176" t="s">
        <v>118</v>
      </c>
      <c r="K176" t="s">
        <v>68</v>
      </c>
      <c r="L176" t="s">
        <v>103</v>
      </c>
      <c r="M176" t="s">
        <v>104</v>
      </c>
      <c r="N176" t="s">
        <v>82</v>
      </c>
      <c r="O176" t="s">
        <v>72</v>
      </c>
      <c r="P176" t="str">
        <f>"190 717 0062                  "</f>
        <v xml:space="preserve">190 717 0062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15.52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 s="5">
        <v>94.58</v>
      </c>
      <c r="BM176" s="5">
        <v>14.19</v>
      </c>
      <c r="BN176" s="5">
        <v>108.77</v>
      </c>
      <c r="BO176" s="5">
        <v>108.77</v>
      </c>
      <c r="BQ176" t="s">
        <v>193</v>
      </c>
      <c r="BR176" t="s">
        <v>235</v>
      </c>
      <c r="BS176" s="1">
        <v>43664</v>
      </c>
      <c r="BT176" s="2">
        <v>0.39444444444444443</v>
      </c>
      <c r="BU176" t="s">
        <v>99</v>
      </c>
      <c r="BV176" t="s">
        <v>86</v>
      </c>
      <c r="BY176">
        <v>1200</v>
      </c>
      <c r="CC176" t="s">
        <v>104</v>
      </c>
      <c r="CD176">
        <v>2000</v>
      </c>
      <c r="CE176" t="s">
        <v>78</v>
      </c>
      <c r="CF176" s="1">
        <v>43665</v>
      </c>
      <c r="CI176">
        <v>1</v>
      </c>
      <c r="CJ176">
        <v>1</v>
      </c>
      <c r="CK176" t="s">
        <v>338</v>
      </c>
      <c r="CL176" t="s">
        <v>76</v>
      </c>
    </row>
    <row r="177" spans="1:90">
      <c r="A177" t="s">
        <v>62</v>
      </c>
      <c r="B177" t="s">
        <v>63</v>
      </c>
      <c r="C177" t="s">
        <v>64</v>
      </c>
      <c r="E177" t="str">
        <f>"009938614204"</f>
        <v>009938614204</v>
      </c>
      <c r="F177" s="1">
        <v>43663</v>
      </c>
      <c r="G177">
        <v>202001</v>
      </c>
      <c r="H177" t="s">
        <v>389</v>
      </c>
      <c r="I177" t="s">
        <v>390</v>
      </c>
      <c r="J177" t="s">
        <v>218</v>
      </c>
      <c r="K177" t="s">
        <v>68</v>
      </c>
      <c r="L177" t="s">
        <v>116</v>
      </c>
      <c r="M177" t="s">
        <v>117</v>
      </c>
      <c r="N177" t="s">
        <v>218</v>
      </c>
      <c r="O177" t="s">
        <v>72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14.23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15</v>
      </c>
      <c r="BJ177">
        <v>4.8</v>
      </c>
      <c r="BK177">
        <v>15</v>
      </c>
      <c r="BL177" s="5">
        <v>87.12</v>
      </c>
      <c r="BM177" s="5">
        <v>13.07</v>
      </c>
      <c r="BN177" s="5">
        <v>100.19</v>
      </c>
      <c r="BO177" s="5">
        <v>100.19</v>
      </c>
      <c r="BS177" s="1">
        <v>43664</v>
      </c>
      <c r="BT177" s="2">
        <v>0.36805555555555558</v>
      </c>
      <c r="BU177" t="s">
        <v>428</v>
      </c>
      <c r="BV177" t="s">
        <v>86</v>
      </c>
      <c r="BY177">
        <v>24000</v>
      </c>
      <c r="CA177" t="s">
        <v>188</v>
      </c>
      <c r="CC177" t="s">
        <v>117</v>
      </c>
      <c r="CD177">
        <v>4000</v>
      </c>
      <c r="CE177" t="s">
        <v>347</v>
      </c>
      <c r="CF177" s="1">
        <v>43664</v>
      </c>
      <c r="CI177">
        <v>1</v>
      </c>
      <c r="CJ177">
        <v>1</v>
      </c>
      <c r="CK177" t="s">
        <v>177</v>
      </c>
      <c r="CL177" t="s">
        <v>76</v>
      </c>
    </row>
    <row r="178" spans="1:90">
      <c r="A178" t="s">
        <v>180</v>
      </c>
      <c r="B178" t="s">
        <v>63</v>
      </c>
      <c r="C178" t="s">
        <v>64</v>
      </c>
      <c r="E178" t="str">
        <f>"009938042430"</f>
        <v>009938042430</v>
      </c>
      <c r="F178" s="1">
        <v>43664</v>
      </c>
      <c r="G178">
        <v>202001</v>
      </c>
      <c r="H178" t="s">
        <v>189</v>
      </c>
      <c r="I178" t="s">
        <v>190</v>
      </c>
      <c r="J178" t="s">
        <v>67</v>
      </c>
      <c r="K178" t="s">
        <v>68</v>
      </c>
      <c r="L178" t="s">
        <v>103</v>
      </c>
      <c r="M178" t="s">
        <v>104</v>
      </c>
      <c r="N178" t="s">
        <v>296</v>
      </c>
      <c r="O178" t="s">
        <v>72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20.18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2</v>
      </c>
      <c r="BJ178">
        <v>0.5</v>
      </c>
      <c r="BK178">
        <v>2</v>
      </c>
      <c r="BL178" s="5">
        <v>121.46</v>
      </c>
      <c r="BM178" s="5">
        <v>18.22</v>
      </c>
      <c r="BN178" s="5">
        <v>139.68</v>
      </c>
      <c r="BO178" s="5">
        <v>139.68</v>
      </c>
      <c r="BQ178" t="s">
        <v>398</v>
      </c>
      <c r="BR178" t="s">
        <v>399</v>
      </c>
      <c r="BS178" s="1">
        <v>43665</v>
      </c>
      <c r="BT178" s="2">
        <v>0.5</v>
      </c>
      <c r="BU178" t="s">
        <v>100</v>
      </c>
      <c r="BV178" t="s">
        <v>86</v>
      </c>
      <c r="BY178">
        <v>1200</v>
      </c>
      <c r="CC178" t="s">
        <v>104</v>
      </c>
      <c r="CD178">
        <v>2000</v>
      </c>
      <c r="CE178">
        <v>1</v>
      </c>
      <c r="CF178" s="1">
        <v>43669</v>
      </c>
      <c r="CI178">
        <v>1</v>
      </c>
      <c r="CJ178">
        <v>1</v>
      </c>
      <c r="CK178" t="s">
        <v>146</v>
      </c>
      <c r="CL178" t="s">
        <v>76</v>
      </c>
    </row>
    <row r="179" spans="1:90">
      <c r="A179" t="s">
        <v>62</v>
      </c>
      <c r="B179" t="s">
        <v>63</v>
      </c>
      <c r="C179" t="s">
        <v>64</v>
      </c>
      <c r="E179" t="str">
        <f>"019911537065"</f>
        <v>019911537065</v>
      </c>
      <c r="F179" s="1">
        <v>43663</v>
      </c>
      <c r="G179">
        <v>202001</v>
      </c>
      <c r="H179" t="s">
        <v>350</v>
      </c>
      <c r="I179" t="s">
        <v>351</v>
      </c>
      <c r="J179" t="s">
        <v>67</v>
      </c>
      <c r="K179" t="s">
        <v>68</v>
      </c>
      <c r="L179" t="s">
        <v>103</v>
      </c>
      <c r="M179" t="s">
        <v>104</v>
      </c>
      <c r="N179" t="s">
        <v>67</v>
      </c>
      <c r="O179" t="s">
        <v>72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81.41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120</v>
      </c>
      <c r="BJ179">
        <v>130.30000000000001</v>
      </c>
      <c r="BK179">
        <v>131</v>
      </c>
      <c r="BL179" s="5">
        <v>474.83</v>
      </c>
      <c r="BM179" s="5">
        <v>71.22</v>
      </c>
      <c r="BN179" s="5">
        <v>546.04999999999995</v>
      </c>
      <c r="BO179" s="5">
        <v>546.04999999999995</v>
      </c>
      <c r="BQ179" t="s">
        <v>352</v>
      </c>
      <c r="BR179" t="s">
        <v>473</v>
      </c>
      <c r="BS179" s="1">
        <v>43664</v>
      </c>
      <c r="BT179" s="2">
        <v>0.36388888888888887</v>
      </c>
      <c r="BU179" t="s">
        <v>100</v>
      </c>
      <c r="BV179" t="s">
        <v>86</v>
      </c>
      <c r="BY179">
        <v>651600</v>
      </c>
      <c r="CC179" t="s">
        <v>104</v>
      </c>
      <c r="CD179">
        <v>2196</v>
      </c>
      <c r="CE179" t="s">
        <v>78</v>
      </c>
      <c r="CF179" s="1">
        <v>43665</v>
      </c>
      <c r="CI179">
        <v>1</v>
      </c>
      <c r="CJ179">
        <v>1</v>
      </c>
      <c r="CK179" t="s">
        <v>95</v>
      </c>
      <c r="CL179" t="s">
        <v>76</v>
      </c>
    </row>
    <row r="180" spans="1:90">
      <c r="A180" t="s">
        <v>180</v>
      </c>
      <c r="B180" t="s">
        <v>63</v>
      </c>
      <c r="C180" t="s">
        <v>64</v>
      </c>
      <c r="E180" t="str">
        <f>"009938614220"</f>
        <v>009938614220</v>
      </c>
      <c r="F180" s="1">
        <v>43664</v>
      </c>
      <c r="G180">
        <v>202001</v>
      </c>
      <c r="H180" t="s">
        <v>389</v>
      </c>
      <c r="I180" t="s">
        <v>390</v>
      </c>
      <c r="J180" t="s">
        <v>474</v>
      </c>
      <c r="K180" t="s">
        <v>68</v>
      </c>
      <c r="L180" t="s">
        <v>65</v>
      </c>
      <c r="M180" t="s">
        <v>66</v>
      </c>
      <c r="N180" t="s">
        <v>345</v>
      </c>
      <c r="O180" t="s">
        <v>72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30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2</v>
      </c>
      <c r="BI180">
        <v>30.4</v>
      </c>
      <c r="BJ180">
        <v>32.299999999999997</v>
      </c>
      <c r="BK180">
        <v>33</v>
      </c>
      <c r="BL180" s="5">
        <v>178.14</v>
      </c>
      <c r="BM180" s="5">
        <v>26.72</v>
      </c>
      <c r="BN180" s="5">
        <v>204.86</v>
      </c>
      <c r="BO180" s="5">
        <v>204.86</v>
      </c>
      <c r="BS180" s="1">
        <v>43665</v>
      </c>
      <c r="BT180" s="2">
        <v>0.5</v>
      </c>
      <c r="BU180" t="s">
        <v>100</v>
      </c>
      <c r="BV180" t="s">
        <v>86</v>
      </c>
      <c r="BY180">
        <v>167369.07999999999</v>
      </c>
      <c r="CC180" t="s">
        <v>66</v>
      </c>
      <c r="CD180">
        <v>2146</v>
      </c>
      <c r="CE180" t="s">
        <v>347</v>
      </c>
      <c r="CF180" s="1">
        <v>43669</v>
      </c>
      <c r="CI180">
        <v>2</v>
      </c>
      <c r="CJ180">
        <v>1</v>
      </c>
      <c r="CK180" t="s">
        <v>393</v>
      </c>
      <c r="CL180" t="s">
        <v>76</v>
      </c>
    </row>
    <row r="181" spans="1:90">
      <c r="A181" t="s">
        <v>62</v>
      </c>
      <c r="B181" t="s">
        <v>63</v>
      </c>
      <c r="C181" t="s">
        <v>64</v>
      </c>
      <c r="E181" t="str">
        <f>"039902814822"</f>
        <v>039902814822</v>
      </c>
      <c r="F181" s="1">
        <v>43664</v>
      </c>
      <c r="G181">
        <v>202001</v>
      </c>
      <c r="H181" t="s">
        <v>108</v>
      </c>
      <c r="I181" t="s">
        <v>109</v>
      </c>
      <c r="J181" t="s">
        <v>110</v>
      </c>
      <c r="K181" t="s">
        <v>68</v>
      </c>
      <c r="L181" t="s">
        <v>103</v>
      </c>
      <c r="M181" t="s">
        <v>104</v>
      </c>
      <c r="N181" t="s">
        <v>111</v>
      </c>
      <c r="O181" t="s">
        <v>72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17.670000000000002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13.8</v>
      </c>
      <c r="BJ181">
        <v>15.2</v>
      </c>
      <c r="BK181">
        <v>16</v>
      </c>
      <c r="BL181" s="5">
        <v>106.99</v>
      </c>
      <c r="BM181" s="5">
        <v>16.05</v>
      </c>
      <c r="BN181" s="5">
        <v>123.04</v>
      </c>
      <c r="BO181" s="5">
        <v>123.04</v>
      </c>
      <c r="BQ181" t="s">
        <v>112</v>
      </c>
      <c r="BR181" t="s">
        <v>113</v>
      </c>
      <c r="BS181" s="1">
        <v>43668</v>
      </c>
      <c r="BT181" s="2">
        <v>0.59375</v>
      </c>
      <c r="BU181" t="s">
        <v>343</v>
      </c>
      <c r="BV181" t="s">
        <v>86</v>
      </c>
      <c r="BY181">
        <v>71509.72</v>
      </c>
      <c r="CC181" t="s">
        <v>104</v>
      </c>
      <c r="CD181">
        <v>2090</v>
      </c>
      <c r="CE181" t="s">
        <v>318</v>
      </c>
      <c r="CF181" s="1">
        <v>43669</v>
      </c>
      <c r="CI181">
        <v>2</v>
      </c>
      <c r="CJ181">
        <v>2</v>
      </c>
      <c r="CK181" t="s">
        <v>115</v>
      </c>
      <c r="CL181" t="s">
        <v>76</v>
      </c>
    </row>
    <row r="182" spans="1:90">
      <c r="A182" t="s">
        <v>62</v>
      </c>
      <c r="B182" t="s">
        <v>63</v>
      </c>
      <c r="C182" t="s">
        <v>64</v>
      </c>
      <c r="E182" t="str">
        <f>"009938391982"</f>
        <v>009938391982</v>
      </c>
      <c r="F182" s="1">
        <v>43664</v>
      </c>
      <c r="G182">
        <v>202001</v>
      </c>
      <c r="H182" t="s">
        <v>65</v>
      </c>
      <c r="I182" t="s">
        <v>66</v>
      </c>
      <c r="J182" t="s">
        <v>67</v>
      </c>
      <c r="K182" t="s">
        <v>68</v>
      </c>
      <c r="L182" t="s">
        <v>141</v>
      </c>
      <c r="M182" t="s">
        <v>99</v>
      </c>
      <c r="N182" t="s">
        <v>218</v>
      </c>
      <c r="O182" t="s">
        <v>120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10.35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2.4</v>
      </c>
      <c r="BK182">
        <v>2.5</v>
      </c>
      <c r="BL182" s="5">
        <v>59.72</v>
      </c>
      <c r="BM182" s="5">
        <v>8.9600000000000009</v>
      </c>
      <c r="BN182" s="5">
        <v>68.680000000000007</v>
      </c>
      <c r="BO182" s="5">
        <v>68.680000000000007</v>
      </c>
      <c r="BQ182" t="s">
        <v>414</v>
      </c>
      <c r="BR182" t="s">
        <v>317</v>
      </c>
      <c r="BS182" s="1">
        <v>43665</v>
      </c>
      <c r="BT182" s="2">
        <v>0.36805555555555558</v>
      </c>
      <c r="BU182" t="s">
        <v>179</v>
      </c>
      <c r="BV182" t="s">
        <v>86</v>
      </c>
      <c r="BY182">
        <v>11907</v>
      </c>
      <c r="BZ182" t="s">
        <v>23</v>
      </c>
      <c r="CC182" t="s">
        <v>99</v>
      </c>
      <c r="CD182">
        <v>6529</v>
      </c>
      <c r="CE182" t="s">
        <v>78</v>
      </c>
      <c r="CF182" s="1">
        <v>43668</v>
      </c>
      <c r="CI182">
        <v>1</v>
      </c>
      <c r="CJ182">
        <v>1</v>
      </c>
      <c r="CK182">
        <v>21</v>
      </c>
      <c r="CL182" t="s">
        <v>76</v>
      </c>
    </row>
    <row r="183" spans="1:90">
      <c r="A183" t="s">
        <v>62</v>
      </c>
      <c r="B183" t="s">
        <v>63</v>
      </c>
      <c r="C183" t="s">
        <v>64</v>
      </c>
      <c r="E183" t="str">
        <f>"009938926131"</f>
        <v>009938926131</v>
      </c>
      <c r="F183" s="1">
        <v>43664</v>
      </c>
      <c r="G183">
        <v>202001</v>
      </c>
      <c r="H183" t="s">
        <v>277</v>
      </c>
      <c r="I183" t="s">
        <v>278</v>
      </c>
      <c r="J183" t="s">
        <v>67</v>
      </c>
      <c r="K183" t="s">
        <v>68</v>
      </c>
      <c r="L183" t="s">
        <v>65</v>
      </c>
      <c r="M183" t="s">
        <v>66</v>
      </c>
      <c r="N183" t="s">
        <v>67</v>
      </c>
      <c r="O183" t="s">
        <v>72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15.52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1.1000000000000001</v>
      </c>
      <c r="BK183">
        <v>2</v>
      </c>
      <c r="BL183" s="5">
        <v>94.58</v>
      </c>
      <c r="BM183" s="5">
        <v>14.19</v>
      </c>
      <c r="BN183" s="5">
        <v>108.77</v>
      </c>
      <c r="BO183" s="5">
        <v>108.77</v>
      </c>
      <c r="BQ183" t="s">
        <v>475</v>
      </c>
      <c r="BR183" t="s">
        <v>281</v>
      </c>
      <c r="BS183" s="1">
        <v>43665</v>
      </c>
      <c r="BT183" s="2">
        <v>0.3888888888888889</v>
      </c>
      <c r="BU183" t="s">
        <v>100</v>
      </c>
      <c r="BV183" t="s">
        <v>86</v>
      </c>
      <c r="BY183">
        <v>5510.04</v>
      </c>
      <c r="CC183" t="s">
        <v>66</v>
      </c>
      <c r="CD183">
        <v>2146</v>
      </c>
      <c r="CE183" t="s">
        <v>476</v>
      </c>
      <c r="CF183" s="1">
        <v>43669</v>
      </c>
      <c r="CI183">
        <v>1</v>
      </c>
      <c r="CJ183">
        <v>1</v>
      </c>
      <c r="CK183" t="s">
        <v>95</v>
      </c>
      <c r="CL183" t="s">
        <v>76</v>
      </c>
    </row>
    <row r="184" spans="1:90">
      <c r="A184" t="s">
        <v>62</v>
      </c>
      <c r="B184" t="s">
        <v>63</v>
      </c>
      <c r="C184" t="s">
        <v>64</v>
      </c>
      <c r="E184" t="str">
        <f>"009938926130"</f>
        <v>009938926130</v>
      </c>
      <c r="F184" s="1">
        <v>43664</v>
      </c>
      <c r="G184">
        <v>202001</v>
      </c>
      <c r="H184" t="s">
        <v>277</v>
      </c>
      <c r="I184" t="s">
        <v>278</v>
      </c>
      <c r="J184" t="s">
        <v>67</v>
      </c>
      <c r="K184" t="s">
        <v>68</v>
      </c>
      <c r="L184" t="s">
        <v>181</v>
      </c>
      <c r="M184" t="s">
        <v>182</v>
      </c>
      <c r="N184" t="s">
        <v>67</v>
      </c>
      <c r="O184" t="s">
        <v>72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14.23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 s="5">
        <v>87.12</v>
      </c>
      <c r="BM184" s="5">
        <v>13.07</v>
      </c>
      <c r="BN184" s="5">
        <v>100.19</v>
      </c>
      <c r="BO184" s="5">
        <v>100.19</v>
      </c>
      <c r="BQ184" t="s">
        <v>361</v>
      </c>
      <c r="BR184" t="s">
        <v>246</v>
      </c>
      <c r="BS184" s="1">
        <v>43665</v>
      </c>
      <c r="BT184" s="2">
        <v>0.3979166666666667</v>
      </c>
      <c r="BU184" t="s">
        <v>477</v>
      </c>
      <c r="BV184" t="s">
        <v>86</v>
      </c>
      <c r="BY184">
        <v>1200</v>
      </c>
      <c r="CA184" t="s">
        <v>478</v>
      </c>
      <c r="CC184" t="s">
        <v>182</v>
      </c>
      <c r="CD184">
        <v>9300</v>
      </c>
      <c r="CE184" t="s">
        <v>366</v>
      </c>
      <c r="CF184" s="1">
        <v>43668</v>
      </c>
      <c r="CI184">
        <v>1</v>
      </c>
      <c r="CJ184">
        <v>1</v>
      </c>
      <c r="CK184" t="s">
        <v>177</v>
      </c>
      <c r="CL184" t="s">
        <v>76</v>
      </c>
    </row>
    <row r="185" spans="1:90">
      <c r="A185" t="s">
        <v>62</v>
      </c>
      <c r="B185" t="s">
        <v>63</v>
      </c>
      <c r="C185" t="s">
        <v>64</v>
      </c>
      <c r="E185" t="str">
        <f>"009938735116"</f>
        <v>009938735116</v>
      </c>
      <c r="F185" s="1">
        <v>43664</v>
      </c>
      <c r="G185">
        <v>202001</v>
      </c>
      <c r="H185" t="s">
        <v>80</v>
      </c>
      <c r="I185" t="s">
        <v>81</v>
      </c>
      <c r="J185" t="s">
        <v>82</v>
      </c>
      <c r="K185" t="s">
        <v>68</v>
      </c>
      <c r="L185" t="s">
        <v>65</v>
      </c>
      <c r="M185" t="s">
        <v>66</v>
      </c>
      <c r="N185" t="s">
        <v>82</v>
      </c>
      <c r="O185" t="s">
        <v>72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34.979999999999997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20</v>
      </c>
      <c r="BJ185">
        <v>41.2</v>
      </c>
      <c r="BK185">
        <v>42</v>
      </c>
      <c r="BL185" s="5">
        <v>206.88</v>
      </c>
      <c r="BM185" s="5">
        <v>31.03</v>
      </c>
      <c r="BN185" s="5">
        <v>237.91</v>
      </c>
      <c r="BO185" s="5">
        <v>237.91</v>
      </c>
      <c r="BQ185" t="s">
        <v>479</v>
      </c>
      <c r="BR185" t="s">
        <v>83</v>
      </c>
      <c r="BS185" s="1">
        <v>43665</v>
      </c>
      <c r="BT185" s="2">
        <v>0.5</v>
      </c>
      <c r="BU185" t="s">
        <v>100</v>
      </c>
      <c r="BV185" t="s">
        <v>86</v>
      </c>
      <c r="BY185">
        <v>205920</v>
      </c>
      <c r="CC185" t="s">
        <v>66</v>
      </c>
      <c r="CD185">
        <v>2146</v>
      </c>
      <c r="CE185" t="s">
        <v>480</v>
      </c>
      <c r="CF185" s="1">
        <v>43669</v>
      </c>
      <c r="CI185">
        <v>1</v>
      </c>
      <c r="CJ185">
        <v>1</v>
      </c>
      <c r="CK185" t="s">
        <v>262</v>
      </c>
      <c r="CL185" t="s">
        <v>76</v>
      </c>
    </row>
    <row r="186" spans="1:90">
      <c r="A186" t="s">
        <v>62</v>
      </c>
      <c r="B186" t="s">
        <v>63</v>
      </c>
      <c r="C186" t="s">
        <v>64</v>
      </c>
      <c r="E186" t="str">
        <f>"009937287958"</f>
        <v>009937287958</v>
      </c>
      <c r="F186" s="1">
        <v>43664</v>
      </c>
      <c r="G186">
        <v>202001</v>
      </c>
      <c r="H186" t="s">
        <v>65</v>
      </c>
      <c r="I186" t="s">
        <v>66</v>
      </c>
      <c r="J186" t="s">
        <v>67</v>
      </c>
      <c r="K186" t="s">
        <v>68</v>
      </c>
      <c r="L186" t="s">
        <v>80</v>
      </c>
      <c r="M186" t="s">
        <v>81</v>
      </c>
      <c r="N186" t="s">
        <v>218</v>
      </c>
      <c r="O186" t="s">
        <v>72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53.52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13</v>
      </c>
      <c r="BJ186">
        <v>42.2</v>
      </c>
      <c r="BK186">
        <v>43</v>
      </c>
      <c r="BL186" s="5">
        <v>313.83999999999997</v>
      </c>
      <c r="BM186" s="5">
        <v>47.08</v>
      </c>
      <c r="BN186" s="5">
        <v>360.92</v>
      </c>
      <c r="BO186" s="5">
        <v>360.92</v>
      </c>
      <c r="BQ186" t="s">
        <v>83</v>
      </c>
      <c r="BR186" t="s">
        <v>317</v>
      </c>
      <c r="BS186" s="1">
        <v>43665</v>
      </c>
      <c r="BT186" s="2">
        <v>0.47361111111111115</v>
      </c>
      <c r="BU186" t="s">
        <v>229</v>
      </c>
      <c r="BV186" t="s">
        <v>86</v>
      </c>
      <c r="BY186">
        <v>211200</v>
      </c>
      <c r="CA186" t="s">
        <v>87</v>
      </c>
      <c r="CC186" t="s">
        <v>81</v>
      </c>
      <c r="CD186">
        <v>8600</v>
      </c>
      <c r="CE186" t="s">
        <v>78</v>
      </c>
      <c r="CF186" s="1">
        <v>43669</v>
      </c>
      <c r="CI186">
        <v>1</v>
      </c>
      <c r="CJ186">
        <v>1</v>
      </c>
      <c r="CK186" t="s">
        <v>88</v>
      </c>
      <c r="CL186" t="s">
        <v>76</v>
      </c>
    </row>
    <row r="187" spans="1:90">
      <c r="A187" t="s">
        <v>62</v>
      </c>
      <c r="B187" t="s">
        <v>63</v>
      </c>
      <c r="C187" t="s">
        <v>64</v>
      </c>
      <c r="E187" t="str">
        <f>"009938891387"</f>
        <v>009938891387</v>
      </c>
      <c r="F187" s="1">
        <v>43664</v>
      </c>
      <c r="G187">
        <v>202001</v>
      </c>
      <c r="H187" t="s">
        <v>65</v>
      </c>
      <c r="I187" t="s">
        <v>66</v>
      </c>
      <c r="J187" t="s">
        <v>67</v>
      </c>
      <c r="K187" t="s">
        <v>68</v>
      </c>
      <c r="L187" t="s">
        <v>122</v>
      </c>
      <c r="M187" t="s">
        <v>123</v>
      </c>
      <c r="N187" t="s">
        <v>218</v>
      </c>
      <c r="O187" t="s">
        <v>72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55.28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61</v>
      </c>
      <c r="BJ187">
        <v>84.5</v>
      </c>
      <c r="BK187">
        <v>85</v>
      </c>
      <c r="BL187" s="5">
        <v>324.04000000000002</v>
      </c>
      <c r="BM187" s="5">
        <v>48.61</v>
      </c>
      <c r="BN187" s="5">
        <v>372.65</v>
      </c>
      <c r="BO187" s="5">
        <v>372.65</v>
      </c>
      <c r="BQ187" t="s">
        <v>331</v>
      </c>
      <c r="BR187" t="s">
        <v>317</v>
      </c>
      <c r="BS187" s="1">
        <v>43665</v>
      </c>
      <c r="BT187" s="2">
        <v>0.39305555555555555</v>
      </c>
      <c r="BU187" t="s">
        <v>481</v>
      </c>
      <c r="BV187" t="s">
        <v>86</v>
      </c>
      <c r="BY187">
        <v>422400</v>
      </c>
      <c r="CA187" t="s">
        <v>376</v>
      </c>
      <c r="CC187" t="s">
        <v>123</v>
      </c>
      <c r="CD187">
        <v>299</v>
      </c>
      <c r="CE187" t="s">
        <v>78</v>
      </c>
      <c r="CF187" s="1">
        <v>43671</v>
      </c>
      <c r="CI187">
        <v>1</v>
      </c>
      <c r="CJ187">
        <v>1</v>
      </c>
      <c r="CK187" t="s">
        <v>95</v>
      </c>
      <c r="CL187" t="s">
        <v>76</v>
      </c>
    </row>
    <row r="188" spans="1:90">
      <c r="A188" t="s">
        <v>62</v>
      </c>
      <c r="B188" t="s">
        <v>63</v>
      </c>
      <c r="C188" t="s">
        <v>64</v>
      </c>
      <c r="E188" t="str">
        <f>"009938978167"</f>
        <v>009938978167</v>
      </c>
      <c r="F188" s="1">
        <v>43664</v>
      </c>
      <c r="G188">
        <v>202001</v>
      </c>
      <c r="H188" t="s">
        <v>216</v>
      </c>
      <c r="I188" t="s">
        <v>217</v>
      </c>
      <c r="J188" t="s">
        <v>342</v>
      </c>
      <c r="K188" t="s">
        <v>68</v>
      </c>
      <c r="L188" t="s">
        <v>65</v>
      </c>
      <c r="M188" t="s">
        <v>66</v>
      </c>
      <c r="N188" t="s">
        <v>482</v>
      </c>
      <c r="O188" t="s">
        <v>72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14.23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 s="5">
        <v>87.12</v>
      </c>
      <c r="BM188" s="5">
        <v>13.07</v>
      </c>
      <c r="BN188" s="5">
        <v>100.19</v>
      </c>
      <c r="BO188" s="5">
        <v>100.19</v>
      </c>
      <c r="BQ188" t="s">
        <v>91</v>
      </c>
      <c r="BR188" t="s">
        <v>483</v>
      </c>
      <c r="BS188" s="1">
        <v>43665</v>
      </c>
      <c r="BT188" s="2">
        <v>0.41041666666666665</v>
      </c>
      <c r="BU188" t="s">
        <v>93</v>
      </c>
      <c r="BV188" t="s">
        <v>86</v>
      </c>
      <c r="BY188">
        <v>1200</v>
      </c>
      <c r="CC188" t="s">
        <v>66</v>
      </c>
      <c r="CD188">
        <v>2146</v>
      </c>
      <c r="CE188" t="s">
        <v>78</v>
      </c>
      <c r="CF188" s="1">
        <v>43669</v>
      </c>
      <c r="CI188">
        <v>1</v>
      </c>
      <c r="CJ188">
        <v>1</v>
      </c>
      <c r="CK188" t="s">
        <v>177</v>
      </c>
      <c r="CL188" t="s">
        <v>76</v>
      </c>
    </row>
    <row r="189" spans="1:90">
      <c r="A189" t="s">
        <v>62</v>
      </c>
      <c r="B189" t="s">
        <v>63</v>
      </c>
      <c r="C189" t="s">
        <v>64</v>
      </c>
      <c r="E189" t="str">
        <f>"009935998573"</f>
        <v>009935998573</v>
      </c>
      <c r="F189" s="1">
        <v>43664</v>
      </c>
      <c r="G189">
        <v>202001</v>
      </c>
      <c r="H189" t="s">
        <v>65</v>
      </c>
      <c r="I189" t="s">
        <v>66</v>
      </c>
      <c r="J189" t="s">
        <v>67</v>
      </c>
      <c r="K189" t="s">
        <v>68</v>
      </c>
      <c r="L189" t="s">
        <v>181</v>
      </c>
      <c r="M189" t="s">
        <v>182</v>
      </c>
      <c r="N189" t="s">
        <v>218</v>
      </c>
      <c r="O189" t="s">
        <v>72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49.41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66</v>
      </c>
      <c r="BJ189">
        <v>91.5</v>
      </c>
      <c r="BK189">
        <v>92</v>
      </c>
      <c r="BL189" s="5">
        <v>290.14</v>
      </c>
      <c r="BM189" s="5">
        <v>43.52</v>
      </c>
      <c r="BN189" s="5">
        <v>333.66</v>
      </c>
      <c r="BO189" s="5">
        <v>333.66</v>
      </c>
      <c r="BQ189" t="s">
        <v>241</v>
      </c>
      <c r="BR189" t="s">
        <v>144</v>
      </c>
      <c r="BS189" s="1">
        <v>43665</v>
      </c>
      <c r="BT189" s="2">
        <v>0.41666666666666669</v>
      </c>
      <c r="BU189" t="s">
        <v>484</v>
      </c>
      <c r="BV189" t="s">
        <v>86</v>
      </c>
      <c r="BY189">
        <v>457285</v>
      </c>
      <c r="CA189" t="s">
        <v>485</v>
      </c>
      <c r="CC189" t="s">
        <v>182</v>
      </c>
      <c r="CD189">
        <v>9301</v>
      </c>
      <c r="CE189" t="s">
        <v>78</v>
      </c>
      <c r="CF189" s="1">
        <v>43668</v>
      </c>
      <c r="CI189">
        <v>1</v>
      </c>
      <c r="CJ189">
        <v>1</v>
      </c>
      <c r="CK189" t="s">
        <v>79</v>
      </c>
      <c r="CL189" t="s">
        <v>76</v>
      </c>
    </row>
    <row r="190" spans="1:90">
      <c r="A190" t="s">
        <v>62</v>
      </c>
      <c r="B190" t="s">
        <v>63</v>
      </c>
      <c r="C190" t="s">
        <v>64</v>
      </c>
      <c r="E190" t="str">
        <f>"009938391983"</f>
        <v>009938391983</v>
      </c>
      <c r="F190" s="1">
        <v>43664</v>
      </c>
      <c r="G190">
        <v>202001</v>
      </c>
      <c r="H190" t="s">
        <v>65</v>
      </c>
      <c r="I190" t="s">
        <v>66</v>
      </c>
      <c r="J190" t="s">
        <v>67</v>
      </c>
      <c r="K190" t="s">
        <v>68</v>
      </c>
      <c r="L190" t="s">
        <v>69</v>
      </c>
      <c r="M190" t="s">
        <v>70</v>
      </c>
      <c r="N190" t="s">
        <v>218</v>
      </c>
      <c r="O190" t="s">
        <v>72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11.64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2.6</v>
      </c>
      <c r="BJ190">
        <v>9.5</v>
      </c>
      <c r="BK190">
        <v>10</v>
      </c>
      <c r="BL190" s="5">
        <v>72.19</v>
      </c>
      <c r="BM190" s="5">
        <v>10.83</v>
      </c>
      <c r="BN190" s="5">
        <v>83.02</v>
      </c>
      <c r="BO190" s="5">
        <v>83.02</v>
      </c>
      <c r="BQ190" t="s">
        <v>73</v>
      </c>
      <c r="BR190" t="s">
        <v>74</v>
      </c>
      <c r="BS190" s="1">
        <v>43670</v>
      </c>
      <c r="BT190" s="2">
        <v>0.34722222222222227</v>
      </c>
      <c r="BU190" t="s">
        <v>73</v>
      </c>
      <c r="BV190" t="s">
        <v>76</v>
      </c>
      <c r="BY190">
        <v>47440.800000000003</v>
      </c>
      <c r="CA190" t="s">
        <v>486</v>
      </c>
      <c r="CC190" t="s">
        <v>70</v>
      </c>
      <c r="CD190">
        <v>1200</v>
      </c>
      <c r="CE190" t="s">
        <v>78</v>
      </c>
      <c r="CF190" s="1">
        <v>43670</v>
      </c>
      <c r="CI190">
        <v>1</v>
      </c>
      <c r="CJ190">
        <v>4</v>
      </c>
      <c r="CK190" t="s">
        <v>79</v>
      </c>
      <c r="CL190" t="s">
        <v>76</v>
      </c>
    </row>
    <row r="191" spans="1:90">
      <c r="A191" t="s">
        <v>62</v>
      </c>
      <c r="B191" t="s">
        <v>63</v>
      </c>
      <c r="C191" t="s">
        <v>64</v>
      </c>
      <c r="E191" t="str">
        <f>"009938391981"</f>
        <v>009938391981</v>
      </c>
      <c r="F191" s="1">
        <v>43664</v>
      </c>
      <c r="G191">
        <v>202001</v>
      </c>
      <c r="H191" t="s">
        <v>103</v>
      </c>
      <c r="I191" t="s">
        <v>104</v>
      </c>
      <c r="J191" t="s">
        <v>205</v>
      </c>
      <c r="K191" t="s">
        <v>68</v>
      </c>
      <c r="L191" t="s">
        <v>247</v>
      </c>
      <c r="M191" t="s">
        <v>138</v>
      </c>
      <c r="N191" t="s">
        <v>487</v>
      </c>
      <c r="O191" t="s">
        <v>72</v>
      </c>
      <c r="P191" t="str">
        <f>"EFTPOS                        "</f>
        <v xml:space="preserve">EFTPOS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49.58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3</v>
      </c>
      <c r="BI191">
        <v>43.5</v>
      </c>
      <c r="BJ191">
        <v>59.6</v>
      </c>
      <c r="BK191">
        <v>60</v>
      </c>
      <c r="BL191" s="5">
        <v>291.14</v>
      </c>
      <c r="BM191" s="5">
        <v>43.67</v>
      </c>
      <c r="BN191" s="5">
        <v>334.81</v>
      </c>
      <c r="BO191" s="5">
        <v>334.81</v>
      </c>
      <c r="BQ191" t="s">
        <v>488</v>
      </c>
      <c r="BR191" t="s">
        <v>489</v>
      </c>
      <c r="BS191" s="1">
        <v>43668</v>
      </c>
      <c r="BT191" s="2">
        <v>0.48472222222222222</v>
      </c>
      <c r="BU191" t="s">
        <v>490</v>
      </c>
      <c r="BV191" t="s">
        <v>86</v>
      </c>
      <c r="BY191">
        <v>298095.52</v>
      </c>
      <c r="CA191" t="s">
        <v>251</v>
      </c>
      <c r="CC191" t="s">
        <v>138</v>
      </c>
      <c r="CD191">
        <v>7441</v>
      </c>
      <c r="CE191" t="s">
        <v>78</v>
      </c>
      <c r="CF191" s="1">
        <v>43668</v>
      </c>
      <c r="CI191">
        <v>2</v>
      </c>
      <c r="CJ191">
        <v>2</v>
      </c>
      <c r="CK191" t="s">
        <v>115</v>
      </c>
      <c r="CL191" t="s">
        <v>76</v>
      </c>
    </row>
    <row r="192" spans="1:90">
      <c r="A192" t="s">
        <v>62</v>
      </c>
      <c r="B192" t="s">
        <v>63</v>
      </c>
      <c r="C192" t="s">
        <v>64</v>
      </c>
      <c r="E192" t="str">
        <f>"009939030212"</f>
        <v>009939030212</v>
      </c>
      <c r="F192" s="1">
        <v>43664</v>
      </c>
      <c r="G192">
        <v>202001</v>
      </c>
      <c r="H192" t="s">
        <v>65</v>
      </c>
      <c r="I192" t="s">
        <v>66</v>
      </c>
      <c r="J192" t="s">
        <v>67</v>
      </c>
      <c r="K192" t="s">
        <v>68</v>
      </c>
      <c r="L192" t="s">
        <v>69</v>
      </c>
      <c r="M192" t="s">
        <v>70</v>
      </c>
      <c r="N192" t="s">
        <v>218</v>
      </c>
      <c r="O192" t="s">
        <v>72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25.38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18</v>
      </c>
      <c r="BJ192">
        <v>42.2</v>
      </c>
      <c r="BK192">
        <v>43</v>
      </c>
      <c r="BL192" s="5">
        <v>151.44999999999999</v>
      </c>
      <c r="BM192" s="5">
        <v>22.72</v>
      </c>
      <c r="BN192" s="5">
        <v>174.17</v>
      </c>
      <c r="BO192" s="5">
        <v>174.17</v>
      </c>
      <c r="BQ192" t="s">
        <v>164</v>
      </c>
      <c r="BR192" t="s">
        <v>74</v>
      </c>
      <c r="BS192" s="1">
        <v>43668</v>
      </c>
      <c r="BT192" s="2">
        <v>0.41666666666666669</v>
      </c>
      <c r="BU192" t="s">
        <v>392</v>
      </c>
      <c r="BV192" t="s">
        <v>76</v>
      </c>
      <c r="BY192">
        <v>211200</v>
      </c>
      <c r="CA192" t="s">
        <v>486</v>
      </c>
      <c r="CC192" t="s">
        <v>70</v>
      </c>
      <c r="CD192">
        <v>1200</v>
      </c>
      <c r="CE192" t="s">
        <v>78</v>
      </c>
      <c r="CF192" s="1">
        <v>43668</v>
      </c>
      <c r="CI192">
        <v>1</v>
      </c>
      <c r="CJ192">
        <v>2</v>
      </c>
      <c r="CK192" t="s">
        <v>79</v>
      </c>
      <c r="CL192" t="s">
        <v>76</v>
      </c>
    </row>
    <row r="193" spans="1:90">
      <c r="A193" t="s">
        <v>62</v>
      </c>
      <c r="B193" t="s">
        <v>63</v>
      </c>
      <c r="C193" t="s">
        <v>64</v>
      </c>
      <c r="E193" t="str">
        <f>"009938391966"</f>
        <v>009938391966</v>
      </c>
      <c r="F193" s="1">
        <v>43675</v>
      </c>
      <c r="G193">
        <v>202001</v>
      </c>
      <c r="H193" t="s">
        <v>65</v>
      </c>
      <c r="I193" t="s">
        <v>66</v>
      </c>
      <c r="J193" t="s">
        <v>67</v>
      </c>
      <c r="K193" t="s">
        <v>68</v>
      </c>
      <c r="L193" t="s">
        <v>444</v>
      </c>
      <c r="M193" t="s">
        <v>445</v>
      </c>
      <c r="N193" t="s">
        <v>491</v>
      </c>
      <c r="O193" t="s">
        <v>72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53.52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22</v>
      </c>
      <c r="BJ193">
        <v>42.2</v>
      </c>
      <c r="BK193">
        <v>43</v>
      </c>
      <c r="BL193" s="5">
        <v>313.83999999999997</v>
      </c>
      <c r="BM193" s="5">
        <v>47.08</v>
      </c>
      <c r="BN193" s="5">
        <v>360.92</v>
      </c>
      <c r="BO193" s="5">
        <v>360.92</v>
      </c>
      <c r="BQ193" t="s">
        <v>492</v>
      </c>
      <c r="BR193" t="s">
        <v>74</v>
      </c>
      <c r="BS193" s="1">
        <v>43677</v>
      </c>
      <c r="BT193" s="2">
        <v>0.4236111111111111</v>
      </c>
      <c r="BU193" t="s">
        <v>493</v>
      </c>
      <c r="BV193" t="s">
        <v>86</v>
      </c>
      <c r="BY193">
        <v>211200</v>
      </c>
      <c r="CC193" t="s">
        <v>445</v>
      </c>
      <c r="CD193">
        <v>8800</v>
      </c>
      <c r="CE193" t="s">
        <v>78</v>
      </c>
      <c r="CI193">
        <v>2</v>
      </c>
      <c r="CJ193">
        <v>2</v>
      </c>
      <c r="CK193" t="s">
        <v>88</v>
      </c>
      <c r="CL193" t="s">
        <v>76</v>
      </c>
    </row>
    <row r="194" spans="1:90">
      <c r="A194" t="s">
        <v>62</v>
      </c>
      <c r="B194" t="s">
        <v>63</v>
      </c>
      <c r="C194" t="s">
        <v>64</v>
      </c>
      <c r="E194" t="str">
        <f>"019910066624"</f>
        <v>019910066624</v>
      </c>
      <c r="F194" s="1">
        <v>43675</v>
      </c>
      <c r="G194">
        <v>202001</v>
      </c>
      <c r="H194" t="s">
        <v>137</v>
      </c>
      <c r="I194" t="s">
        <v>138</v>
      </c>
      <c r="J194" t="s">
        <v>67</v>
      </c>
      <c r="K194" t="s">
        <v>68</v>
      </c>
      <c r="L194" t="s">
        <v>103</v>
      </c>
      <c r="M194" t="s">
        <v>104</v>
      </c>
      <c r="N194" t="s">
        <v>67</v>
      </c>
      <c r="O194" t="s">
        <v>72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40.880000000000003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27.5</v>
      </c>
      <c r="BJ194">
        <v>47.4</v>
      </c>
      <c r="BK194">
        <v>48</v>
      </c>
      <c r="BL194" s="5">
        <v>240.92</v>
      </c>
      <c r="BM194" s="5">
        <v>36.14</v>
      </c>
      <c r="BN194" s="5">
        <v>277.06</v>
      </c>
      <c r="BO194" s="5">
        <v>277.06</v>
      </c>
      <c r="BQ194" t="s">
        <v>139</v>
      </c>
      <c r="BR194" t="s">
        <v>140</v>
      </c>
      <c r="BS194" s="1">
        <v>43677</v>
      </c>
      <c r="BT194" s="2">
        <v>0.39097222222222222</v>
      </c>
      <c r="BU194" t="s">
        <v>175</v>
      </c>
      <c r="BV194" t="s">
        <v>86</v>
      </c>
      <c r="BY194">
        <v>236958.24</v>
      </c>
      <c r="CC194" t="s">
        <v>104</v>
      </c>
      <c r="CD194">
        <v>2090</v>
      </c>
      <c r="CE194" t="s">
        <v>78</v>
      </c>
      <c r="CI194">
        <v>2</v>
      </c>
      <c r="CJ194">
        <v>2</v>
      </c>
      <c r="CK194" t="s">
        <v>115</v>
      </c>
      <c r="CL194" t="s">
        <v>76</v>
      </c>
    </row>
    <row r="195" spans="1:90">
      <c r="A195" t="s">
        <v>62</v>
      </c>
      <c r="B195" t="s">
        <v>63</v>
      </c>
      <c r="C195" t="s">
        <v>64</v>
      </c>
      <c r="E195" t="str">
        <f>"009938891154"</f>
        <v>009938891154</v>
      </c>
      <c r="F195" s="1">
        <v>43664</v>
      </c>
      <c r="G195">
        <v>202001</v>
      </c>
      <c r="H195" t="s">
        <v>65</v>
      </c>
      <c r="I195" t="s">
        <v>66</v>
      </c>
      <c r="J195" t="s">
        <v>67</v>
      </c>
      <c r="K195" t="s">
        <v>68</v>
      </c>
      <c r="L195" t="s">
        <v>206</v>
      </c>
      <c r="M195" t="s">
        <v>207</v>
      </c>
      <c r="N195" t="s">
        <v>218</v>
      </c>
      <c r="O195" t="s">
        <v>72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20.18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1.5</v>
      </c>
      <c r="BJ195">
        <v>10.3</v>
      </c>
      <c r="BK195">
        <v>11</v>
      </c>
      <c r="BL195" s="5">
        <v>121.46</v>
      </c>
      <c r="BM195" s="5">
        <v>18.22</v>
      </c>
      <c r="BN195" s="5">
        <v>139.68</v>
      </c>
      <c r="BO195" s="5">
        <v>139.68</v>
      </c>
      <c r="BQ195" t="s">
        <v>254</v>
      </c>
      <c r="BR195" t="s">
        <v>317</v>
      </c>
      <c r="BS195" s="1">
        <v>43665</v>
      </c>
      <c r="BT195" s="2">
        <v>0.73055555555555562</v>
      </c>
      <c r="BU195" t="s">
        <v>463</v>
      </c>
      <c r="BV195" t="s">
        <v>86</v>
      </c>
      <c r="BY195">
        <v>51320.52</v>
      </c>
      <c r="CA195" t="s">
        <v>313</v>
      </c>
      <c r="CC195" t="s">
        <v>207</v>
      </c>
      <c r="CD195">
        <v>450</v>
      </c>
      <c r="CE195" t="s">
        <v>78</v>
      </c>
      <c r="CF195" s="1">
        <v>43669</v>
      </c>
      <c r="CI195">
        <v>0</v>
      </c>
      <c r="CJ195">
        <v>0</v>
      </c>
      <c r="CK195" t="s">
        <v>88</v>
      </c>
      <c r="CL195" t="s">
        <v>76</v>
      </c>
    </row>
    <row r="196" spans="1:90">
      <c r="A196" t="s">
        <v>62</v>
      </c>
      <c r="B196" t="s">
        <v>63</v>
      </c>
      <c r="C196" t="s">
        <v>64</v>
      </c>
      <c r="E196" t="str">
        <f>"009939030279"</f>
        <v>009939030279</v>
      </c>
      <c r="F196" s="1">
        <v>43663</v>
      </c>
      <c r="G196">
        <v>202001</v>
      </c>
      <c r="H196" t="s">
        <v>103</v>
      </c>
      <c r="I196" t="s">
        <v>104</v>
      </c>
      <c r="J196" t="s">
        <v>205</v>
      </c>
      <c r="K196" t="s">
        <v>68</v>
      </c>
      <c r="L196" t="s">
        <v>152</v>
      </c>
      <c r="M196" t="s">
        <v>153</v>
      </c>
      <c r="N196" t="s">
        <v>218</v>
      </c>
      <c r="O196" t="s">
        <v>120</v>
      </c>
      <c r="P196" t="str">
        <f>"LCK                           "</f>
        <v xml:space="preserve">LCK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16.04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 s="5">
        <v>92.57</v>
      </c>
      <c r="BM196" s="5">
        <v>13.89</v>
      </c>
      <c r="BN196" s="5">
        <v>106.46</v>
      </c>
      <c r="BO196" s="5">
        <v>106.46</v>
      </c>
      <c r="BQ196" t="s">
        <v>415</v>
      </c>
      <c r="BR196" t="s">
        <v>465</v>
      </c>
      <c r="BS196" s="1">
        <v>43664</v>
      </c>
      <c r="BT196" s="2">
        <v>0.4201388888888889</v>
      </c>
      <c r="BU196" t="s">
        <v>232</v>
      </c>
      <c r="BV196" t="s">
        <v>86</v>
      </c>
      <c r="BY196">
        <v>1200</v>
      </c>
      <c r="BZ196" t="s">
        <v>23</v>
      </c>
      <c r="CA196" t="s">
        <v>157</v>
      </c>
      <c r="CC196" t="s">
        <v>153</v>
      </c>
      <c r="CD196">
        <v>850</v>
      </c>
      <c r="CF196" s="1">
        <v>43668</v>
      </c>
      <c r="CI196">
        <v>1</v>
      </c>
      <c r="CJ196">
        <v>1</v>
      </c>
      <c r="CK196">
        <v>23</v>
      </c>
      <c r="CL196" t="s">
        <v>76</v>
      </c>
    </row>
    <row r="197" spans="1:90">
      <c r="A197" t="s">
        <v>180</v>
      </c>
      <c r="B197" t="s">
        <v>63</v>
      </c>
      <c r="C197" t="s">
        <v>64</v>
      </c>
      <c r="E197" t="str">
        <f>"039902812549"</f>
        <v>039902812549</v>
      </c>
      <c r="F197" s="1">
        <v>43665</v>
      </c>
      <c r="G197">
        <v>202001</v>
      </c>
      <c r="H197" t="s">
        <v>141</v>
      </c>
      <c r="I197" t="s">
        <v>99</v>
      </c>
      <c r="J197" t="s">
        <v>345</v>
      </c>
      <c r="K197" t="s">
        <v>68</v>
      </c>
      <c r="L197" t="s">
        <v>65</v>
      </c>
      <c r="M197" t="s">
        <v>66</v>
      </c>
      <c r="N197" t="s">
        <v>345</v>
      </c>
      <c r="O197" t="s">
        <v>72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52.32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26.1</v>
      </c>
      <c r="BJ197">
        <v>41.2</v>
      </c>
      <c r="BK197">
        <v>42</v>
      </c>
      <c r="BL197" s="5">
        <v>306.95999999999998</v>
      </c>
      <c r="BM197" s="5">
        <v>46.04</v>
      </c>
      <c r="BN197" s="5">
        <v>353</v>
      </c>
      <c r="BO197" s="5">
        <v>353</v>
      </c>
      <c r="BQ197" t="s">
        <v>494</v>
      </c>
      <c r="BR197" t="s">
        <v>179</v>
      </c>
      <c r="BS197" s="1">
        <v>43670</v>
      </c>
      <c r="BT197" s="2">
        <v>0.37847222222222227</v>
      </c>
      <c r="BU197" t="s">
        <v>495</v>
      </c>
      <c r="BV197" t="s">
        <v>86</v>
      </c>
      <c r="BY197">
        <v>208519.4</v>
      </c>
      <c r="CA197" t="s">
        <v>449</v>
      </c>
      <c r="CC197" t="s">
        <v>66</v>
      </c>
      <c r="CD197">
        <v>2146</v>
      </c>
      <c r="CE197" t="s">
        <v>347</v>
      </c>
      <c r="CF197" s="1">
        <v>43671</v>
      </c>
      <c r="CI197">
        <v>0</v>
      </c>
      <c r="CJ197">
        <v>0</v>
      </c>
      <c r="CK197" t="s">
        <v>88</v>
      </c>
      <c r="CL197" t="s">
        <v>76</v>
      </c>
    </row>
    <row r="198" spans="1:90">
      <c r="A198" t="s">
        <v>180</v>
      </c>
      <c r="B198" t="s">
        <v>63</v>
      </c>
      <c r="C198" t="s">
        <v>64</v>
      </c>
      <c r="E198" t="str">
        <f>"039902812550"</f>
        <v>039902812550</v>
      </c>
      <c r="F198" s="1">
        <v>43665</v>
      </c>
      <c r="G198">
        <v>202001</v>
      </c>
      <c r="H198" t="s">
        <v>141</v>
      </c>
      <c r="I198" t="s">
        <v>99</v>
      </c>
      <c r="J198" t="s">
        <v>345</v>
      </c>
      <c r="K198" t="s">
        <v>68</v>
      </c>
      <c r="L198" t="s">
        <v>65</v>
      </c>
      <c r="M198" t="s">
        <v>66</v>
      </c>
      <c r="N198" t="s">
        <v>345</v>
      </c>
      <c r="O198" t="s">
        <v>72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20.18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 s="5">
        <v>121.46</v>
      </c>
      <c r="BM198" s="5">
        <v>18.22</v>
      </c>
      <c r="BN198" s="5">
        <v>139.68</v>
      </c>
      <c r="BO198" s="5">
        <v>139.68</v>
      </c>
      <c r="BQ198" t="s">
        <v>496</v>
      </c>
      <c r="BR198" t="s">
        <v>179</v>
      </c>
      <c r="BS198" s="1">
        <v>43670</v>
      </c>
      <c r="BT198" s="2">
        <v>0.35833333333333334</v>
      </c>
      <c r="BU198" t="s">
        <v>99</v>
      </c>
      <c r="BV198" t="s">
        <v>86</v>
      </c>
      <c r="BY198">
        <v>1200</v>
      </c>
      <c r="CA198" t="s">
        <v>94</v>
      </c>
      <c r="CC198" t="s">
        <v>66</v>
      </c>
      <c r="CD198">
        <v>2146</v>
      </c>
      <c r="CE198" t="s">
        <v>78</v>
      </c>
      <c r="CF198" s="1">
        <v>43672</v>
      </c>
      <c r="CI198">
        <v>0</v>
      </c>
      <c r="CJ198">
        <v>0</v>
      </c>
      <c r="CK198" t="s">
        <v>88</v>
      </c>
      <c r="CL198" t="s">
        <v>76</v>
      </c>
    </row>
    <row r="199" spans="1:90">
      <c r="A199" t="s">
        <v>62</v>
      </c>
      <c r="B199" t="s">
        <v>63</v>
      </c>
      <c r="C199" t="s">
        <v>64</v>
      </c>
      <c r="E199" t="str">
        <f>"009938132457"</f>
        <v>009938132457</v>
      </c>
      <c r="F199" s="1">
        <v>43665</v>
      </c>
      <c r="G199">
        <v>202001</v>
      </c>
      <c r="H199" t="s">
        <v>206</v>
      </c>
      <c r="I199" t="s">
        <v>207</v>
      </c>
      <c r="J199" t="s">
        <v>67</v>
      </c>
      <c r="K199" t="s">
        <v>68</v>
      </c>
      <c r="L199" t="s">
        <v>65</v>
      </c>
      <c r="M199" t="s">
        <v>66</v>
      </c>
      <c r="N199" t="s">
        <v>67</v>
      </c>
      <c r="O199" t="s">
        <v>72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20.57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15</v>
      </c>
      <c r="BJ199">
        <v>19.2</v>
      </c>
      <c r="BK199">
        <v>20</v>
      </c>
      <c r="BL199" s="5">
        <v>123.73</v>
      </c>
      <c r="BM199" s="5">
        <v>18.559999999999999</v>
      </c>
      <c r="BN199" s="5">
        <v>142.29</v>
      </c>
      <c r="BO199" s="5">
        <v>142.29</v>
      </c>
      <c r="BQ199" t="s">
        <v>497</v>
      </c>
      <c r="BR199" t="s">
        <v>254</v>
      </c>
      <c r="BS199" s="1">
        <v>43668</v>
      </c>
      <c r="BT199" s="2">
        <v>0.59375</v>
      </c>
      <c r="BU199" t="s">
        <v>343</v>
      </c>
      <c r="BV199" t="s">
        <v>86</v>
      </c>
      <c r="BY199">
        <v>96000</v>
      </c>
      <c r="CC199" t="s">
        <v>66</v>
      </c>
      <c r="CD199">
        <v>2146</v>
      </c>
      <c r="CE199" t="s">
        <v>78</v>
      </c>
      <c r="CF199" s="1">
        <v>43669</v>
      </c>
      <c r="CI199">
        <v>0</v>
      </c>
      <c r="CJ199">
        <v>0</v>
      </c>
      <c r="CK199" t="s">
        <v>115</v>
      </c>
      <c r="CL199" t="s">
        <v>76</v>
      </c>
    </row>
    <row r="200" spans="1:90">
      <c r="A200" t="s">
        <v>62</v>
      </c>
      <c r="B200" t="s">
        <v>63</v>
      </c>
      <c r="C200" t="s">
        <v>64</v>
      </c>
      <c r="E200" t="str">
        <f>"009938485836"</f>
        <v>009938485836</v>
      </c>
      <c r="F200" s="1">
        <v>43666</v>
      </c>
      <c r="G200">
        <v>202001</v>
      </c>
      <c r="H200" t="s">
        <v>152</v>
      </c>
      <c r="I200" t="s">
        <v>153</v>
      </c>
      <c r="J200" t="s">
        <v>67</v>
      </c>
      <c r="K200" t="s">
        <v>68</v>
      </c>
      <c r="L200" t="s">
        <v>65</v>
      </c>
      <c r="M200" t="s">
        <v>66</v>
      </c>
      <c r="N200" t="s">
        <v>67</v>
      </c>
      <c r="O200" t="s">
        <v>72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33.64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40.799999999999997</v>
      </c>
      <c r="BJ200">
        <v>9.6</v>
      </c>
      <c r="BK200">
        <v>40</v>
      </c>
      <c r="BL200" s="5">
        <v>199.12</v>
      </c>
      <c r="BM200" s="5">
        <v>29.87</v>
      </c>
      <c r="BN200" s="5">
        <v>228.99</v>
      </c>
      <c r="BO200" s="5">
        <v>228.99</v>
      </c>
      <c r="BQ200" t="s">
        <v>498</v>
      </c>
      <c r="BR200" t="s">
        <v>231</v>
      </c>
      <c r="BS200" s="1">
        <v>43669</v>
      </c>
      <c r="BT200" s="2">
        <v>0.5</v>
      </c>
      <c r="BU200" t="s">
        <v>343</v>
      </c>
      <c r="BV200" t="s">
        <v>86</v>
      </c>
      <c r="BY200">
        <v>219125.38</v>
      </c>
      <c r="CC200" t="s">
        <v>66</v>
      </c>
      <c r="CD200">
        <v>2146</v>
      </c>
      <c r="CE200" t="s">
        <v>78</v>
      </c>
      <c r="CF200" s="1">
        <v>43670</v>
      </c>
      <c r="CI200">
        <v>1</v>
      </c>
      <c r="CJ200">
        <v>1</v>
      </c>
      <c r="CK200" t="s">
        <v>262</v>
      </c>
      <c r="CL200" t="s">
        <v>76</v>
      </c>
    </row>
    <row r="201" spans="1:90">
      <c r="A201" t="s">
        <v>62</v>
      </c>
      <c r="B201" t="s">
        <v>63</v>
      </c>
      <c r="C201" t="s">
        <v>64</v>
      </c>
      <c r="E201" t="str">
        <f>"009938665105"</f>
        <v>009938665105</v>
      </c>
      <c r="F201" s="1">
        <v>43666</v>
      </c>
      <c r="G201">
        <v>202001</v>
      </c>
      <c r="H201" t="s">
        <v>96</v>
      </c>
      <c r="I201" t="s">
        <v>97</v>
      </c>
      <c r="J201" t="s">
        <v>67</v>
      </c>
      <c r="K201" t="s">
        <v>68</v>
      </c>
      <c r="L201" t="s">
        <v>65</v>
      </c>
      <c r="M201" t="s">
        <v>66</v>
      </c>
      <c r="N201" t="s">
        <v>67</v>
      </c>
      <c r="O201" t="s">
        <v>72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15.52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 s="5">
        <v>94.58</v>
      </c>
      <c r="BM201" s="5">
        <v>14.19</v>
      </c>
      <c r="BN201" s="5">
        <v>108.77</v>
      </c>
      <c r="BO201" s="5">
        <v>108.77</v>
      </c>
      <c r="BQ201" t="s">
        <v>499</v>
      </c>
      <c r="BS201" s="1">
        <v>43668</v>
      </c>
      <c r="BT201" s="2">
        <v>0.44722222222222219</v>
      </c>
      <c r="BU201" t="s">
        <v>500</v>
      </c>
      <c r="BV201" t="s">
        <v>86</v>
      </c>
      <c r="BY201">
        <v>1200</v>
      </c>
      <c r="CA201" t="s">
        <v>94</v>
      </c>
      <c r="CC201" t="s">
        <v>66</v>
      </c>
      <c r="CD201">
        <v>2146</v>
      </c>
      <c r="CE201" t="s">
        <v>78</v>
      </c>
      <c r="CF201" s="1">
        <v>43668</v>
      </c>
      <c r="CI201">
        <v>1</v>
      </c>
      <c r="CJ201">
        <v>1</v>
      </c>
      <c r="CK201" t="s">
        <v>95</v>
      </c>
      <c r="CL201" t="s">
        <v>76</v>
      </c>
    </row>
    <row r="202" spans="1:90">
      <c r="A202" t="s">
        <v>62</v>
      </c>
      <c r="B202" t="s">
        <v>63</v>
      </c>
      <c r="C202" t="s">
        <v>64</v>
      </c>
      <c r="E202" t="str">
        <f>"009938769087"</f>
        <v>009938769087</v>
      </c>
      <c r="F202" s="1">
        <v>43665</v>
      </c>
      <c r="G202">
        <v>202001</v>
      </c>
      <c r="H202" t="s">
        <v>65</v>
      </c>
      <c r="I202" t="s">
        <v>66</v>
      </c>
      <c r="J202" t="s">
        <v>67</v>
      </c>
      <c r="K202" t="s">
        <v>68</v>
      </c>
      <c r="L202" t="s">
        <v>122</v>
      </c>
      <c r="M202" t="s">
        <v>123</v>
      </c>
      <c r="N202" t="s">
        <v>67</v>
      </c>
      <c r="O202" t="s">
        <v>120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11.64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0.5</v>
      </c>
      <c r="BK202">
        <v>1</v>
      </c>
      <c r="BL202" s="5">
        <v>67.19</v>
      </c>
      <c r="BM202" s="5">
        <v>10.08</v>
      </c>
      <c r="BN202" s="5">
        <v>77.27</v>
      </c>
      <c r="BO202" s="5">
        <v>77.27</v>
      </c>
      <c r="BQ202" t="s">
        <v>331</v>
      </c>
      <c r="BR202" t="s">
        <v>501</v>
      </c>
      <c r="BS202" s="1">
        <v>43668</v>
      </c>
      <c r="BT202" s="2">
        <v>0.375</v>
      </c>
      <c r="BU202" t="s">
        <v>85</v>
      </c>
      <c r="BV202" t="s">
        <v>86</v>
      </c>
      <c r="BY202">
        <v>2400</v>
      </c>
      <c r="BZ202" t="s">
        <v>23</v>
      </c>
      <c r="CA202" t="s">
        <v>333</v>
      </c>
      <c r="CC202" t="s">
        <v>123</v>
      </c>
      <c r="CD202">
        <v>299</v>
      </c>
      <c r="CE202" t="s">
        <v>78</v>
      </c>
      <c r="CF202" s="1">
        <v>43670</v>
      </c>
      <c r="CI202">
        <v>1</v>
      </c>
      <c r="CJ202">
        <v>1</v>
      </c>
      <c r="CK202">
        <v>24</v>
      </c>
      <c r="CL202" t="s">
        <v>76</v>
      </c>
    </row>
    <row r="203" spans="1:90">
      <c r="A203" t="s">
        <v>62</v>
      </c>
      <c r="B203" t="s">
        <v>63</v>
      </c>
      <c r="C203" t="s">
        <v>64</v>
      </c>
      <c r="E203" t="str">
        <f>"009935185515"</f>
        <v>009935185515</v>
      </c>
      <c r="F203" s="1">
        <v>43668</v>
      </c>
      <c r="G203">
        <v>202001</v>
      </c>
      <c r="H203" t="s">
        <v>103</v>
      </c>
      <c r="I203" t="s">
        <v>104</v>
      </c>
      <c r="J203" t="s">
        <v>205</v>
      </c>
      <c r="K203" t="s">
        <v>68</v>
      </c>
      <c r="L203" t="s">
        <v>116</v>
      </c>
      <c r="M203" t="s">
        <v>117</v>
      </c>
      <c r="N203" t="s">
        <v>502</v>
      </c>
      <c r="O203" t="s">
        <v>120</v>
      </c>
      <c r="P203" t="str">
        <f>"LCK                           "</f>
        <v xml:space="preserve">LCK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12.42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0.7</v>
      </c>
      <c r="BJ203">
        <v>3</v>
      </c>
      <c r="BK203">
        <v>3</v>
      </c>
      <c r="BL203" s="5">
        <v>71.66</v>
      </c>
      <c r="BM203" s="5">
        <v>10.75</v>
      </c>
      <c r="BN203" s="5">
        <v>82.41</v>
      </c>
      <c r="BO203" s="5">
        <v>82.41</v>
      </c>
      <c r="BQ203" t="s">
        <v>503</v>
      </c>
      <c r="BR203" t="s">
        <v>209</v>
      </c>
      <c r="BS203" s="1">
        <v>43669</v>
      </c>
      <c r="BT203" s="2">
        <v>0.37361111111111112</v>
      </c>
      <c r="BU203" t="s">
        <v>504</v>
      </c>
      <c r="BV203" t="s">
        <v>86</v>
      </c>
      <c r="BY203">
        <v>14875.22</v>
      </c>
      <c r="BZ203" t="s">
        <v>23</v>
      </c>
      <c r="CA203" t="s">
        <v>188</v>
      </c>
      <c r="CC203" t="s">
        <v>117</v>
      </c>
      <c r="CD203">
        <v>4091</v>
      </c>
      <c r="CE203" t="s">
        <v>78</v>
      </c>
      <c r="CF203" s="1">
        <v>43669</v>
      </c>
      <c r="CI203">
        <v>1</v>
      </c>
      <c r="CJ203">
        <v>1</v>
      </c>
      <c r="CK203">
        <v>21</v>
      </c>
      <c r="CL203" t="s">
        <v>76</v>
      </c>
    </row>
    <row r="204" spans="1:90">
      <c r="A204" t="s">
        <v>62</v>
      </c>
      <c r="B204" t="s">
        <v>63</v>
      </c>
      <c r="C204" t="s">
        <v>64</v>
      </c>
      <c r="E204" t="str">
        <f>"009936458861"</f>
        <v>009936458861</v>
      </c>
      <c r="F204" s="1">
        <v>43668</v>
      </c>
      <c r="G204">
        <v>202001</v>
      </c>
      <c r="H204" t="s">
        <v>103</v>
      </c>
      <c r="I204" t="s">
        <v>104</v>
      </c>
      <c r="J204" t="s">
        <v>205</v>
      </c>
      <c r="K204" t="s">
        <v>68</v>
      </c>
      <c r="L204" t="s">
        <v>96</v>
      </c>
      <c r="M204" t="s">
        <v>97</v>
      </c>
      <c r="N204" t="s">
        <v>67</v>
      </c>
      <c r="O204" t="s">
        <v>120</v>
      </c>
      <c r="P204" t="str">
        <f>"LCK                           "</f>
        <v xml:space="preserve">LCK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12.42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1.5</v>
      </c>
      <c r="BJ204">
        <v>2.8</v>
      </c>
      <c r="BK204">
        <v>3</v>
      </c>
      <c r="BL204" s="5">
        <v>71.66</v>
      </c>
      <c r="BM204" s="5">
        <v>10.75</v>
      </c>
      <c r="BN204" s="5">
        <v>82.41</v>
      </c>
      <c r="BO204" s="5">
        <v>82.41</v>
      </c>
      <c r="BQ204" t="s">
        <v>505</v>
      </c>
      <c r="BR204" t="s">
        <v>84</v>
      </c>
      <c r="BS204" s="1">
        <v>43669</v>
      </c>
      <c r="BT204" s="2">
        <v>0.42569444444444443</v>
      </c>
      <c r="BU204" t="s">
        <v>161</v>
      </c>
      <c r="BV204" t="s">
        <v>86</v>
      </c>
      <c r="BY204">
        <v>14059.16</v>
      </c>
      <c r="BZ204" t="s">
        <v>23</v>
      </c>
      <c r="CA204" t="s">
        <v>160</v>
      </c>
      <c r="CC204" t="s">
        <v>97</v>
      </c>
      <c r="CD204">
        <v>699</v>
      </c>
      <c r="CE204" t="s">
        <v>78</v>
      </c>
      <c r="CF204" s="1">
        <v>43675</v>
      </c>
      <c r="CI204">
        <v>1</v>
      </c>
      <c r="CJ204">
        <v>1</v>
      </c>
      <c r="CK204">
        <v>21</v>
      </c>
      <c r="CL204" t="s">
        <v>76</v>
      </c>
    </row>
    <row r="205" spans="1:90">
      <c r="A205" t="s">
        <v>62</v>
      </c>
      <c r="B205" t="s">
        <v>63</v>
      </c>
      <c r="C205" t="s">
        <v>64</v>
      </c>
      <c r="E205" t="str">
        <f>"009938925266"</f>
        <v>009938925266</v>
      </c>
      <c r="F205" s="1">
        <v>43669</v>
      </c>
      <c r="G205">
        <v>202001</v>
      </c>
      <c r="H205" t="s">
        <v>101</v>
      </c>
      <c r="I205" t="s">
        <v>102</v>
      </c>
      <c r="J205" t="s">
        <v>82</v>
      </c>
      <c r="K205" t="s">
        <v>68</v>
      </c>
      <c r="L205" t="s">
        <v>103</v>
      </c>
      <c r="M205" t="s">
        <v>104</v>
      </c>
      <c r="N205" t="s">
        <v>67</v>
      </c>
      <c r="O205" t="s">
        <v>72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26.32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18</v>
      </c>
      <c r="BJ205">
        <v>33.799999999999997</v>
      </c>
      <c r="BK205">
        <v>34</v>
      </c>
      <c r="BL205" s="5">
        <v>156.87</v>
      </c>
      <c r="BM205" s="5">
        <v>23.53</v>
      </c>
      <c r="BN205" s="5">
        <v>180.4</v>
      </c>
      <c r="BO205" s="5">
        <v>180.4</v>
      </c>
      <c r="BQ205" t="s">
        <v>506</v>
      </c>
      <c r="BR205" t="s">
        <v>106</v>
      </c>
      <c r="BS205" s="1">
        <v>43670</v>
      </c>
      <c r="BT205" s="2">
        <v>0.37847222222222227</v>
      </c>
      <c r="BU205" t="s">
        <v>100</v>
      </c>
      <c r="BV205" t="s">
        <v>86</v>
      </c>
      <c r="BY205">
        <v>158659.07</v>
      </c>
      <c r="CC205" t="s">
        <v>104</v>
      </c>
      <c r="CD205">
        <v>2000</v>
      </c>
      <c r="CE205" t="s">
        <v>507</v>
      </c>
      <c r="CF205" s="1">
        <v>43671</v>
      </c>
      <c r="CI205">
        <v>1</v>
      </c>
      <c r="CJ205">
        <v>1</v>
      </c>
      <c r="CK205" t="s">
        <v>107</v>
      </c>
      <c r="CL205" t="s">
        <v>76</v>
      </c>
    </row>
    <row r="206" spans="1:90">
      <c r="A206" t="s">
        <v>180</v>
      </c>
      <c r="B206" t="s">
        <v>63</v>
      </c>
      <c r="C206" t="s">
        <v>64</v>
      </c>
      <c r="E206" t="str">
        <f>"029908254608"</f>
        <v>029908254608</v>
      </c>
      <c r="F206" s="1">
        <v>43668</v>
      </c>
      <c r="G206">
        <v>202001</v>
      </c>
      <c r="H206" t="s">
        <v>255</v>
      </c>
      <c r="I206" t="s">
        <v>256</v>
      </c>
      <c r="J206" t="s">
        <v>67</v>
      </c>
      <c r="K206" t="s">
        <v>68</v>
      </c>
      <c r="L206" t="s">
        <v>103</v>
      </c>
      <c r="M206" t="s">
        <v>104</v>
      </c>
      <c r="N206" t="s">
        <v>67</v>
      </c>
      <c r="O206" t="s">
        <v>72</v>
      </c>
      <c r="P206" t="str">
        <f>"MERULEN                       "</f>
        <v xml:space="preserve">MERULEN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37.68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25.3</v>
      </c>
      <c r="BJ206">
        <v>53.3</v>
      </c>
      <c r="BK206">
        <v>54</v>
      </c>
      <c r="BL206" s="5">
        <v>222.43</v>
      </c>
      <c r="BM206" s="5">
        <v>33.36</v>
      </c>
      <c r="BN206" s="5">
        <v>255.79</v>
      </c>
      <c r="BO206" s="5">
        <v>255.79</v>
      </c>
      <c r="BR206" t="s">
        <v>373</v>
      </c>
      <c r="BS206" s="1">
        <v>43669</v>
      </c>
      <c r="BT206" s="2">
        <v>0.5</v>
      </c>
      <c r="BU206" t="s">
        <v>343</v>
      </c>
      <c r="BV206" t="s">
        <v>86</v>
      </c>
      <c r="BY206">
        <v>266400</v>
      </c>
      <c r="CC206" t="s">
        <v>104</v>
      </c>
      <c r="CD206">
        <v>2196</v>
      </c>
      <c r="CE206" t="s">
        <v>78</v>
      </c>
      <c r="CF206" s="1">
        <v>43670</v>
      </c>
      <c r="CI206">
        <v>1</v>
      </c>
      <c r="CJ206">
        <v>1</v>
      </c>
      <c r="CK206" t="s">
        <v>95</v>
      </c>
      <c r="CL206" t="s">
        <v>76</v>
      </c>
    </row>
    <row r="207" spans="1:90">
      <c r="A207" t="s">
        <v>62</v>
      </c>
      <c r="B207" t="s">
        <v>63</v>
      </c>
      <c r="C207" t="s">
        <v>64</v>
      </c>
      <c r="E207" t="str">
        <f>"009938391980"</f>
        <v>009938391980</v>
      </c>
      <c r="F207" s="1">
        <v>43665</v>
      </c>
      <c r="G207">
        <v>202001</v>
      </c>
      <c r="H207" t="s">
        <v>103</v>
      </c>
      <c r="I207" t="s">
        <v>104</v>
      </c>
      <c r="J207" t="s">
        <v>205</v>
      </c>
      <c r="K207" t="s">
        <v>68</v>
      </c>
      <c r="L207" t="s">
        <v>69</v>
      </c>
      <c r="M207" t="s">
        <v>70</v>
      </c>
      <c r="N207" t="s">
        <v>508</v>
      </c>
      <c r="O207" t="s">
        <v>72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25.87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21.4</v>
      </c>
      <c r="BJ207">
        <v>43.6</v>
      </c>
      <c r="BK207">
        <v>44</v>
      </c>
      <c r="BL207" s="5">
        <v>154.28</v>
      </c>
      <c r="BM207" s="5">
        <v>23.14</v>
      </c>
      <c r="BN207" s="5">
        <v>177.42</v>
      </c>
      <c r="BO207" s="5">
        <v>177.42</v>
      </c>
      <c r="BQ207" t="s">
        <v>73</v>
      </c>
      <c r="BR207" t="s">
        <v>209</v>
      </c>
      <c r="BS207" s="1">
        <v>43670</v>
      </c>
      <c r="BT207" s="2">
        <v>0.34722222222222227</v>
      </c>
      <c r="BU207" t="s">
        <v>73</v>
      </c>
      <c r="BV207" t="s">
        <v>76</v>
      </c>
      <c r="BY207">
        <v>217894.05</v>
      </c>
      <c r="CA207" t="s">
        <v>486</v>
      </c>
      <c r="CC207" t="s">
        <v>70</v>
      </c>
      <c r="CD207">
        <v>1200</v>
      </c>
      <c r="CE207" t="s">
        <v>78</v>
      </c>
      <c r="CF207" s="1">
        <v>43670</v>
      </c>
      <c r="CI207">
        <v>1</v>
      </c>
      <c r="CJ207">
        <v>3</v>
      </c>
      <c r="CK207" t="s">
        <v>79</v>
      </c>
      <c r="CL207" t="s">
        <v>76</v>
      </c>
    </row>
    <row r="208" spans="1:90">
      <c r="A208" t="s">
        <v>180</v>
      </c>
      <c r="B208" t="s">
        <v>63</v>
      </c>
      <c r="C208" t="s">
        <v>64</v>
      </c>
      <c r="E208" t="str">
        <f>"009938353999"</f>
        <v>009938353999</v>
      </c>
      <c r="F208" s="1">
        <v>43668</v>
      </c>
      <c r="G208">
        <v>202001</v>
      </c>
      <c r="H208" t="s">
        <v>389</v>
      </c>
      <c r="I208" t="s">
        <v>390</v>
      </c>
      <c r="J208" t="s">
        <v>509</v>
      </c>
      <c r="K208" t="s">
        <v>68</v>
      </c>
      <c r="L208" t="s">
        <v>103</v>
      </c>
      <c r="M208" t="s">
        <v>104</v>
      </c>
      <c r="N208" t="s">
        <v>509</v>
      </c>
      <c r="O208" t="s">
        <v>72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16.95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 s="5">
        <v>102.81</v>
      </c>
      <c r="BM208" s="5">
        <v>15.42</v>
      </c>
      <c r="BN208" s="5">
        <v>118.23</v>
      </c>
      <c r="BO208" s="5">
        <v>118.23</v>
      </c>
      <c r="BS208" s="1">
        <v>43669</v>
      </c>
      <c r="BT208" s="2">
        <v>0.36249999999999999</v>
      </c>
      <c r="BU208" t="s">
        <v>343</v>
      </c>
      <c r="BV208" t="s">
        <v>86</v>
      </c>
      <c r="BY208">
        <v>1200</v>
      </c>
      <c r="CA208" t="s">
        <v>94</v>
      </c>
      <c r="CC208" t="s">
        <v>104</v>
      </c>
      <c r="CD208">
        <v>2000</v>
      </c>
      <c r="CE208" t="s">
        <v>510</v>
      </c>
      <c r="CF208" s="1">
        <v>43670</v>
      </c>
      <c r="CI208">
        <v>2</v>
      </c>
      <c r="CJ208">
        <v>1</v>
      </c>
      <c r="CK208" t="s">
        <v>393</v>
      </c>
      <c r="CL208" t="s">
        <v>76</v>
      </c>
    </row>
    <row r="209" spans="1:90">
      <c r="A209" t="s">
        <v>62</v>
      </c>
      <c r="B209" t="s">
        <v>63</v>
      </c>
      <c r="C209" t="s">
        <v>64</v>
      </c>
      <c r="E209" t="str">
        <f>"009935895310"</f>
        <v>009935895310</v>
      </c>
      <c r="F209" s="1">
        <v>43665</v>
      </c>
      <c r="G209">
        <v>202001</v>
      </c>
      <c r="H209" t="s">
        <v>65</v>
      </c>
      <c r="I209" t="s">
        <v>66</v>
      </c>
      <c r="J209" t="s">
        <v>67</v>
      </c>
      <c r="K209" t="s">
        <v>68</v>
      </c>
      <c r="L209" t="s">
        <v>216</v>
      </c>
      <c r="M209" t="s">
        <v>217</v>
      </c>
      <c r="N209" t="s">
        <v>342</v>
      </c>
      <c r="O209" t="s">
        <v>72</v>
      </c>
      <c r="P209" t="str">
        <f t="shared" ref="P209:P221" si="7"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68.349999999999994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39.6</v>
      </c>
      <c r="BJ209">
        <v>107.7</v>
      </c>
      <c r="BK209">
        <v>108</v>
      </c>
      <c r="BL209" s="5">
        <v>399.44</v>
      </c>
      <c r="BM209" s="5">
        <v>59.92</v>
      </c>
      <c r="BN209" s="5">
        <v>459.36</v>
      </c>
      <c r="BO209" s="5">
        <v>459.36</v>
      </c>
      <c r="BQ209" t="s">
        <v>219</v>
      </c>
      <c r="BR209" t="s">
        <v>144</v>
      </c>
      <c r="BS209" s="1">
        <v>43669</v>
      </c>
      <c r="BT209" s="2">
        <v>0.3354166666666667</v>
      </c>
      <c r="BU209" t="s">
        <v>367</v>
      </c>
      <c r="BV209" t="s">
        <v>76</v>
      </c>
      <c r="BY209">
        <v>538427.12</v>
      </c>
      <c r="CA209" t="s">
        <v>221</v>
      </c>
      <c r="CC209" t="s">
        <v>217</v>
      </c>
      <c r="CD209">
        <v>1034</v>
      </c>
      <c r="CE209" t="s">
        <v>78</v>
      </c>
      <c r="CF209" s="1">
        <v>43670</v>
      </c>
      <c r="CI209">
        <v>1</v>
      </c>
      <c r="CJ209">
        <v>2</v>
      </c>
      <c r="CK209" t="s">
        <v>95</v>
      </c>
      <c r="CL209" t="s">
        <v>76</v>
      </c>
    </row>
    <row r="210" spans="1:90">
      <c r="A210" t="s">
        <v>62</v>
      </c>
      <c r="B210" t="s">
        <v>63</v>
      </c>
      <c r="C210" t="s">
        <v>64</v>
      </c>
      <c r="E210" t="str">
        <f>"009938891317"</f>
        <v>009938891317</v>
      </c>
      <c r="F210" s="1">
        <v>43665</v>
      </c>
      <c r="G210">
        <v>202001</v>
      </c>
      <c r="H210" t="s">
        <v>65</v>
      </c>
      <c r="I210" t="s">
        <v>66</v>
      </c>
      <c r="J210" t="s">
        <v>67</v>
      </c>
      <c r="K210" t="s">
        <v>68</v>
      </c>
      <c r="L210" t="s">
        <v>152</v>
      </c>
      <c r="M210" t="s">
        <v>153</v>
      </c>
      <c r="N210" t="s">
        <v>67</v>
      </c>
      <c r="O210" t="s">
        <v>72</v>
      </c>
      <c r="P210" t="str">
        <f t="shared" si="7"/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57.09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28.3</v>
      </c>
      <c r="BJ210">
        <v>46</v>
      </c>
      <c r="BK210">
        <v>46</v>
      </c>
      <c r="BL210" s="5">
        <v>334.45</v>
      </c>
      <c r="BM210" s="5">
        <v>50.17</v>
      </c>
      <c r="BN210" s="5">
        <v>384.62</v>
      </c>
      <c r="BO210" s="5">
        <v>384.62</v>
      </c>
      <c r="BQ210" t="s">
        <v>231</v>
      </c>
      <c r="BR210" t="s">
        <v>144</v>
      </c>
      <c r="BS210" s="1">
        <v>43668</v>
      </c>
      <c r="BT210" s="2">
        <v>0.54513888888888895</v>
      </c>
      <c r="BU210" t="s">
        <v>156</v>
      </c>
      <c r="BV210" t="s">
        <v>86</v>
      </c>
      <c r="BY210">
        <v>230028.48</v>
      </c>
      <c r="CA210" t="s">
        <v>157</v>
      </c>
      <c r="CC210" t="s">
        <v>153</v>
      </c>
      <c r="CD210">
        <v>850</v>
      </c>
      <c r="CE210" t="s">
        <v>78</v>
      </c>
      <c r="CF210" s="1">
        <v>43671</v>
      </c>
      <c r="CI210">
        <v>1</v>
      </c>
      <c r="CJ210">
        <v>1</v>
      </c>
      <c r="CK210" t="s">
        <v>88</v>
      </c>
      <c r="CL210" t="s">
        <v>76</v>
      </c>
    </row>
    <row r="211" spans="1:90">
      <c r="A211" t="s">
        <v>62</v>
      </c>
      <c r="B211" t="s">
        <v>63</v>
      </c>
      <c r="C211" t="s">
        <v>64</v>
      </c>
      <c r="E211" t="str">
        <f>"009937720440"</f>
        <v>009937720440</v>
      </c>
      <c r="F211" s="1">
        <v>43665</v>
      </c>
      <c r="G211">
        <v>202001</v>
      </c>
      <c r="H211" t="s">
        <v>65</v>
      </c>
      <c r="I211" t="s">
        <v>66</v>
      </c>
      <c r="J211" t="s">
        <v>67</v>
      </c>
      <c r="K211" t="s">
        <v>68</v>
      </c>
      <c r="L211" t="s">
        <v>96</v>
      </c>
      <c r="M211" t="s">
        <v>97</v>
      </c>
      <c r="N211" t="s">
        <v>67</v>
      </c>
      <c r="O211" t="s">
        <v>72</v>
      </c>
      <c r="P211" t="str">
        <f t="shared" si="7"/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72.95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2</v>
      </c>
      <c r="BI211">
        <v>53</v>
      </c>
      <c r="BJ211">
        <v>139.4</v>
      </c>
      <c r="BK211">
        <v>140</v>
      </c>
      <c r="BL211" s="5">
        <v>426</v>
      </c>
      <c r="BM211" s="5">
        <v>63.9</v>
      </c>
      <c r="BN211" s="5">
        <v>489.9</v>
      </c>
      <c r="BO211" s="5">
        <v>489.9</v>
      </c>
      <c r="BQ211" t="s">
        <v>73</v>
      </c>
      <c r="BR211" t="s">
        <v>144</v>
      </c>
      <c r="BS211" s="1">
        <v>43670</v>
      </c>
      <c r="BT211" s="2">
        <v>0.5</v>
      </c>
      <c r="BU211" t="s">
        <v>511</v>
      </c>
      <c r="BV211" t="s">
        <v>76</v>
      </c>
      <c r="BY211">
        <v>696750</v>
      </c>
      <c r="CC211" t="s">
        <v>97</v>
      </c>
      <c r="CD211">
        <v>699</v>
      </c>
      <c r="CE211" t="s">
        <v>78</v>
      </c>
      <c r="CF211" s="1">
        <v>43675</v>
      </c>
      <c r="CI211">
        <v>1</v>
      </c>
      <c r="CJ211">
        <v>3</v>
      </c>
      <c r="CK211" t="s">
        <v>79</v>
      </c>
      <c r="CL211" t="s">
        <v>76</v>
      </c>
    </row>
    <row r="212" spans="1:90">
      <c r="A212" t="s">
        <v>62</v>
      </c>
      <c r="B212" t="s">
        <v>63</v>
      </c>
      <c r="C212" t="s">
        <v>64</v>
      </c>
      <c r="E212" t="str">
        <f>"009938891156"</f>
        <v>009938891156</v>
      </c>
      <c r="F212" s="1">
        <v>43665</v>
      </c>
      <c r="G212">
        <v>202001</v>
      </c>
      <c r="H212" t="s">
        <v>103</v>
      </c>
      <c r="I212" t="s">
        <v>104</v>
      </c>
      <c r="J212" t="s">
        <v>67</v>
      </c>
      <c r="K212" t="s">
        <v>68</v>
      </c>
      <c r="L212" t="s">
        <v>206</v>
      </c>
      <c r="M212" t="s">
        <v>207</v>
      </c>
      <c r="N212" t="s">
        <v>67</v>
      </c>
      <c r="O212" t="s">
        <v>72</v>
      </c>
      <c r="P212" t="str">
        <f t="shared" si="7"/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105.9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2</v>
      </c>
      <c r="BI212">
        <v>47.9</v>
      </c>
      <c r="BJ212">
        <v>86.6</v>
      </c>
      <c r="BK212">
        <v>87</v>
      </c>
      <c r="BL212" s="5">
        <v>616.14</v>
      </c>
      <c r="BM212" s="5">
        <v>92.42</v>
      </c>
      <c r="BN212" s="5">
        <v>708.56</v>
      </c>
      <c r="BO212" s="5">
        <v>708.56</v>
      </c>
      <c r="BQ212" t="s">
        <v>254</v>
      </c>
      <c r="BR212" t="s">
        <v>144</v>
      </c>
      <c r="BS212" s="1">
        <v>43669</v>
      </c>
      <c r="BT212" s="2">
        <v>0.33680555555555558</v>
      </c>
      <c r="BU212" t="s">
        <v>512</v>
      </c>
      <c r="BV212" t="s">
        <v>76</v>
      </c>
      <c r="BY212">
        <v>432854.16</v>
      </c>
      <c r="CA212" t="s">
        <v>313</v>
      </c>
      <c r="CC212" t="s">
        <v>207</v>
      </c>
      <c r="CD212">
        <v>450</v>
      </c>
      <c r="CE212" t="s">
        <v>78</v>
      </c>
      <c r="CF212" s="1">
        <v>43670</v>
      </c>
      <c r="CI212">
        <v>0</v>
      </c>
      <c r="CJ212">
        <v>0</v>
      </c>
      <c r="CK212" t="s">
        <v>88</v>
      </c>
      <c r="CL212" t="s">
        <v>76</v>
      </c>
    </row>
    <row r="213" spans="1:90">
      <c r="A213" t="s">
        <v>62</v>
      </c>
      <c r="B213" t="s">
        <v>63</v>
      </c>
      <c r="C213" t="s">
        <v>64</v>
      </c>
      <c r="E213" t="str">
        <f>"009935987728"</f>
        <v>009935987728</v>
      </c>
      <c r="F213" s="1">
        <v>43665</v>
      </c>
      <c r="G213">
        <v>202001</v>
      </c>
      <c r="H213" t="s">
        <v>65</v>
      </c>
      <c r="I213" t="s">
        <v>66</v>
      </c>
      <c r="J213" t="s">
        <v>67</v>
      </c>
      <c r="K213" t="s">
        <v>68</v>
      </c>
      <c r="L213" t="s">
        <v>247</v>
      </c>
      <c r="M213" t="s">
        <v>138</v>
      </c>
      <c r="N213" t="s">
        <v>513</v>
      </c>
      <c r="O213" t="s">
        <v>72</v>
      </c>
      <c r="P213" t="str">
        <f t="shared" si="7"/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106.88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4</v>
      </c>
      <c r="BI213">
        <v>119.5</v>
      </c>
      <c r="BJ213">
        <v>139</v>
      </c>
      <c r="BK213">
        <v>139</v>
      </c>
      <c r="BL213" s="5">
        <v>621.78</v>
      </c>
      <c r="BM213" s="5">
        <v>93.27</v>
      </c>
      <c r="BN213" s="5">
        <v>715.05</v>
      </c>
      <c r="BO213" s="5">
        <v>715.05</v>
      </c>
      <c r="BQ213" t="s">
        <v>140</v>
      </c>
      <c r="BR213" t="s">
        <v>144</v>
      </c>
      <c r="BS213" s="1">
        <v>43668</v>
      </c>
      <c r="BT213" s="2">
        <v>0.52708333333333335</v>
      </c>
      <c r="BU213" t="s">
        <v>514</v>
      </c>
      <c r="BV213" t="s">
        <v>86</v>
      </c>
      <c r="BY213">
        <v>694985.27</v>
      </c>
      <c r="CA213" t="s">
        <v>288</v>
      </c>
      <c r="CC213" t="s">
        <v>138</v>
      </c>
      <c r="CD213">
        <v>7700</v>
      </c>
      <c r="CE213" t="s">
        <v>78</v>
      </c>
      <c r="CF213" s="1">
        <v>43669</v>
      </c>
      <c r="CI213">
        <v>2</v>
      </c>
      <c r="CJ213">
        <v>1</v>
      </c>
      <c r="CK213" t="s">
        <v>115</v>
      </c>
      <c r="CL213" t="s">
        <v>76</v>
      </c>
    </row>
    <row r="214" spans="1:90">
      <c r="A214" t="s">
        <v>62</v>
      </c>
      <c r="B214" t="s">
        <v>63</v>
      </c>
      <c r="C214" t="s">
        <v>64</v>
      </c>
      <c r="E214" t="str">
        <f>"009935987727"</f>
        <v>009935987727</v>
      </c>
      <c r="F214" s="1">
        <v>43665</v>
      </c>
      <c r="G214">
        <v>202001</v>
      </c>
      <c r="H214" t="s">
        <v>65</v>
      </c>
      <c r="I214" t="s">
        <v>66</v>
      </c>
      <c r="J214" t="s">
        <v>67</v>
      </c>
      <c r="K214" t="s">
        <v>68</v>
      </c>
      <c r="L214" t="s">
        <v>247</v>
      </c>
      <c r="M214" t="s">
        <v>138</v>
      </c>
      <c r="N214" t="s">
        <v>513</v>
      </c>
      <c r="O214" t="s">
        <v>72</v>
      </c>
      <c r="P214" t="str">
        <f t="shared" si="7"/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37.979999999999997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22.5</v>
      </c>
      <c r="BJ214">
        <v>43.3</v>
      </c>
      <c r="BK214">
        <v>44</v>
      </c>
      <c r="BL214" s="5">
        <v>224.18</v>
      </c>
      <c r="BM214" s="5">
        <v>33.630000000000003</v>
      </c>
      <c r="BN214" s="5">
        <v>257.81</v>
      </c>
      <c r="BO214" s="5">
        <v>257.81</v>
      </c>
      <c r="BQ214" t="s">
        <v>140</v>
      </c>
      <c r="BR214" t="s">
        <v>144</v>
      </c>
      <c r="BS214" s="1">
        <v>43668</v>
      </c>
      <c r="BT214" s="2">
        <v>0.52638888888888891</v>
      </c>
      <c r="BU214" t="s">
        <v>514</v>
      </c>
      <c r="BV214" t="s">
        <v>86</v>
      </c>
      <c r="BY214">
        <v>216527.92</v>
      </c>
      <c r="CA214" t="s">
        <v>288</v>
      </c>
      <c r="CC214" t="s">
        <v>138</v>
      </c>
      <c r="CD214">
        <v>7700</v>
      </c>
      <c r="CE214" t="s">
        <v>78</v>
      </c>
      <c r="CF214" s="1">
        <v>43669</v>
      </c>
      <c r="CI214">
        <v>2</v>
      </c>
      <c r="CJ214">
        <v>1</v>
      </c>
      <c r="CK214" t="s">
        <v>115</v>
      </c>
      <c r="CL214" t="s">
        <v>76</v>
      </c>
    </row>
    <row r="215" spans="1:90">
      <c r="A215" t="s">
        <v>62</v>
      </c>
      <c r="B215" t="s">
        <v>63</v>
      </c>
      <c r="C215" t="s">
        <v>64</v>
      </c>
      <c r="E215" t="str">
        <f>"009935957253"</f>
        <v>009935957253</v>
      </c>
      <c r="F215" s="1">
        <v>43665</v>
      </c>
      <c r="G215">
        <v>202001</v>
      </c>
      <c r="H215" t="s">
        <v>65</v>
      </c>
      <c r="I215" t="s">
        <v>66</v>
      </c>
      <c r="J215" t="s">
        <v>67</v>
      </c>
      <c r="K215" t="s">
        <v>68</v>
      </c>
      <c r="L215" t="s">
        <v>350</v>
      </c>
      <c r="M215" t="s">
        <v>351</v>
      </c>
      <c r="N215" t="s">
        <v>515</v>
      </c>
      <c r="O215" t="s">
        <v>72</v>
      </c>
      <c r="P215" t="str">
        <f t="shared" si="7"/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25.38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24.6</v>
      </c>
      <c r="BJ215">
        <v>42.2</v>
      </c>
      <c r="BK215">
        <v>43</v>
      </c>
      <c r="BL215" s="5">
        <v>151.44999999999999</v>
      </c>
      <c r="BM215" s="5">
        <v>22.72</v>
      </c>
      <c r="BN215" s="5">
        <v>174.17</v>
      </c>
      <c r="BO215" s="5">
        <v>174.17</v>
      </c>
      <c r="BQ215" t="s">
        <v>155</v>
      </c>
      <c r="BR215" t="s">
        <v>144</v>
      </c>
      <c r="BS215" s="1">
        <v>43668</v>
      </c>
      <c r="BT215" s="2">
        <v>0.45833333333333331</v>
      </c>
      <c r="BU215" t="s">
        <v>155</v>
      </c>
      <c r="BV215" t="s">
        <v>86</v>
      </c>
      <c r="BY215">
        <v>210929.4</v>
      </c>
      <c r="CA215" t="s">
        <v>516</v>
      </c>
      <c r="CC215" t="s">
        <v>351</v>
      </c>
      <c r="CD215">
        <v>8300</v>
      </c>
      <c r="CE215" t="s">
        <v>78</v>
      </c>
      <c r="CF215" s="1">
        <v>43671</v>
      </c>
      <c r="CI215">
        <v>1</v>
      </c>
      <c r="CJ215">
        <v>1</v>
      </c>
      <c r="CK215" t="s">
        <v>79</v>
      </c>
      <c r="CL215" t="s">
        <v>76</v>
      </c>
    </row>
    <row r="216" spans="1:90">
      <c r="A216" t="s">
        <v>62</v>
      </c>
      <c r="B216" t="s">
        <v>63</v>
      </c>
      <c r="C216" t="s">
        <v>64</v>
      </c>
      <c r="E216" t="str">
        <f>"009935996434"</f>
        <v>009935996434</v>
      </c>
      <c r="F216" s="1">
        <v>43665</v>
      </c>
      <c r="G216">
        <v>202001</v>
      </c>
      <c r="H216" t="s">
        <v>65</v>
      </c>
      <c r="I216" t="s">
        <v>66</v>
      </c>
      <c r="J216" t="s">
        <v>67</v>
      </c>
      <c r="K216" t="s">
        <v>68</v>
      </c>
      <c r="L216" t="s">
        <v>108</v>
      </c>
      <c r="M216" t="s">
        <v>109</v>
      </c>
      <c r="N216" t="s">
        <v>517</v>
      </c>
      <c r="O216" t="s">
        <v>72</v>
      </c>
      <c r="P216" t="str">
        <f t="shared" si="7"/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37.25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32</v>
      </c>
      <c r="BJ216">
        <v>42.2</v>
      </c>
      <c r="BK216">
        <v>43</v>
      </c>
      <c r="BL216" s="5">
        <v>219.99</v>
      </c>
      <c r="BM216" s="5">
        <v>33</v>
      </c>
      <c r="BN216" s="5">
        <v>252.99</v>
      </c>
      <c r="BO216" s="5">
        <v>252.99</v>
      </c>
      <c r="BQ216" t="s">
        <v>169</v>
      </c>
      <c r="BR216" t="s">
        <v>144</v>
      </c>
      <c r="BS216" s="1">
        <v>43668</v>
      </c>
      <c r="BT216" s="2">
        <v>0.57916666666666672</v>
      </c>
      <c r="BU216" t="s">
        <v>518</v>
      </c>
      <c r="BV216" t="s">
        <v>86</v>
      </c>
      <c r="BY216">
        <v>211194.72</v>
      </c>
      <c r="CA216" t="s">
        <v>171</v>
      </c>
      <c r="CC216" t="s">
        <v>109</v>
      </c>
      <c r="CD216">
        <v>6045</v>
      </c>
      <c r="CE216" t="s">
        <v>78</v>
      </c>
      <c r="CF216" s="1">
        <v>43668</v>
      </c>
      <c r="CI216">
        <v>2</v>
      </c>
      <c r="CJ216">
        <v>1</v>
      </c>
      <c r="CK216" t="s">
        <v>115</v>
      </c>
      <c r="CL216" t="s">
        <v>76</v>
      </c>
    </row>
    <row r="217" spans="1:90">
      <c r="A217" t="s">
        <v>62</v>
      </c>
      <c r="B217" t="s">
        <v>63</v>
      </c>
      <c r="C217" t="s">
        <v>64</v>
      </c>
      <c r="E217" t="str">
        <f>"009939030211"</f>
        <v>009939030211</v>
      </c>
      <c r="F217" s="1">
        <v>43668</v>
      </c>
      <c r="G217">
        <v>202001</v>
      </c>
      <c r="H217" t="s">
        <v>103</v>
      </c>
      <c r="I217" t="s">
        <v>104</v>
      </c>
      <c r="J217" t="s">
        <v>205</v>
      </c>
      <c r="K217" t="s">
        <v>68</v>
      </c>
      <c r="L217" t="s">
        <v>141</v>
      </c>
      <c r="M217" t="s">
        <v>99</v>
      </c>
      <c r="N217" t="s">
        <v>142</v>
      </c>
      <c r="O217" t="s">
        <v>72</v>
      </c>
      <c r="P217" t="str">
        <f t="shared" si="7"/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20.18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2.2999999999999998</v>
      </c>
      <c r="BJ217">
        <v>7.6</v>
      </c>
      <c r="BK217">
        <v>8</v>
      </c>
      <c r="BL217" s="5">
        <v>121.46</v>
      </c>
      <c r="BM217" s="5">
        <v>18.22</v>
      </c>
      <c r="BN217" s="5">
        <v>139.68</v>
      </c>
      <c r="BO217" s="5">
        <v>139.68</v>
      </c>
      <c r="BQ217" t="s">
        <v>178</v>
      </c>
      <c r="BR217" t="s">
        <v>519</v>
      </c>
      <c r="BS217" s="1">
        <v>43670</v>
      </c>
      <c r="BT217" s="2">
        <v>0.33333333333333331</v>
      </c>
      <c r="BU217" t="s">
        <v>414</v>
      </c>
      <c r="BV217" t="s">
        <v>86</v>
      </c>
      <c r="BY217">
        <v>37929.32</v>
      </c>
      <c r="CC217" t="s">
        <v>99</v>
      </c>
      <c r="CD217">
        <v>6529</v>
      </c>
      <c r="CE217" t="s">
        <v>78</v>
      </c>
      <c r="CF217" s="1">
        <v>43672</v>
      </c>
      <c r="CI217">
        <v>0</v>
      </c>
      <c r="CJ217">
        <v>0</v>
      </c>
      <c r="CK217" t="s">
        <v>146</v>
      </c>
      <c r="CL217" t="s">
        <v>76</v>
      </c>
    </row>
    <row r="218" spans="1:90">
      <c r="A218" t="s">
        <v>62</v>
      </c>
      <c r="B218" t="s">
        <v>63</v>
      </c>
      <c r="C218" t="s">
        <v>64</v>
      </c>
      <c r="E218" t="str">
        <f>"009938891388"</f>
        <v>009938891388</v>
      </c>
      <c r="F218" s="1">
        <v>43668</v>
      </c>
      <c r="G218">
        <v>202001</v>
      </c>
      <c r="H218" t="s">
        <v>65</v>
      </c>
      <c r="I218" t="s">
        <v>66</v>
      </c>
      <c r="J218" t="s">
        <v>67</v>
      </c>
      <c r="K218" t="s">
        <v>68</v>
      </c>
      <c r="L218" t="s">
        <v>122</v>
      </c>
      <c r="M218" t="s">
        <v>123</v>
      </c>
      <c r="N218" t="s">
        <v>67</v>
      </c>
      <c r="O218" t="s">
        <v>72</v>
      </c>
      <c r="P218" t="str">
        <f t="shared" si="7"/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32.56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29.6</v>
      </c>
      <c r="BJ218">
        <v>44.6</v>
      </c>
      <c r="BK218">
        <v>45</v>
      </c>
      <c r="BL218" s="5">
        <v>192.92</v>
      </c>
      <c r="BM218" s="5">
        <v>28.94</v>
      </c>
      <c r="BN218" s="5">
        <v>221.86</v>
      </c>
      <c r="BO218" s="5">
        <v>221.86</v>
      </c>
      <c r="BQ218" t="s">
        <v>331</v>
      </c>
      <c r="BR218" t="s">
        <v>84</v>
      </c>
      <c r="BS218" s="1">
        <v>43669</v>
      </c>
      <c r="BT218" s="2">
        <v>0.4375</v>
      </c>
      <c r="BU218" t="s">
        <v>520</v>
      </c>
      <c r="BV218" t="s">
        <v>86</v>
      </c>
      <c r="BY218">
        <v>222865.98</v>
      </c>
      <c r="CA218" t="s">
        <v>333</v>
      </c>
      <c r="CC218" t="s">
        <v>123</v>
      </c>
      <c r="CD218">
        <v>299</v>
      </c>
      <c r="CE218" t="s">
        <v>78</v>
      </c>
      <c r="CF218" s="1">
        <v>43672</v>
      </c>
      <c r="CI218">
        <v>1</v>
      </c>
      <c r="CJ218">
        <v>1</v>
      </c>
      <c r="CK218" t="s">
        <v>95</v>
      </c>
      <c r="CL218" t="s">
        <v>76</v>
      </c>
    </row>
    <row r="219" spans="1:90">
      <c r="A219" t="s">
        <v>62</v>
      </c>
      <c r="B219" t="s">
        <v>63</v>
      </c>
      <c r="C219" t="s">
        <v>64</v>
      </c>
      <c r="E219" t="str">
        <f>"009938391979"</f>
        <v>009938391979</v>
      </c>
      <c r="F219" s="1">
        <v>43668</v>
      </c>
      <c r="G219">
        <v>202001</v>
      </c>
      <c r="H219" t="s">
        <v>65</v>
      </c>
      <c r="I219" t="s">
        <v>66</v>
      </c>
      <c r="J219" t="s">
        <v>67</v>
      </c>
      <c r="K219" t="s">
        <v>68</v>
      </c>
      <c r="L219" t="s">
        <v>131</v>
      </c>
      <c r="M219" t="s">
        <v>132</v>
      </c>
      <c r="N219" t="s">
        <v>521</v>
      </c>
      <c r="O219" t="s">
        <v>72</v>
      </c>
      <c r="P219" t="str">
        <f t="shared" si="7"/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53.52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26</v>
      </c>
      <c r="BJ219">
        <v>42.2</v>
      </c>
      <c r="BK219">
        <v>43</v>
      </c>
      <c r="BL219" s="5">
        <v>313.83999999999997</v>
      </c>
      <c r="BM219" s="5">
        <v>47.08</v>
      </c>
      <c r="BN219" s="5">
        <v>360.92</v>
      </c>
      <c r="BO219" s="5">
        <v>360.92</v>
      </c>
      <c r="BQ219" t="s">
        <v>134</v>
      </c>
      <c r="BR219" t="s">
        <v>74</v>
      </c>
      <c r="BS219" s="1">
        <v>43670</v>
      </c>
      <c r="BT219" s="2">
        <v>0.70833333333333337</v>
      </c>
      <c r="BU219" t="s">
        <v>522</v>
      </c>
      <c r="BV219" t="s">
        <v>86</v>
      </c>
      <c r="BY219">
        <v>211200</v>
      </c>
      <c r="CA219" t="s">
        <v>136</v>
      </c>
      <c r="CC219" t="s">
        <v>132</v>
      </c>
      <c r="CD219">
        <v>1150</v>
      </c>
      <c r="CE219" t="s">
        <v>78</v>
      </c>
      <c r="CF219" s="1">
        <v>43675</v>
      </c>
      <c r="CI219">
        <v>0</v>
      </c>
      <c r="CJ219">
        <v>0</v>
      </c>
      <c r="CK219" t="s">
        <v>88</v>
      </c>
      <c r="CL219" t="s">
        <v>76</v>
      </c>
    </row>
    <row r="220" spans="1:90">
      <c r="A220" t="s">
        <v>62</v>
      </c>
      <c r="B220" t="s">
        <v>63</v>
      </c>
      <c r="C220" t="s">
        <v>64</v>
      </c>
      <c r="E220" t="str">
        <f>"009935996435"</f>
        <v>009935996435</v>
      </c>
      <c r="F220" s="1">
        <v>43668</v>
      </c>
      <c r="G220">
        <v>202001</v>
      </c>
      <c r="H220" t="s">
        <v>103</v>
      </c>
      <c r="I220" t="s">
        <v>104</v>
      </c>
      <c r="J220" t="s">
        <v>205</v>
      </c>
      <c r="K220" t="s">
        <v>68</v>
      </c>
      <c r="L220" t="s">
        <v>108</v>
      </c>
      <c r="M220" t="s">
        <v>109</v>
      </c>
      <c r="N220" t="s">
        <v>168</v>
      </c>
      <c r="O220" t="s">
        <v>72</v>
      </c>
      <c r="P220" t="str">
        <f t="shared" si="7"/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37.25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37</v>
      </c>
      <c r="BJ220">
        <v>42.2</v>
      </c>
      <c r="BK220">
        <v>43</v>
      </c>
      <c r="BL220" s="5">
        <v>219.99</v>
      </c>
      <c r="BM220" s="5">
        <v>33</v>
      </c>
      <c r="BN220" s="5">
        <v>252.99</v>
      </c>
      <c r="BO220" s="5">
        <v>252.99</v>
      </c>
      <c r="BQ220" t="s">
        <v>335</v>
      </c>
      <c r="BR220" t="s">
        <v>144</v>
      </c>
      <c r="BS220" s="1">
        <v>43670</v>
      </c>
      <c r="BT220" s="2">
        <v>0.48194444444444445</v>
      </c>
      <c r="BU220" t="s">
        <v>336</v>
      </c>
      <c r="BV220" t="s">
        <v>86</v>
      </c>
      <c r="BY220">
        <v>211200</v>
      </c>
      <c r="CA220" t="s">
        <v>337</v>
      </c>
      <c r="CC220" t="s">
        <v>109</v>
      </c>
      <c r="CD220">
        <v>6055</v>
      </c>
      <c r="CE220" t="s">
        <v>78</v>
      </c>
      <c r="CF220" s="1">
        <v>43671</v>
      </c>
      <c r="CI220">
        <v>2</v>
      </c>
      <c r="CJ220">
        <v>2</v>
      </c>
      <c r="CK220" t="s">
        <v>115</v>
      </c>
      <c r="CL220" t="s">
        <v>76</v>
      </c>
    </row>
    <row r="221" spans="1:90">
      <c r="A221" t="s">
        <v>62</v>
      </c>
      <c r="B221" t="s">
        <v>63</v>
      </c>
      <c r="C221" t="s">
        <v>64</v>
      </c>
      <c r="E221" t="str">
        <f>"009938891316"</f>
        <v>009938891316</v>
      </c>
      <c r="F221" s="1">
        <v>43668</v>
      </c>
      <c r="G221">
        <v>202001</v>
      </c>
      <c r="H221" t="s">
        <v>103</v>
      </c>
      <c r="I221" t="s">
        <v>104</v>
      </c>
      <c r="J221" t="s">
        <v>205</v>
      </c>
      <c r="K221" t="s">
        <v>68</v>
      </c>
      <c r="L221" t="s">
        <v>152</v>
      </c>
      <c r="M221" t="s">
        <v>153</v>
      </c>
      <c r="N221" t="s">
        <v>67</v>
      </c>
      <c r="O221" t="s">
        <v>72</v>
      </c>
      <c r="P221" t="str">
        <f t="shared" si="7"/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53.52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25</v>
      </c>
      <c r="BJ221">
        <v>42.2</v>
      </c>
      <c r="BK221">
        <v>43</v>
      </c>
      <c r="BL221" s="5">
        <v>313.83999999999997</v>
      </c>
      <c r="BM221" s="5">
        <v>47.08</v>
      </c>
      <c r="BN221" s="5">
        <v>360.92</v>
      </c>
      <c r="BO221" s="5">
        <v>360.92</v>
      </c>
      <c r="BQ221" t="s">
        <v>231</v>
      </c>
      <c r="BR221" t="s">
        <v>84</v>
      </c>
      <c r="BS221" s="1">
        <v>43669</v>
      </c>
      <c r="BT221" s="2">
        <v>0.60763888888888895</v>
      </c>
      <c r="BU221" t="s">
        <v>156</v>
      </c>
      <c r="BV221" t="s">
        <v>86</v>
      </c>
      <c r="BY221">
        <v>211200</v>
      </c>
      <c r="CA221" t="s">
        <v>157</v>
      </c>
      <c r="CC221" t="s">
        <v>153</v>
      </c>
      <c r="CD221">
        <v>850</v>
      </c>
      <c r="CE221" t="s">
        <v>78</v>
      </c>
      <c r="CF221" s="1">
        <v>43675</v>
      </c>
      <c r="CI221">
        <v>1</v>
      </c>
      <c r="CJ221">
        <v>1</v>
      </c>
      <c r="CK221" t="s">
        <v>88</v>
      </c>
      <c r="CL221" t="s">
        <v>76</v>
      </c>
    </row>
    <row r="222" spans="1:90">
      <c r="A222" t="s">
        <v>62</v>
      </c>
      <c r="B222" t="s">
        <v>63</v>
      </c>
      <c r="C222" t="s">
        <v>64</v>
      </c>
      <c r="E222" t="str">
        <f>"019910066623"</f>
        <v>019910066623</v>
      </c>
      <c r="F222" s="1">
        <v>43668</v>
      </c>
      <c r="G222">
        <v>202001</v>
      </c>
      <c r="H222" t="s">
        <v>137</v>
      </c>
      <c r="I222" t="s">
        <v>138</v>
      </c>
      <c r="J222" t="s">
        <v>67</v>
      </c>
      <c r="K222" t="s">
        <v>68</v>
      </c>
      <c r="L222" t="s">
        <v>103</v>
      </c>
      <c r="M222" t="s">
        <v>104</v>
      </c>
      <c r="N222" t="s">
        <v>67</v>
      </c>
      <c r="O222" t="s">
        <v>72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42.33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38.799999999999997</v>
      </c>
      <c r="BJ222">
        <v>49.9</v>
      </c>
      <c r="BK222">
        <v>50</v>
      </c>
      <c r="BL222" s="5">
        <v>249.29</v>
      </c>
      <c r="BM222" s="5">
        <v>37.39</v>
      </c>
      <c r="BN222" s="5">
        <v>286.68</v>
      </c>
      <c r="BO222" s="5">
        <v>286.68</v>
      </c>
      <c r="BQ222" t="s">
        <v>139</v>
      </c>
      <c r="BR222" t="s">
        <v>140</v>
      </c>
      <c r="BS222" s="1">
        <v>43670</v>
      </c>
      <c r="BT222" s="2">
        <v>0.37847222222222227</v>
      </c>
      <c r="BU222" t="s">
        <v>100</v>
      </c>
      <c r="BV222" t="s">
        <v>86</v>
      </c>
      <c r="BY222">
        <v>249422.24</v>
      </c>
      <c r="CC222" t="s">
        <v>104</v>
      </c>
      <c r="CD222">
        <v>2090</v>
      </c>
      <c r="CE222" t="s">
        <v>285</v>
      </c>
      <c r="CF222" s="1">
        <v>43671</v>
      </c>
      <c r="CI222">
        <v>2</v>
      </c>
      <c r="CJ222">
        <v>2</v>
      </c>
      <c r="CK222" t="s">
        <v>115</v>
      </c>
      <c r="CL222" t="s">
        <v>76</v>
      </c>
    </row>
    <row r="223" spans="1:90">
      <c r="A223" t="s">
        <v>62</v>
      </c>
      <c r="B223" t="s">
        <v>63</v>
      </c>
      <c r="C223" t="s">
        <v>64</v>
      </c>
      <c r="E223" t="str">
        <f>"009937559444"</f>
        <v>009937559444</v>
      </c>
      <c r="F223" s="1">
        <v>43669</v>
      </c>
      <c r="G223">
        <v>202001</v>
      </c>
      <c r="H223" t="s">
        <v>444</v>
      </c>
      <c r="I223" t="s">
        <v>445</v>
      </c>
      <c r="J223" t="s">
        <v>67</v>
      </c>
      <c r="K223" t="s">
        <v>68</v>
      </c>
      <c r="L223" t="s">
        <v>103</v>
      </c>
      <c r="M223" t="s">
        <v>104</v>
      </c>
      <c r="N223" t="s">
        <v>523</v>
      </c>
      <c r="O223" t="s">
        <v>72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20.18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2.4</v>
      </c>
      <c r="BK223">
        <v>3</v>
      </c>
      <c r="BL223" s="5">
        <v>121.46</v>
      </c>
      <c r="BM223" s="5">
        <v>18.22</v>
      </c>
      <c r="BN223" s="5">
        <v>139.68</v>
      </c>
      <c r="BO223" s="5">
        <v>139.68</v>
      </c>
      <c r="BQ223" t="s">
        <v>524</v>
      </c>
      <c r="BR223" t="s">
        <v>525</v>
      </c>
      <c r="BS223" s="1">
        <v>43671</v>
      </c>
      <c r="BT223" s="2">
        <v>0.33819444444444446</v>
      </c>
      <c r="BU223" t="s">
        <v>99</v>
      </c>
      <c r="BV223" t="s">
        <v>76</v>
      </c>
      <c r="BW223" t="s">
        <v>325</v>
      </c>
      <c r="BX223" t="s">
        <v>526</v>
      </c>
      <c r="BY223">
        <v>12000</v>
      </c>
      <c r="CA223" t="s">
        <v>94</v>
      </c>
      <c r="CC223" t="s">
        <v>104</v>
      </c>
      <c r="CD223">
        <v>2196</v>
      </c>
      <c r="CE223" t="s">
        <v>527</v>
      </c>
      <c r="CF223" s="1">
        <v>43675</v>
      </c>
      <c r="CI223">
        <v>1</v>
      </c>
      <c r="CJ223">
        <v>2</v>
      </c>
      <c r="CK223" t="s">
        <v>146</v>
      </c>
      <c r="CL223" t="s">
        <v>76</v>
      </c>
    </row>
    <row r="224" spans="1:90">
      <c r="A224" t="s">
        <v>62</v>
      </c>
      <c r="B224" t="s">
        <v>63</v>
      </c>
      <c r="C224" t="s">
        <v>64</v>
      </c>
      <c r="E224" t="str">
        <f>"009936458862"</f>
        <v>009936458862</v>
      </c>
      <c r="F224" s="1">
        <v>43669</v>
      </c>
      <c r="G224">
        <v>202001</v>
      </c>
      <c r="H224" t="s">
        <v>65</v>
      </c>
      <c r="I224" t="s">
        <v>66</v>
      </c>
      <c r="J224" t="s">
        <v>67</v>
      </c>
      <c r="K224" t="s">
        <v>68</v>
      </c>
      <c r="L224" t="s">
        <v>96</v>
      </c>
      <c r="M224" t="s">
        <v>97</v>
      </c>
      <c r="N224" t="s">
        <v>67</v>
      </c>
      <c r="O224" t="s">
        <v>120</v>
      </c>
      <c r="P224" t="str">
        <f>"LCK                           "</f>
        <v xml:space="preserve">LCK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10.35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1.4</v>
      </c>
      <c r="BJ224">
        <v>2.4</v>
      </c>
      <c r="BK224">
        <v>2.5</v>
      </c>
      <c r="BL224" s="5">
        <v>59.72</v>
      </c>
      <c r="BM224" s="5">
        <v>8.9600000000000009</v>
      </c>
      <c r="BN224" s="5">
        <v>68.680000000000007</v>
      </c>
      <c r="BO224" s="5">
        <v>68.680000000000007</v>
      </c>
      <c r="BQ224" t="s">
        <v>199</v>
      </c>
      <c r="BR224" t="s">
        <v>84</v>
      </c>
      <c r="BS224" s="1">
        <v>43670</v>
      </c>
      <c r="BT224" s="2">
        <v>0.4284722222222222</v>
      </c>
      <c r="BU224" t="s">
        <v>253</v>
      </c>
      <c r="BV224" t="s">
        <v>86</v>
      </c>
      <c r="BY224">
        <v>11982.08</v>
      </c>
      <c r="BZ224" t="s">
        <v>23</v>
      </c>
      <c r="CA224" t="s">
        <v>162</v>
      </c>
      <c r="CC224" t="s">
        <v>97</v>
      </c>
      <c r="CD224">
        <v>699</v>
      </c>
      <c r="CE224" t="s">
        <v>78</v>
      </c>
      <c r="CF224" s="1">
        <v>43675</v>
      </c>
      <c r="CI224">
        <v>1</v>
      </c>
      <c r="CJ224">
        <v>1</v>
      </c>
      <c r="CK224">
        <v>21</v>
      </c>
      <c r="CL224" t="s">
        <v>76</v>
      </c>
    </row>
    <row r="225" spans="1:90">
      <c r="A225" t="s">
        <v>62</v>
      </c>
      <c r="B225" t="s">
        <v>63</v>
      </c>
      <c r="C225" t="s">
        <v>64</v>
      </c>
      <c r="E225" t="str">
        <f>"009935996437"</f>
        <v>009935996437</v>
      </c>
      <c r="F225" s="1">
        <v>43669</v>
      </c>
      <c r="G225">
        <v>202001</v>
      </c>
      <c r="H225" t="s">
        <v>65</v>
      </c>
      <c r="I225" t="s">
        <v>66</v>
      </c>
      <c r="J225" t="s">
        <v>67</v>
      </c>
      <c r="K225" t="s">
        <v>68</v>
      </c>
      <c r="L225" t="s">
        <v>108</v>
      </c>
      <c r="M225" t="s">
        <v>109</v>
      </c>
      <c r="N225" t="s">
        <v>168</v>
      </c>
      <c r="O225" t="s">
        <v>120</v>
      </c>
      <c r="P225" t="str">
        <f>"FIELD SERVICE                 "</f>
        <v xml:space="preserve">FIELD SERVICE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8.2799999999999994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0.5</v>
      </c>
      <c r="BK225">
        <v>1</v>
      </c>
      <c r="BL225" s="5">
        <v>47.78</v>
      </c>
      <c r="BM225" s="5">
        <v>7.17</v>
      </c>
      <c r="BN225" s="5">
        <v>54.95</v>
      </c>
      <c r="BO225" s="5">
        <v>54.95</v>
      </c>
      <c r="BQ225" t="s">
        <v>169</v>
      </c>
      <c r="BR225" t="s">
        <v>144</v>
      </c>
      <c r="BS225" s="1">
        <v>43670</v>
      </c>
      <c r="BT225" s="2">
        <v>0.37847222222222227</v>
      </c>
      <c r="BU225" t="s">
        <v>528</v>
      </c>
      <c r="BV225" t="s">
        <v>86</v>
      </c>
      <c r="BY225">
        <v>2400</v>
      </c>
      <c r="BZ225" t="s">
        <v>23</v>
      </c>
      <c r="CA225" t="s">
        <v>365</v>
      </c>
      <c r="CC225" t="s">
        <v>109</v>
      </c>
      <c r="CD225">
        <v>6045</v>
      </c>
      <c r="CE225" t="s">
        <v>78</v>
      </c>
      <c r="CF225" s="1">
        <v>43671</v>
      </c>
      <c r="CI225">
        <v>1</v>
      </c>
      <c r="CJ225">
        <v>1</v>
      </c>
      <c r="CK225">
        <v>21</v>
      </c>
      <c r="CL225" t="s">
        <v>76</v>
      </c>
    </row>
    <row r="226" spans="1:90">
      <c r="A226" t="s">
        <v>62</v>
      </c>
      <c r="B226" t="s">
        <v>63</v>
      </c>
      <c r="C226" t="s">
        <v>64</v>
      </c>
      <c r="E226" t="str">
        <f>"009937287944"</f>
        <v>009937287944</v>
      </c>
      <c r="F226" s="1">
        <v>43669</v>
      </c>
      <c r="G226">
        <v>202001</v>
      </c>
      <c r="H226" t="s">
        <v>65</v>
      </c>
      <c r="I226" t="s">
        <v>66</v>
      </c>
      <c r="J226" t="s">
        <v>67</v>
      </c>
      <c r="K226" t="s">
        <v>68</v>
      </c>
      <c r="L226" t="s">
        <v>80</v>
      </c>
      <c r="M226" t="s">
        <v>81</v>
      </c>
      <c r="N226" t="s">
        <v>67</v>
      </c>
      <c r="O226" t="s">
        <v>120</v>
      </c>
      <c r="P226" t="str">
        <f>"LCK                           "</f>
        <v xml:space="preserve">LCK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16.04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1.7</v>
      </c>
      <c r="BK226">
        <v>2</v>
      </c>
      <c r="BL226" s="5">
        <v>92.57</v>
      </c>
      <c r="BM226" s="5">
        <v>13.89</v>
      </c>
      <c r="BN226" s="5">
        <v>106.46</v>
      </c>
      <c r="BO226" s="5">
        <v>106.46</v>
      </c>
      <c r="BQ226" t="s">
        <v>83</v>
      </c>
      <c r="BR226" t="s">
        <v>84</v>
      </c>
      <c r="BS226" s="1">
        <v>43670</v>
      </c>
      <c r="BT226" s="2">
        <v>0.61944444444444446</v>
      </c>
      <c r="BU226" t="s">
        <v>229</v>
      </c>
      <c r="BV226" t="s">
        <v>86</v>
      </c>
      <c r="BY226">
        <v>8336.89</v>
      </c>
      <c r="BZ226" t="s">
        <v>23</v>
      </c>
      <c r="CA226" t="s">
        <v>529</v>
      </c>
      <c r="CC226" t="s">
        <v>81</v>
      </c>
      <c r="CD226">
        <v>8600</v>
      </c>
      <c r="CE226" t="s">
        <v>78</v>
      </c>
      <c r="CF226" s="1">
        <v>43675</v>
      </c>
      <c r="CI226">
        <v>1</v>
      </c>
      <c r="CJ226">
        <v>1</v>
      </c>
      <c r="CK226">
        <v>23</v>
      </c>
      <c r="CL226" t="s">
        <v>76</v>
      </c>
    </row>
    <row r="227" spans="1:90">
      <c r="A227" t="s">
        <v>62</v>
      </c>
      <c r="B227" t="s">
        <v>63</v>
      </c>
      <c r="C227" t="s">
        <v>64</v>
      </c>
      <c r="E227" t="str">
        <f>"009938391974"</f>
        <v>009938391974</v>
      </c>
      <c r="F227" s="1">
        <v>43669</v>
      </c>
      <c r="G227">
        <v>202001</v>
      </c>
      <c r="H227" t="s">
        <v>65</v>
      </c>
      <c r="I227" t="s">
        <v>66</v>
      </c>
      <c r="J227" t="s">
        <v>67</v>
      </c>
      <c r="K227" t="s">
        <v>68</v>
      </c>
      <c r="L227" t="s">
        <v>444</v>
      </c>
      <c r="M227" t="s">
        <v>445</v>
      </c>
      <c r="N227" t="s">
        <v>446</v>
      </c>
      <c r="O227" t="s">
        <v>120</v>
      </c>
      <c r="P227" t="str">
        <f>"FIELD                         "</f>
        <v xml:space="preserve">FIELD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26.91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0.7</v>
      </c>
      <c r="BJ227">
        <v>3.1</v>
      </c>
      <c r="BK227">
        <v>3.5</v>
      </c>
      <c r="BL227" s="5">
        <v>155.28</v>
      </c>
      <c r="BM227" s="5">
        <v>23.29</v>
      </c>
      <c r="BN227" s="5">
        <v>178.57</v>
      </c>
      <c r="BO227" s="5">
        <v>178.57</v>
      </c>
      <c r="BQ227" t="s">
        <v>447</v>
      </c>
      <c r="BR227" t="s">
        <v>84</v>
      </c>
      <c r="BS227" s="1">
        <v>43672</v>
      </c>
      <c r="BT227" s="2">
        <v>0.39999999999999997</v>
      </c>
      <c r="BU227" t="s">
        <v>530</v>
      </c>
      <c r="BV227" t="s">
        <v>86</v>
      </c>
      <c r="BY227">
        <v>15259.05</v>
      </c>
      <c r="BZ227" t="s">
        <v>23</v>
      </c>
      <c r="CC227" t="s">
        <v>445</v>
      </c>
      <c r="CD227">
        <v>8800</v>
      </c>
      <c r="CE227" t="s">
        <v>78</v>
      </c>
      <c r="CI227">
        <v>3</v>
      </c>
      <c r="CJ227">
        <v>3</v>
      </c>
      <c r="CK227">
        <v>23</v>
      </c>
      <c r="CL227" t="s">
        <v>76</v>
      </c>
    </row>
    <row r="228" spans="1:90">
      <c r="A228" t="s">
        <v>62</v>
      </c>
      <c r="B228" t="s">
        <v>63</v>
      </c>
      <c r="C228" t="s">
        <v>64</v>
      </c>
      <c r="E228" t="str">
        <f>"009938769139"</f>
        <v>009938769139</v>
      </c>
      <c r="F228" s="1">
        <v>43669</v>
      </c>
      <c r="G228">
        <v>202001</v>
      </c>
      <c r="H228" t="s">
        <v>65</v>
      </c>
      <c r="I228" t="s">
        <v>66</v>
      </c>
      <c r="J228" t="s">
        <v>67</v>
      </c>
      <c r="K228" t="s">
        <v>68</v>
      </c>
      <c r="L228" t="s">
        <v>96</v>
      </c>
      <c r="M228" t="s">
        <v>97</v>
      </c>
      <c r="N228" t="s">
        <v>531</v>
      </c>
      <c r="O228" t="s">
        <v>72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81.78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5</v>
      </c>
      <c r="BI228">
        <v>151.5</v>
      </c>
      <c r="BJ228">
        <v>158.1</v>
      </c>
      <c r="BK228">
        <v>158</v>
      </c>
      <c r="BL228" s="5">
        <v>476.95</v>
      </c>
      <c r="BM228" s="5">
        <v>71.540000000000006</v>
      </c>
      <c r="BN228" s="5">
        <v>548.49</v>
      </c>
      <c r="BO228" s="5">
        <v>548.49</v>
      </c>
      <c r="BQ228" t="s">
        <v>203</v>
      </c>
      <c r="BR228" t="s">
        <v>84</v>
      </c>
      <c r="BS228" s="1">
        <v>43670</v>
      </c>
      <c r="BT228" s="2">
        <v>0.42777777777777781</v>
      </c>
      <c r="BU228" t="s">
        <v>330</v>
      </c>
      <c r="BV228" t="s">
        <v>86</v>
      </c>
      <c r="BY228">
        <v>790429.71</v>
      </c>
      <c r="CA228" t="s">
        <v>162</v>
      </c>
      <c r="CC228" t="s">
        <v>97</v>
      </c>
      <c r="CD228">
        <v>699</v>
      </c>
      <c r="CE228" t="s">
        <v>78</v>
      </c>
      <c r="CF228" s="1">
        <v>43675</v>
      </c>
      <c r="CI228">
        <v>1</v>
      </c>
      <c r="CJ228">
        <v>1</v>
      </c>
      <c r="CK228" t="s">
        <v>79</v>
      </c>
      <c r="CL228" t="s">
        <v>76</v>
      </c>
    </row>
    <row r="229" spans="1:90">
      <c r="A229" t="s">
        <v>62</v>
      </c>
      <c r="B229" t="s">
        <v>63</v>
      </c>
      <c r="C229" t="s">
        <v>64</v>
      </c>
      <c r="E229" t="str">
        <f>"029908430995"</f>
        <v>029908430995</v>
      </c>
      <c r="F229" s="1">
        <v>43669</v>
      </c>
      <c r="G229">
        <v>202001</v>
      </c>
      <c r="H229" t="s">
        <v>116</v>
      </c>
      <c r="I229" t="s">
        <v>117</v>
      </c>
      <c r="J229" t="s">
        <v>118</v>
      </c>
      <c r="K229" t="s">
        <v>68</v>
      </c>
      <c r="L229" t="s">
        <v>103</v>
      </c>
      <c r="M229" t="s">
        <v>104</v>
      </c>
      <c r="N229" t="s">
        <v>67</v>
      </c>
      <c r="O229" t="s">
        <v>72</v>
      </c>
      <c r="P229" t="str">
        <f>"190 723 0302                  "</f>
        <v xml:space="preserve">190 723 0302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15.52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 s="5">
        <v>94.58</v>
      </c>
      <c r="BM229" s="5">
        <v>14.19</v>
      </c>
      <c r="BN229" s="5">
        <v>108.77</v>
      </c>
      <c r="BO229" s="5">
        <v>108.77</v>
      </c>
      <c r="BQ229" t="s">
        <v>193</v>
      </c>
      <c r="BR229" t="s">
        <v>532</v>
      </c>
      <c r="BS229" s="1">
        <v>43670</v>
      </c>
      <c r="BT229" s="2">
        <v>0.35833333333333334</v>
      </c>
      <c r="BU229" t="s">
        <v>99</v>
      </c>
      <c r="BV229" t="s">
        <v>86</v>
      </c>
      <c r="BY229">
        <v>1200</v>
      </c>
      <c r="CA229" t="s">
        <v>94</v>
      </c>
      <c r="CC229" t="s">
        <v>104</v>
      </c>
      <c r="CD229">
        <v>2000</v>
      </c>
      <c r="CE229" t="s">
        <v>78</v>
      </c>
      <c r="CF229" s="1">
        <v>43672</v>
      </c>
      <c r="CI229">
        <v>1</v>
      </c>
      <c r="CJ229">
        <v>1</v>
      </c>
      <c r="CK229" t="s">
        <v>338</v>
      </c>
      <c r="CL229" t="s">
        <v>76</v>
      </c>
    </row>
    <row r="230" spans="1:90">
      <c r="A230" t="s">
        <v>62</v>
      </c>
      <c r="B230" t="s">
        <v>63</v>
      </c>
      <c r="C230" t="s">
        <v>64</v>
      </c>
      <c r="E230" t="str">
        <f>"019911183760"</f>
        <v>019911183760</v>
      </c>
      <c r="F230" s="1">
        <v>43669</v>
      </c>
      <c r="G230">
        <v>202001</v>
      </c>
      <c r="H230" t="s">
        <v>137</v>
      </c>
      <c r="I230" t="s">
        <v>138</v>
      </c>
      <c r="J230" t="s">
        <v>67</v>
      </c>
      <c r="K230" t="s">
        <v>68</v>
      </c>
      <c r="L230" t="s">
        <v>141</v>
      </c>
      <c r="M230" t="s">
        <v>99</v>
      </c>
      <c r="N230" t="s">
        <v>533</v>
      </c>
      <c r="O230" t="s">
        <v>72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15.52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0.4</v>
      </c>
      <c r="BJ230">
        <v>3.3</v>
      </c>
      <c r="BK230">
        <v>4</v>
      </c>
      <c r="BL230" s="5">
        <v>94.58</v>
      </c>
      <c r="BM230" s="5">
        <v>14.19</v>
      </c>
      <c r="BN230" s="5">
        <v>108.77</v>
      </c>
      <c r="BO230" s="5">
        <v>108.77</v>
      </c>
      <c r="BP230" t="s">
        <v>534</v>
      </c>
      <c r="BQ230" t="s">
        <v>299</v>
      </c>
      <c r="BR230" t="s">
        <v>535</v>
      </c>
      <c r="BS230" s="1">
        <v>43670</v>
      </c>
      <c r="BT230" s="2">
        <v>0.33333333333333331</v>
      </c>
      <c r="BU230" t="s">
        <v>103</v>
      </c>
      <c r="BV230" t="s">
        <v>86</v>
      </c>
      <c r="BY230">
        <v>16495.099999999999</v>
      </c>
      <c r="CC230" t="s">
        <v>99</v>
      </c>
      <c r="CD230">
        <v>6530</v>
      </c>
      <c r="CE230" t="s">
        <v>366</v>
      </c>
      <c r="CF230" s="1">
        <v>43672</v>
      </c>
      <c r="CI230">
        <v>0</v>
      </c>
      <c r="CJ230">
        <v>0</v>
      </c>
      <c r="CK230" t="s">
        <v>95</v>
      </c>
      <c r="CL230" t="s">
        <v>76</v>
      </c>
    </row>
    <row r="231" spans="1:90">
      <c r="A231" t="s">
        <v>62</v>
      </c>
      <c r="B231" t="s">
        <v>63</v>
      </c>
      <c r="C231" t="s">
        <v>64</v>
      </c>
      <c r="E231" t="str">
        <f>"009938891117"</f>
        <v>009938891117</v>
      </c>
      <c r="F231" s="1">
        <v>43669</v>
      </c>
      <c r="G231">
        <v>202001</v>
      </c>
      <c r="H231" t="s">
        <v>65</v>
      </c>
      <c r="I231" t="s">
        <v>66</v>
      </c>
      <c r="J231" t="s">
        <v>67</v>
      </c>
      <c r="K231" t="s">
        <v>68</v>
      </c>
      <c r="L231" t="s">
        <v>189</v>
      </c>
      <c r="M231" t="s">
        <v>190</v>
      </c>
      <c r="N231" t="s">
        <v>67</v>
      </c>
      <c r="O231" t="s">
        <v>72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55.9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35.700000000000003</v>
      </c>
      <c r="BJ231">
        <v>44.5</v>
      </c>
      <c r="BK231">
        <v>45</v>
      </c>
      <c r="BL231" s="5">
        <v>327.58</v>
      </c>
      <c r="BM231" s="5">
        <v>49.14</v>
      </c>
      <c r="BN231" s="5">
        <v>376.72</v>
      </c>
      <c r="BO231" s="5">
        <v>376.72</v>
      </c>
      <c r="BQ231" t="s">
        <v>192</v>
      </c>
      <c r="BR231" t="s">
        <v>84</v>
      </c>
      <c r="BS231" s="1">
        <v>43670</v>
      </c>
      <c r="BT231" s="2">
        <v>0.52569444444444446</v>
      </c>
      <c r="BU231" t="s">
        <v>536</v>
      </c>
      <c r="BV231" t="s">
        <v>86</v>
      </c>
      <c r="BY231">
        <v>222690.31</v>
      </c>
      <c r="CA231" t="s">
        <v>195</v>
      </c>
      <c r="CC231" t="s">
        <v>190</v>
      </c>
      <c r="CD231">
        <v>920</v>
      </c>
      <c r="CE231" t="s">
        <v>78</v>
      </c>
      <c r="CF231" s="1">
        <v>43675</v>
      </c>
      <c r="CI231">
        <v>1</v>
      </c>
      <c r="CJ231">
        <v>1</v>
      </c>
      <c r="CK231" t="s">
        <v>146</v>
      </c>
      <c r="CL231" t="s">
        <v>76</v>
      </c>
    </row>
    <row r="232" spans="1:90">
      <c r="A232" t="s">
        <v>62</v>
      </c>
      <c r="B232" t="s">
        <v>63</v>
      </c>
      <c r="C232" t="s">
        <v>64</v>
      </c>
      <c r="E232" t="str">
        <f>"009937645407"</f>
        <v>009937645407</v>
      </c>
      <c r="F232" s="1">
        <v>43669</v>
      </c>
      <c r="G232">
        <v>202001</v>
      </c>
      <c r="H232" t="s">
        <v>206</v>
      </c>
      <c r="I232" t="s">
        <v>207</v>
      </c>
      <c r="J232" t="s">
        <v>67</v>
      </c>
      <c r="K232" t="s">
        <v>68</v>
      </c>
      <c r="L232" t="s">
        <v>65</v>
      </c>
      <c r="M232" t="s">
        <v>66</v>
      </c>
      <c r="N232" t="s">
        <v>67</v>
      </c>
      <c r="O232" t="s">
        <v>72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35.799999999999997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32.9</v>
      </c>
      <c r="BJ232">
        <v>41</v>
      </c>
      <c r="BK232">
        <v>41</v>
      </c>
      <c r="BL232" s="5">
        <v>211.62</v>
      </c>
      <c r="BM232" s="5">
        <v>31.74</v>
      </c>
      <c r="BN232" s="5">
        <v>243.36</v>
      </c>
      <c r="BO232" s="5">
        <v>243.36</v>
      </c>
      <c r="BQ232" t="s">
        <v>173</v>
      </c>
      <c r="BR232" t="s">
        <v>312</v>
      </c>
      <c r="BS232" s="1">
        <v>43670</v>
      </c>
      <c r="BT232" s="2">
        <v>0.37847222222222227</v>
      </c>
      <c r="BU232" t="s">
        <v>100</v>
      </c>
      <c r="BV232" t="s">
        <v>86</v>
      </c>
      <c r="BY232">
        <v>205027.68</v>
      </c>
      <c r="CC232" t="s">
        <v>66</v>
      </c>
      <c r="CD232">
        <v>2146</v>
      </c>
      <c r="CE232" t="s">
        <v>78</v>
      </c>
      <c r="CF232" s="1">
        <v>43671</v>
      </c>
      <c r="CI232">
        <v>0</v>
      </c>
      <c r="CJ232">
        <v>0</v>
      </c>
      <c r="CK232" t="s">
        <v>115</v>
      </c>
      <c r="CL232" t="s">
        <v>76</v>
      </c>
    </row>
    <row r="233" spans="1:90">
      <c r="A233" t="s">
        <v>62</v>
      </c>
      <c r="B233" t="s">
        <v>63</v>
      </c>
      <c r="C233" t="s">
        <v>64</v>
      </c>
      <c r="E233" t="str">
        <f>"009935998574"</f>
        <v>009935998574</v>
      </c>
      <c r="F233" s="1">
        <v>43669</v>
      </c>
      <c r="G233">
        <v>202001</v>
      </c>
      <c r="H233" t="s">
        <v>65</v>
      </c>
      <c r="I233" t="s">
        <v>66</v>
      </c>
      <c r="J233" t="s">
        <v>67</v>
      </c>
      <c r="K233" t="s">
        <v>68</v>
      </c>
      <c r="L233" t="s">
        <v>181</v>
      </c>
      <c r="M233" t="s">
        <v>182</v>
      </c>
      <c r="N233" t="s">
        <v>537</v>
      </c>
      <c r="O233" t="s">
        <v>72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11.64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4.9000000000000004</v>
      </c>
      <c r="BJ233">
        <v>8.1</v>
      </c>
      <c r="BK233">
        <v>8</v>
      </c>
      <c r="BL233" s="5">
        <v>72.19</v>
      </c>
      <c r="BM233" s="5">
        <v>10.83</v>
      </c>
      <c r="BN233" s="5">
        <v>83.02</v>
      </c>
      <c r="BO233" s="5">
        <v>83.02</v>
      </c>
      <c r="BQ233" t="s">
        <v>241</v>
      </c>
      <c r="BR233" t="s">
        <v>144</v>
      </c>
      <c r="BS233" s="1">
        <v>43670</v>
      </c>
      <c r="BT233" s="2">
        <v>0.48958333333333331</v>
      </c>
      <c r="BU233" t="s">
        <v>334</v>
      </c>
      <c r="BV233" t="s">
        <v>86</v>
      </c>
      <c r="BY233">
        <v>40439.199999999997</v>
      </c>
      <c r="CC233" t="s">
        <v>182</v>
      </c>
      <c r="CD233">
        <v>9301</v>
      </c>
      <c r="CE233" t="s">
        <v>78</v>
      </c>
      <c r="CF233" s="1">
        <v>43670</v>
      </c>
      <c r="CI233">
        <v>1</v>
      </c>
      <c r="CJ233">
        <v>1</v>
      </c>
      <c r="CK233" t="s">
        <v>79</v>
      </c>
      <c r="CL233" t="s">
        <v>76</v>
      </c>
    </row>
    <row r="234" spans="1:90">
      <c r="A234" t="s">
        <v>62</v>
      </c>
      <c r="B234" t="s">
        <v>63</v>
      </c>
      <c r="C234" t="s">
        <v>64</v>
      </c>
      <c r="E234" t="str">
        <f>"009938391978"</f>
        <v>009938391978</v>
      </c>
      <c r="F234" s="1">
        <v>43669</v>
      </c>
      <c r="G234">
        <v>202001</v>
      </c>
      <c r="H234" t="s">
        <v>65</v>
      </c>
      <c r="I234" t="s">
        <v>66</v>
      </c>
      <c r="J234" t="s">
        <v>67</v>
      </c>
      <c r="K234" t="s">
        <v>68</v>
      </c>
      <c r="L234" t="s">
        <v>450</v>
      </c>
      <c r="M234" t="s">
        <v>451</v>
      </c>
      <c r="N234" t="s">
        <v>452</v>
      </c>
      <c r="O234" t="s">
        <v>72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22.43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15.2</v>
      </c>
      <c r="BJ234">
        <v>36.700000000000003</v>
      </c>
      <c r="BK234">
        <v>37</v>
      </c>
      <c r="BL234" s="5">
        <v>134.46</v>
      </c>
      <c r="BM234" s="5">
        <v>20.170000000000002</v>
      </c>
      <c r="BN234" s="5">
        <v>154.63</v>
      </c>
      <c r="BO234" s="5">
        <v>154.63</v>
      </c>
      <c r="BQ234" t="s">
        <v>453</v>
      </c>
      <c r="BR234" t="s">
        <v>74</v>
      </c>
      <c r="BS234" s="1">
        <v>43670</v>
      </c>
      <c r="BT234" s="2">
        <v>0.35416666666666669</v>
      </c>
      <c r="BU234" t="s">
        <v>453</v>
      </c>
      <c r="BV234" t="s">
        <v>86</v>
      </c>
      <c r="BY234">
        <v>183456</v>
      </c>
      <c r="CC234" t="s">
        <v>451</v>
      </c>
      <c r="CD234">
        <v>2940</v>
      </c>
      <c r="CE234" t="s">
        <v>78</v>
      </c>
      <c r="CI234">
        <v>1</v>
      </c>
      <c r="CJ234">
        <v>1</v>
      </c>
      <c r="CK234" t="s">
        <v>291</v>
      </c>
      <c r="CL234" t="s">
        <v>76</v>
      </c>
    </row>
    <row r="235" spans="1:90">
      <c r="A235" t="s">
        <v>62</v>
      </c>
      <c r="B235" t="s">
        <v>63</v>
      </c>
      <c r="C235" t="s">
        <v>64</v>
      </c>
      <c r="E235" t="str">
        <f>"009938391975"</f>
        <v>009938391975</v>
      </c>
      <c r="F235" s="1">
        <v>43669</v>
      </c>
      <c r="G235">
        <v>202001</v>
      </c>
      <c r="H235" t="s">
        <v>65</v>
      </c>
      <c r="I235" t="s">
        <v>66</v>
      </c>
      <c r="J235" t="s">
        <v>67</v>
      </c>
      <c r="K235" t="s">
        <v>68</v>
      </c>
      <c r="L235" t="s">
        <v>116</v>
      </c>
      <c r="M235" t="s">
        <v>117</v>
      </c>
      <c r="N235" t="s">
        <v>538</v>
      </c>
      <c r="O235" t="s">
        <v>72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22.92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12.6</v>
      </c>
      <c r="BJ235">
        <v>37.200000000000003</v>
      </c>
      <c r="BK235">
        <v>38</v>
      </c>
      <c r="BL235" s="5">
        <v>137.29</v>
      </c>
      <c r="BM235" s="5">
        <v>20.59</v>
      </c>
      <c r="BN235" s="5">
        <v>157.88</v>
      </c>
      <c r="BO235" s="5">
        <v>157.88</v>
      </c>
      <c r="BQ235" t="s">
        <v>209</v>
      </c>
      <c r="BR235" t="s">
        <v>74</v>
      </c>
      <c r="BS235" s="1">
        <v>43670</v>
      </c>
      <c r="BT235" s="2">
        <v>0.50486111111111109</v>
      </c>
      <c r="BU235" t="s">
        <v>539</v>
      </c>
      <c r="BV235" t="s">
        <v>86</v>
      </c>
      <c r="BY235">
        <v>185766.64</v>
      </c>
      <c r="CA235" t="s">
        <v>290</v>
      </c>
      <c r="CC235" t="s">
        <v>117</v>
      </c>
      <c r="CD235">
        <v>4000</v>
      </c>
      <c r="CE235" t="s">
        <v>78</v>
      </c>
      <c r="CF235" s="1">
        <v>43670</v>
      </c>
      <c r="CI235">
        <v>1</v>
      </c>
      <c r="CJ235">
        <v>1</v>
      </c>
      <c r="CK235" t="s">
        <v>291</v>
      </c>
      <c r="CL235" t="s">
        <v>76</v>
      </c>
    </row>
    <row r="236" spans="1:90">
      <c r="A236" t="s">
        <v>62</v>
      </c>
      <c r="B236" t="s">
        <v>63</v>
      </c>
      <c r="C236" t="s">
        <v>64</v>
      </c>
      <c r="E236" t="str">
        <f>"009938769246"</f>
        <v>009938769246</v>
      </c>
      <c r="F236" s="1">
        <v>43669</v>
      </c>
      <c r="G236">
        <v>202001</v>
      </c>
      <c r="H236" t="s">
        <v>65</v>
      </c>
      <c r="I236" t="s">
        <v>66</v>
      </c>
      <c r="J236" t="s">
        <v>67</v>
      </c>
      <c r="K236" t="s">
        <v>68</v>
      </c>
      <c r="L236" t="s">
        <v>116</v>
      </c>
      <c r="M236" t="s">
        <v>117</v>
      </c>
      <c r="N236" t="s">
        <v>67</v>
      </c>
      <c r="O236" t="s">
        <v>72</v>
      </c>
      <c r="P236" t="str">
        <f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45.49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51.8</v>
      </c>
      <c r="BJ236">
        <v>83.8</v>
      </c>
      <c r="BK236">
        <v>84</v>
      </c>
      <c r="BL236" s="5">
        <v>267.5</v>
      </c>
      <c r="BM236" s="5">
        <v>40.130000000000003</v>
      </c>
      <c r="BN236" s="5">
        <v>307.63</v>
      </c>
      <c r="BO236" s="5">
        <v>307.63</v>
      </c>
      <c r="BQ236" t="s">
        <v>185</v>
      </c>
      <c r="BR236" t="s">
        <v>84</v>
      </c>
      <c r="BS236" s="1">
        <v>43670</v>
      </c>
      <c r="BT236" s="2">
        <v>0.50486111111111109</v>
      </c>
      <c r="BU236" t="s">
        <v>540</v>
      </c>
      <c r="BV236" t="s">
        <v>86</v>
      </c>
      <c r="BY236">
        <v>418833.29</v>
      </c>
      <c r="CA236" t="s">
        <v>290</v>
      </c>
      <c r="CC236" t="s">
        <v>117</v>
      </c>
      <c r="CD236">
        <v>4091</v>
      </c>
      <c r="CE236" t="s">
        <v>78</v>
      </c>
      <c r="CF236" s="1">
        <v>43670</v>
      </c>
      <c r="CI236">
        <v>1</v>
      </c>
      <c r="CJ236">
        <v>1</v>
      </c>
      <c r="CK236" t="s">
        <v>291</v>
      </c>
      <c r="CL236" t="s">
        <v>76</v>
      </c>
    </row>
    <row r="237" spans="1:90">
      <c r="A237" t="s">
        <v>62</v>
      </c>
      <c r="B237" t="s">
        <v>63</v>
      </c>
      <c r="C237" t="s">
        <v>64</v>
      </c>
      <c r="E237" t="str">
        <f>"R009937287959"</f>
        <v>R009937287959</v>
      </c>
      <c r="F237" s="1">
        <v>43669</v>
      </c>
      <c r="G237">
        <v>202001</v>
      </c>
      <c r="H237" t="s">
        <v>80</v>
      </c>
      <c r="I237" t="s">
        <v>81</v>
      </c>
      <c r="J237" t="s">
        <v>67</v>
      </c>
      <c r="K237" t="s">
        <v>68</v>
      </c>
      <c r="L237" t="s">
        <v>65</v>
      </c>
      <c r="M237" t="s">
        <v>66</v>
      </c>
      <c r="N237" t="s">
        <v>67</v>
      </c>
      <c r="O237" t="s">
        <v>541</v>
      </c>
      <c r="P237" t="str">
        <f>"STORES                        "</f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</v>
      </c>
      <c r="BK237">
        <v>0</v>
      </c>
      <c r="BL237" s="5">
        <v>0</v>
      </c>
      <c r="BM237" s="5">
        <v>0</v>
      </c>
      <c r="BN237" s="5">
        <v>0</v>
      </c>
      <c r="BO237" s="5">
        <v>0</v>
      </c>
      <c r="BQ237" t="s">
        <v>501</v>
      </c>
      <c r="BR237" t="s">
        <v>83</v>
      </c>
      <c r="BS237" s="1">
        <v>43670</v>
      </c>
      <c r="BT237" s="2">
        <v>0.37847222222222227</v>
      </c>
      <c r="BU237" t="s">
        <v>495</v>
      </c>
      <c r="BV237" t="s">
        <v>86</v>
      </c>
      <c r="BY237">
        <v>1200</v>
      </c>
      <c r="BZ237" t="s">
        <v>23</v>
      </c>
      <c r="CA237" t="s">
        <v>449</v>
      </c>
      <c r="CC237" t="s">
        <v>66</v>
      </c>
      <c r="CD237">
        <v>2146</v>
      </c>
      <c r="CF237" s="1">
        <v>43671</v>
      </c>
      <c r="CI237">
        <v>1</v>
      </c>
      <c r="CJ237">
        <v>1</v>
      </c>
      <c r="CL237" t="s">
        <v>76</v>
      </c>
    </row>
    <row r="238" spans="1:90">
      <c r="A238" t="s">
        <v>62</v>
      </c>
      <c r="B238" t="s">
        <v>63</v>
      </c>
      <c r="C238" t="s">
        <v>64</v>
      </c>
      <c r="E238" t="str">
        <f>"009935996436"</f>
        <v>009935996436</v>
      </c>
      <c r="F238" s="1">
        <v>43669</v>
      </c>
      <c r="G238">
        <v>202001</v>
      </c>
      <c r="H238" t="s">
        <v>65</v>
      </c>
      <c r="I238" t="s">
        <v>66</v>
      </c>
      <c r="J238" t="s">
        <v>67</v>
      </c>
      <c r="K238" t="s">
        <v>68</v>
      </c>
      <c r="L238" t="s">
        <v>108</v>
      </c>
      <c r="M238" t="s">
        <v>109</v>
      </c>
      <c r="N238" t="s">
        <v>168</v>
      </c>
      <c r="O238" t="s">
        <v>72</v>
      </c>
      <c r="P238" t="str">
        <f>"FIELD                         "</f>
        <v xml:space="preserve">FIELD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40.880000000000003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4.8</v>
      </c>
      <c r="BJ238">
        <v>47.9</v>
      </c>
      <c r="BK238">
        <v>48</v>
      </c>
      <c r="BL238" s="5">
        <v>240.92</v>
      </c>
      <c r="BM238" s="5">
        <v>36.14</v>
      </c>
      <c r="BN238" s="5">
        <v>277.06</v>
      </c>
      <c r="BO238" s="5">
        <v>277.06</v>
      </c>
      <c r="BQ238" t="s">
        <v>169</v>
      </c>
      <c r="BR238" t="s">
        <v>144</v>
      </c>
      <c r="BS238" s="1">
        <v>43671</v>
      </c>
      <c r="BT238" s="2">
        <v>0.51597222222222217</v>
      </c>
      <c r="BU238" t="s">
        <v>542</v>
      </c>
      <c r="BV238" t="s">
        <v>86</v>
      </c>
      <c r="BY238">
        <v>239444.96</v>
      </c>
      <c r="CA238" t="s">
        <v>337</v>
      </c>
      <c r="CC238" t="s">
        <v>109</v>
      </c>
      <c r="CD238">
        <v>6045</v>
      </c>
      <c r="CE238" t="s">
        <v>78</v>
      </c>
      <c r="CF238" s="1">
        <v>43671</v>
      </c>
      <c r="CI238">
        <v>2</v>
      </c>
      <c r="CJ238">
        <v>2</v>
      </c>
      <c r="CK238" t="s">
        <v>115</v>
      </c>
      <c r="CL238" t="s">
        <v>76</v>
      </c>
    </row>
    <row r="239" spans="1:90">
      <c r="A239" t="s">
        <v>62</v>
      </c>
      <c r="B239" t="s">
        <v>63</v>
      </c>
      <c r="C239" t="s">
        <v>64</v>
      </c>
      <c r="E239" t="str">
        <f>"009937287959"</f>
        <v>009937287959</v>
      </c>
      <c r="F239" s="1">
        <v>43665</v>
      </c>
      <c r="G239">
        <v>202001</v>
      </c>
      <c r="H239" t="s">
        <v>65</v>
      </c>
      <c r="I239" t="s">
        <v>66</v>
      </c>
      <c r="J239" t="s">
        <v>67</v>
      </c>
      <c r="K239" t="s">
        <v>68</v>
      </c>
      <c r="L239" t="s">
        <v>80</v>
      </c>
      <c r="M239" t="s">
        <v>81</v>
      </c>
      <c r="N239" t="s">
        <v>67</v>
      </c>
      <c r="O239" t="s">
        <v>72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20.18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5</v>
      </c>
      <c r="BJ239">
        <v>2.6</v>
      </c>
      <c r="BK239">
        <v>5</v>
      </c>
      <c r="BL239" s="5">
        <v>121.46</v>
      </c>
      <c r="BM239" s="5">
        <v>18.22</v>
      </c>
      <c r="BN239" s="5">
        <v>139.68</v>
      </c>
      <c r="BO239" s="5">
        <v>139.68</v>
      </c>
      <c r="BQ239" t="s">
        <v>83</v>
      </c>
      <c r="BR239" t="s">
        <v>501</v>
      </c>
      <c r="BS239" s="1">
        <v>43668</v>
      </c>
      <c r="BT239" s="2">
        <v>0.66736111111111107</v>
      </c>
      <c r="BU239" t="s">
        <v>543</v>
      </c>
      <c r="BV239" t="s">
        <v>86</v>
      </c>
      <c r="BY239">
        <v>12960</v>
      </c>
      <c r="CA239" t="s">
        <v>544</v>
      </c>
      <c r="CC239" t="s">
        <v>81</v>
      </c>
      <c r="CD239">
        <v>8600</v>
      </c>
      <c r="CE239" t="s">
        <v>78</v>
      </c>
      <c r="CI239">
        <v>1</v>
      </c>
      <c r="CJ239">
        <v>1</v>
      </c>
      <c r="CK239" t="s">
        <v>88</v>
      </c>
      <c r="CL239" t="s">
        <v>76</v>
      </c>
    </row>
    <row r="240" spans="1:90">
      <c r="A240" t="s">
        <v>62</v>
      </c>
      <c r="B240" t="s">
        <v>63</v>
      </c>
      <c r="C240" t="s">
        <v>64</v>
      </c>
      <c r="E240" t="str">
        <f>"089901508997"</f>
        <v>089901508997</v>
      </c>
      <c r="F240" s="1">
        <v>43670</v>
      </c>
      <c r="G240">
        <v>202001</v>
      </c>
      <c r="H240" t="s">
        <v>350</v>
      </c>
      <c r="I240" t="s">
        <v>351</v>
      </c>
      <c r="J240" t="s">
        <v>67</v>
      </c>
      <c r="K240" t="s">
        <v>68</v>
      </c>
      <c r="L240" t="s">
        <v>65</v>
      </c>
      <c r="M240" t="s">
        <v>66</v>
      </c>
      <c r="N240" t="s">
        <v>67</v>
      </c>
      <c r="O240" t="s">
        <v>72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83.12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3</v>
      </c>
      <c r="BI240">
        <v>93</v>
      </c>
      <c r="BJ240">
        <v>133.4</v>
      </c>
      <c r="BK240">
        <v>134</v>
      </c>
      <c r="BL240" s="5">
        <v>484.67</v>
      </c>
      <c r="BM240" s="5">
        <v>72.7</v>
      </c>
      <c r="BN240" s="5">
        <v>557.37</v>
      </c>
      <c r="BO240" s="5">
        <v>557.37</v>
      </c>
      <c r="BR240" t="s">
        <v>155</v>
      </c>
      <c r="BS240" s="1">
        <v>43671</v>
      </c>
      <c r="BT240" s="2">
        <v>0.39374999999999999</v>
      </c>
      <c r="BU240" t="s">
        <v>100</v>
      </c>
      <c r="BV240" t="s">
        <v>86</v>
      </c>
      <c r="BY240">
        <v>444040</v>
      </c>
      <c r="CC240" t="s">
        <v>66</v>
      </c>
      <c r="CD240">
        <v>2146</v>
      </c>
      <c r="CE240" t="s">
        <v>114</v>
      </c>
      <c r="CF240" s="1">
        <v>43672</v>
      </c>
      <c r="CI240">
        <v>1</v>
      </c>
      <c r="CJ240">
        <v>1</v>
      </c>
      <c r="CK240" t="s">
        <v>95</v>
      </c>
      <c r="CL240" t="s">
        <v>76</v>
      </c>
    </row>
    <row r="241" spans="1:90">
      <c r="A241" t="s">
        <v>62</v>
      </c>
      <c r="B241" t="s">
        <v>63</v>
      </c>
      <c r="C241" t="s">
        <v>64</v>
      </c>
      <c r="E241" t="str">
        <f>"039902747787"</f>
        <v>039902747787</v>
      </c>
      <c r="F241" s="1">
        <v>43670</v>
      </c>
      <c r="G241">
        <v>202001</v>
      </c>
      <c r="H241" t="s">
        <v>108</v>
      </c>
      <c r="I241" t="s">
        <v>109</v>
      </c>
      <c r="J241" t="s">
        <v>110</v>
      </c>
      <c r="K241" t="s">
        <v>68</v>
      </c>
      <c r="L241" t="s">
        <v>444</v>
      </c>
      <c r="M241" t="s">
        <v>445</v>
      </c>
      <c r="N241" t="s">
        <v>545</v>
      </c>
      <c r="O241" t="s">
        <v>72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20.18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0.9</v>
      </c>
      <c r="BJ241">
        <v>1.2</v>
      </c>
      <c r="BK241">
        <v>2</v>
      </c>
      <c r="BL241" s="5">
        <v>121.46</v>
      </c>
      <c r="BM241" s="5">
        <v>18.22</v>
      </c>
      <c r="BN241" s="5">
        <v>139.68</v>
      </c>
      <c r="BO241" s="5">
        <v>139.68</v>
      </c>
      <c r="BR241" t="s">
        <v>113</v>
      </c>
      <c r="BS241" s="1">
        <v>43677</v>
      </c>
      <c r="BT241" s="2">
        <v>0.4236111111111111</v>
      </c>
      <c r="BU241" t="s">
        <v>493</v>
      </c>
      <c r="BV241" t="s">
        <v>76</v>
      </c>
      <c r="BW241" t="s">
        <v>325</v>
      </c>
      <c r="BX241" t="s">
        <v>546</v>
      </c>
      <c r="BY241">
        <v>9660</v>
      </c>
      <c r="CC241" t="s">
        <v>445</v>
      </c>
      <c r="CD241">
        <v>8800</v>
      </c>
      <c r="CE241" t="s">
        <v>78</v>
      </c>
      <c r="CI241">
        <v>3</v>
      </c>
      <c r="CJ241">
        <v>5</v>
      </c>
      <c r="CK241" t="s">
        <v>146</v>
      </c>
      <c r="CL241" t="s">
        <v>76</v>
      </c>
    </row>
    <row r="242" spans="1:90">
      <c r="A242" t="s">
        <v>180</v>
      </c>
      <c r="B242" t="s">
        <v>63</v>
      </c>
      <c r="C242" t="s">
        <v>64</v>
      </c>
      <c r="E242" t="str">
        <f>"089901559867"</f>
        <v>089901559867</v>
      </c>
      <c r="F242" s="1">
        <v>43670</v>
      </c>
      <c r="G242">
        <v>202001</v>
      </c>
      <c r="H242" t="s">
        <v>181</v>
      </c>
      <c r="I242" t="s">
        <v>182</v>
      </c>
      <c r="J242" t="s">
        <v>67</v>
      </c>
      <c r="K242" t="s">
        <v>68</v>
      </c>
      <c r="L242" t="s">
        <v>103</v>
      </c>
      <c r="M242" t="s">
        <v>104</v>
      </c>
      <c r="N242" t="s">
        <v>547</v>
      </c>
      <c r="O242" t="s">
        <v>72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30.86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2</v>
      </c>
      <c r="BI242">
        <v>42</v>
      </c>
      <c r="BJ242">
        <v>41.7</v>
      </c>
      <c r="BK242">
        <v>42</v>
      </c>
      <c r="BL242" s="5">
        <v>183.09</v>
      </c>
      <c r="BM242" s="5">
        <v>27.46</v>
      </c>
      <c r="BN242" s="5">
        <v>210.55</v>
      </c>
      <c r="BO242" s="5">
        <v>210.55</v>
      </c>
      <c r="BQ242" t="s">
        <v>144</v>
      </c>
      <c r="BR242" t="s">
        <v>361</v>
      </c>
      <c r="BS242" s="1">
        <v>43671</v>
      </c>
      <c r="BT242" s="2">
        <v>0.39444444444444443</v>
      </c>
      <c r="BU242" t="s">
        <v>100</v>
      </c>
      <c r="BV242" t="s">
        <v>86</v>
      </c>
      <c r="BY242">
        <v>104130</v>
      </c>
      <c r="CC242" t="s">
        <v>104</v>
      </c>
      <c r="CD242">
        <v>2000</v>
      </c>
      <c r="CE242" t="s">
        <v>78</v>
      </c>
      <c r="CF242" s="1">
        <v>43672</v>
      </c>
      <c r="CI242">
        <v>1</v>
      </c>
      <c r="CJ242">
        <v>1</v>
      </c>
      <c r="CK242" t="s">
        <v>95</v>
      </c>
      <c r="CL242" t="s">
        <v>76</v>
      </c>
    </row>
    <row r="243" spans="1:90">
      <c r="A243" t="s">
        <v>62</v>
      </c>
      <c r="B243" t="s">
        <v>63</v>
      </c>
      <c r="C243" t="s">
        <v>64</v>
      </c>
      <c r="E243" t="str">
        <f>"009935987797"</f>
        <v>009935987797</v>
      </c>
      <c r="F243" s="1">
        <v>43670</v>
      </c>
      <c r="G243">
        <v>202001</v>
      </c>
      <c r="H243" t="s">
        <v>65</v>
      </c>
      <c r="I243" t="s">
        <v>66</v>
      </c>
      <c r="J243" t="s">
        <v>67</v>
      </c>
      <c r="K243" t="s">
        <v>68</v>
      </c>
      <c r="L243" t="s">
        <v>137</v>
      </c>
      <c r="M243" t="s">
        <v>138</v>
      </c>
      <c r="N243" t="s">
        <v>67</v>
      </c>
      <c r="O243" t="s">
        <v>120</v>
      </c>
      <c r="P243" t="str">
        <f>"LOCKS                         "</f>
        <v xml:space="preserve">LOCKS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8.2799999999999994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0.9</v>
      </c>
      <c r="BK243">
        <v>1</v>
      </c>
      <c r="BL243" s="5">
        <v>47.78</v>
      </c>
      <c r="BM243" s="5">
        <v>7.17</v>
      </c>
      <c r="BN243" s="5">
        <v>54.95</v>
      </c>
      <c r="BO243" s="5">
        <v>54.95</v>
      </c>
      <c r="BQ243" t="s">
        <v>140</v>
      </c>
      <c r="BR243" t="s">
        <v>144</v>
      </c>
      <c r="BS243" s="1">
        <v>43671</v>
      </c>
      <c r="BT243" s="2">
        <v>0.37222222222222223</v>
      </c>
      <c r="BU243" t="s">
        <v>548</v>
      </c>
      <c r="BV243" t="s">
        <v>86</v>
      </c>
      <c r="BY243">
        <v>4556.9799999999996</v>
      </c>
      <c r="BZ243" t="s">
        <v>23</v>
      </c>
      <c r="CA243" t="s">
        <v>372</v>
      </c>
      <c r="CC243" t="s">
        <v>138</v>
      </c>
      <c r="CD243">
        <v>7700</v>
      </c>
      <c r="CE243" t="s">
        <v>78</v>
      </c>
      <c r="CF243" s="1">
        <v>43671</v>
      </c>
      <c r="CI243">
        <v>1</v>
      </c>
      <c r="CJ243">
        <v>1</v>
      </c>
      <c r="CK243">
        <v>21</v>
      </c>
      <c r="CL243" t="s">
        <v>76</v>
      </c>
    </row>
    <row r="244" spans="1:90">
      <c r="A244" t="s">
        <v>62</v>
      </c>
      <c r="B244" t="s">
        <v>63</v>
      </c>
      <c r="C244" t="s">
        <v>64</v>
      </c>
      <c r="E244" t="str">
        <f>"009935185516"</f>
        <v>009935185516</v>
      </c>
      <c r="F244" s="1">
        <v>43670</v>
      </c>
      <c r="G244">
        <v>202001</v>
      </c>
      <c r="H244" t="s">
        <v>103</v>
      </c>
      <c r="I244" t="s">
        <v>104</v>
      </c>
      <c r="J244" t="s">
        <v>205</v>
      </c>
      <c r="K244" t="s">
        <v>68</v>
      </c>
      <c r="L244" t="s">
        <v>116</v>
      </c>
      <c r="M244" t="s">
        <v>117</v>
      </c>
      <c r="N244" t="s">
        <v>118</v>
      </c>
      <c r="O244" t="s">
        <v>120</v>
      </c>
      <c r="P244" t="str">
        <f>"...                           "</f>
        <v xml:space="preserve">...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8.2799999999999994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0.7</v>
      </c>
      <c r="BJ244">
        <v>1.8</v>
      </c>
      <c r="BK244">
        <v>2</v>
      </c>
      <c r="BL244" s="5">
        <v>47.78</v>
      </c>
      <c r="BM244" s="5">
        <v>7.17</v>
      </c>
      <c r="BN244" s="5">
        <v>54.95</v>
      </c>
      <c r="BO244" s="5">
        <v>54.95</v>
      </c>
      <c r="BQ244" t="s">
        <v>239</v>
      </c>
      <c r="BR244" t="s">
        <v>209</v>
      </c>
      <c r="BS244" s="1">
        <v>43671</v>
      </c>
      <c r="BT244" s="2">
        <v>0.35486111111111113</v>
      </c>
      <c r="BU244" t="s">
        <v>549</v>
      </c>
      <c r="BV244" t="s">
        <v>86</v>
      </c>
      <c r="BY244">
        <v>9011.5300000000007</v>
      </c>
      <c r="BZ244" t="s">
        <v>23</v>
      </c>
      <c r="CA244" t="s">
        <v>188</v>
      </c>
      <c r="CC244" t="s">
        <v>117</v>
      </c>
      <c r="CD244">
        <v>4091</v>
      </c>
      <c r="CE244" t="s">
        <v>78</v>
      </c>
      <c r="CF244" s="1">
        <v>43671</v>
      </c>
      <c r="CI244">
        <v>1</v>
      </c>
      <c r="CJ244">
        <v>1</v>
      </c>
      <c r="CK244">
        <v>21</v>
      </c>
      <c r="CL244" t="s">
        <v>76</v>
      </c>
    </row>
    <row r="245" spans="1:90">
      <c r="A245" t="s">
        <v>62</v>
      </c>
      <c r="B245" t="s">
        <v>63</v>
      </c>
      <c r="C245" t="s">
        <v>64</v>
      </c>
      <c r="E245" t="str">
        <f>"009938391972"</f>
        <v>009938391972</v>
      </c>
      <c r="F245" s="1">
        <v>43670</v>
      </c>
      <c r="G245">
        <v>202001</v>
      </c>
      <c r="H245" t="s">
        <v>103</v>
      </c>
      <c r="I245" t="s">
        <v>104</v>
      </c>
      <c r="J245" t="s">
        <v>205</v>
      </c>
      <c r="K245" t="s">
        <v>68</v>
      </c>
      <c r="L245" t="s">
        <v>152</v>
      </c>
      <c r="M245" t="s">
        <v>153</v>
      </c>
      <c r="N245" t="s">
        <v>267</v>
      </c>
      <c r="O245" t="s">
        <v>120</v>
      </c>
      <c r="P245" t="str">
        <f>"LOCKS                         "</f>
        <v xml:space="preserve">LOCKS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16.04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0.8</v>
      </c>
      <c r="BK245">
        <v>1</v>
      </c>
      <c r="BL245" s="5">
        <v>92.57</v>
      </c>
      <c r="BM245" s="5">
        <v>13.89</v>
      </c>
      <c r="BN245" s="5">
        <v>106.46</v>
      </c>
      <c r="BO245" s="5">
        <v>106.46</v>
      </c>
      <c r="BQ245" t="s">
        <v>550</v>
      </c>
      <c r="BR245" t="s">
        <v>84</v>
      </c>
      <c r="BS245" s="1">
        <v>43671</v>
      </c>
      <c r="BT245" s="2">
        <v>0.4284722222222222</v>
      </c>
      <c r="BU245" t="s">
        <v>156</v>
      </c>
      <c r="BV245" t="s">
        <v>86</v>
      </c>
      <c r="BY245">
        <v>4070.2</v>
      </c>
      <c r="BZ245" t="s">
        <v>23</v>
      </c>
      <c r="CA245" t="s">
        <v>157</v>
      </c>
      <c r="CC245" t="s">
        <v>153</v>
      </c>
      <c r="CD245">
        <v>850</v>
      </c>
      <c r="CE245" t="s">
        <v>78</v>
      </c>
      <c r="CF245" s="1">
        <v>43671</v>
      </c>
      <c r="CI245">
        <v>1</v>
      </c>
      <c r="CJ245">
        <v>1</v>
      </c>
      <c r="CK245">
        <v>23</v>
      </c>
      <c r="CL245" t="s">
        <v>76</v>
      </c>
    </row>
    <row r="246" spans="1:90">
      <c r="A246" t="s">
        <v>62</v>
      </c>
      <c r="B246" t="s">
        <v>63</v>
      </c>
      <c r="C246" t="s">
        <v>64</v>
      </c>
      <c r="E246" t="str">
        <f>"009935895261"</f>
        <v>009935895261</v>
      </c>
      <c r="F246" s="1">
        <v>43670</v>
      </c>
      <c r="G246">
        <v>202001</v>
      </c>
      <c r="H246" t="s">
        <v>65</v>
      </c>
      <c r="I246" t="s">
        <v>66</v>
      </c>
      <c r="J246" t="s">
        <v>67</v>
      </c>
      <c r="K246" t="s">
        <v>68</v>
      </c>
      <c r="L246" t="s">
        <v>216</v>
      </c>
      <c r="M246" t="s">
        <v>217</v>
      </c>
      <c r="N246" t="s">
        <v>551</v>
      </c>
      <c r="O246" t="s">
        <v>120</v>
      </c>
      <c r="P246" t="str">
        <f>"LOCKS                         "</f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11.64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0.6</v>
      </c>
      <c r="BK246">
        <v>1</v>
      </c>
      <c r="BL246" s="5">
        <v>67.19</v>
      </c>
      <c r="BM246" s="5">
        <v>10.08</v>
      </c>
      <c r="BN246" s="5">
        <v>77.27</v>
      </c>
      <c r="BO246" s="5">
        <v>77.27</v>
      </c>
      <c r="BQ246" t="s">
        <v>252</v>
      </c>
      <c r="BR246" t="s">
        <v>144</v>
      </c>
      <c r="BS246" s="1">
        <v>43671</v>
      </c>
      <c r="BT246" s="2">
        <v>0.33819444444444446</v>
      </c>
      <c r="BU246" t="s">
        <v>367</v>
      </c>
      <c r="BV246" t="s">
        <v>86</v>
      </c>
      <c r="BY246">
        <v>2886.35</v>
      </c>
      <c r="BZ246" t="s">
        <v>23</v>
      </c>
      <c r="CA246" t="s">
        <v>221</v>
      </c>
      <c r="CC246" t="s">
        <v>217</v>
      </c>
      <c r="CD246">
        <v>1034</v>
      </c>
      <c r="CE246" t="s">
        <v>78</v>
      </c>
      <c r="CF246" s="1">
        <v>43675</v>
      </c>
      <c r="CI246">
        <v>1</v>
      </c>
      <c r="CJ246">
        <v>1</v>
      </c>
      <c r="CK246">
        <v>24</v>
      </c>
      <c r="CL246" t="s">
        <v>76</v>
      </c>
    </row>
    <row r="247" spans="1:90">
      <c r="A247" t="s">
        <v>62</v>
      </c>
      <c r="B247" t="s">
        <v>63</v>
      </c>
      <c r="C247" t="s">
        <v>64</v>
      </c>
      <c r="E247" t="str">
        <f>"009935998575"</f>
        <v>009935998575</v>
      </c>
      <c r="F247" s="1">
        <v>43670</v>
      </c>
      <c r="G247">
        <v>202001</v>
      </c>
      <c r="H247" t="s">
        <v>65</v>
      </c>
      <c r="I247" t="s">
        <v>66</v>
      </c>
      <c r="J247" t="s">
        <v>67</v>
      </c>
      <c r="K247" t="s">
        <v>68</v>
      </c>
      <c r="L247" t="s">
        <v>181</v>
      </c>
      <c r="M247" t="s">
        <v>182</v>
      </c>
      <c r="N247" t="s">
        <v>552</v>
      </c>
      <c r="O247" t="s">
        <v>72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45.98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2</v>
      </c>
      <c r="BI247">
        <v>61</v>
      </c>
      <c r="BJ247">
        <v>84.5</v>
      </c>
      <c r="BK247">
        <v>85</v>
      </c>
      <c r="BL247" s="5">
        <v>270.33</v>
      </c>
      <c r="BM247" s="5">
        <v>40.549999999999997</v>
      </c>
      <c r="BN247" s="5">
        <v>310.88</v>
      </c>
      <c r="BO247" s="5">
        <v>310.88</v>
      </c>
      <c r="BQ247" t="s">
        <v>241</v>
      </c>
      <c r="BR247" t="s">
        <v>144</v>
      </c>
      <c r="BS247" s="1">
        <v>43671</v>
      </c>
      <c r="BT247" s="2">
        <v>0.41666666666666669</v>
      </c>
      <c r="BU247" t="s">
        <v>484</v>
      </c>
      <c r="BV247" t="s">
        <v>86</v>
      </c>
      <c r="BY247">
        <v>422400</v>
      </c>
      <c r="CA247" t="s">
        <v>553</v>
      </c>
      <c r="CC247" t="s">
        <v>182</v>
      </c>
      <c r="CD247">
        <v>9301</v>
      </c>
      <c r="CE247" t="s">
        <v>78</v>
      </c>
      <c r="CF247" s="1">
        <v>43671</v>
      </c>
      <c r="CI247">
        <v>1</v>
      </c>
      <c r="CJ247">
        <v>1</v>
      </c>
      <c r="CK247" t="s">
        <v>79</v>
      </c>
      <c r="CL247" t="s">
        <v>76</v>
      </c>
    </row>
    <row r="248" spans="1:90">
      <c r="A248" t="s">
        <v>62</v>
      </c>
      <c r="B248" t="s">
        <v>63</v>
      </c>
      <c r="C248" t="s">
        <v>64</v>
      </c>
      <c r="E248" t="str">
        <f>"009938391971"</f>
        <v>009938391971</v>
      </c>
      <c r="F248" s="1">
        <v>43670</v>
      </c>
      <c r="G248">
        <v>202001</v>
      </c>
      <c r="H248" t="s">
        <v>103</v>
      </c>
      <c r="I248" t="s">
        <v>104</v>
      </c>
      <c r="J248" t="s">
        <v>205</v>
      </c>
      <c r="K248" t="s">
        <v>68</v>
      </c>
      <c r="L248" t="s">
        <v>277</v>
      </c>
      <c r="M248" t="s">
        <v>278</v>
      </c>
      <c r="N248" t="s">
        <v>279</v>
      </c>
      <c r="O248" t="s">
        <v>72</v>
      </c>
      <c r="P248" t="str">
        <f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35.659999999999997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27</v>
      </c>
      <c r="BJ248">
        <v>42.2</v>
      </c>
      <c r="BK248">
        <v>43</v>
      </c>
      <c r="BL248" s="5">
        <v>210.77</v>
      </c>
      <c r="BM248" s="5">
        <v>31.62</v>
      </c>
      <c r="BN248" s="5">
        <v>242.39</v>
      </c>
      <c r="BO248" s="5">
        <v>242.39</v>
      </c>
      <c r="BQ248" t="s">
        <v>280</v>
      </c>
      <c r="BR248" t="s">
        <v>84</v>
      </c>
      <c r="BS248" s="1">
        <v>43671</v>
      </c>
      <c r="BT248" s="2">
        <v>0.60069444444444442</v>
      </c>
      <c r="BU248" t="s">
        <v>246</v>
      </c>
      <c r="BV248" t="s">
        <v>86</v>
      </c>
      <c r="BY248">
        <v>211200</v>
      </c>
      <c r="CA248" t="s">
        <v>282</v>
      </c>
      <c r="CC248" t="s">
        <v>278</v>
      </c>
      <c r="CD248">
        <v>9700</v>
      </c>
      <c r="CE248" t="s">
        <v>78</v>
      </c>
      <c r="CF248" s="1">
        <v>43675</v>
      </c>
      <c r="CI248">
        <v>1</v>
      </c>
      <c r="CJ248">
        <v>1</v>
      </c>
      <c r="CK248" t="s">
        <v>262</v>
      </c>
      <c r="CL248" t="s">
        <v>76</v>
      </c>
    </row>
    <row r="249" spans="1:90">
      <c r="A249" t="s">
        <v>62</v>
      </c>
      <c r="B249" t="s">
        <v>63</v>
      </c>
      <c r="C249" t="s">
        <v>64</v>
      </c>
      <c r="E249" t="str">
        <f>"009935895311"</f>
        <v>009935895311</v>
      </c>
      <c r="F249" s="1">
        <v>43670</v>
      </c>
      <c r="G249">
        <v>202001</v>
      </c>
      <c r="H249" t="s">
        <v>65</v>
      </c>
      <c r="I249" t="s">
        <v>66</v>
      </c>
      <c r="J249" t="s">
        <v>67</v>
      </c>
      <c r="K249" t="s">
        <v>68</v>
      </c>
      <c r="L249" t="s">
        <v>216</v>
      </c>
      <c r="M249" t="s">
        <v>217</v>
      </c>
      <c r="N249" t="s">
        <v>67</v>
      </c>
      <c r="O249" t="s">
        <v>72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31.43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28</v>
      </c>
      <c r="BJ249">
        <v>42.2</v>
      </c>
      <c r="BK249">
        <v>43</v>
      </c>
      <c r="BL249" s="5">
        <v>186.37</v>
      </c>
      <c r="BM249" s="5">
        <v>27.96</v>
      </c>
      <c r="BN249" s="5">
        <v>214.33</v>
      </c>
      <c r="BO249" s="5">
        <v>214.33</v>
      </c>
      <c r="BQ249" t="s">
        <v>219</v>
      </c>
      <c r="BR249" t="s">
        <v>144</v>
      </c>
      <c r="BS249" s="1">
        <v>43671</v>
      </c>
      <c r="BT249" s="2">
        <v>0.34722222222222227</v>
      </c>
      <c r="BU249" t="s">
        <v>367</v>
      </c>
      <c r="BV249" t="s">
        <v>86</v>
      </c>
      <c r="BY249">
        <v>211200</v>
      </c>
      <c r="CA249" t="s">
        <v>221</v>
      </c>
      <c r="CC249" t="s">
        <v>217</v>
      </c>
      <c r="CD249">
        <v>1034</v>
      </c>
      <c r="CE249" t="s">
        <v>78</v>
      </c>
      <c r="CF249" s="1">
        <v>43675</v>
      </c>
      <c r="CI249">
        <v>1</v>
      </c>
      <c r="CJ249">
        <v>1</v>
      </c>
      <c r="CK249" t="s">
        <v>95</v>
      </c>
      <c r="CL249" t="s">
        <v>76</v>
      </c>
    </row>
    <row r="250" spans="1:90">
      <c r="A250" t="s">
        <v>62</v>
      </c>
      <c r="B250" t="s">
        <v>63</v>
      </c>
      <c r="C250" t="s">
        <v>64</v>
      </c>
      <c r="E250" t="str">
        <f>"009938391973"</f>
        <v>009938391973</v>
      </c>
      <c r="F250" s="1">
        <v>43670</v>
      </c>
      <c r="G250">
        <v>202001</v>
      </c>
      <c r="H250" t="s">
        <v>65</v>
      </c>
      <c r="I250" t="s">
        <v>66</v>
      </c>
      <c r="J250" t="s">
        <v>205</v>
      </c>
      <c r="K250" t="s">
        <v>68</v>
      </c>
      <c r="L250" t="s">
        <v>101</v>
      </c>
      <c r="M250" t="s">
        <v>102</v>
      </c>
      <c r="N250" t="s">
        <v>554</v>
      </c>
      <c r="O250" t="s">
        <v>72</v>
      </c>
      <c r="P250" t="str">
        <f>"STORES                        "</f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35.659999999999997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15</v>
      </c>
      <c r="BJ250">
        <v>42.2</v>
      </c>
      <c r="BK250">
        <v>43</v>
      </c>
      <c r="BL250" s="5">
        <v>210.77</v>
      </c>
      <c r="BM250" s="5">
        <v>31.62</v>
      </c>
      <c r="BN250" s="5">
        <v>242.39</v>
      </c>
      <c r="BO250" s="5">
        <v>242.39</v>
      </c>
      <c r="BQ250" t="s">
        <v>555</v>
      </c>
      <c r="BS250" s="1">
        <v>43671</v>
      </c>
      <c r="BT250" s="2">
        <v>0.41666666666666669</v>
      </c>
      <c r="BU250" t="s">
        <v>471</v>
      </c>
      <c r="BV250" t="s">
        <v>86</v>
      </c>
      <c r="BY250">
        <v>211200</v>
      </c>
      <c r="CA250" t="s">
        <v>556</v>
      </c>
      <c r="CC250" t="s">
        <v>102</v>
      </c>
      <c r="CD250">
        <v>9459</v>
      </c>
      <c r="CE250" t="s">
        <v>78</v>
      </c>
      <c r="CF250" s="1">
        <v>43675</v>
      </c>
      <c r="CI250">
        <v>1</v>
      </c>
      <c r="CJ250">
        <v>1</v>
      </c>
      <c r="CK250" t="s">
        <v>262</v>
      </c>
      <c r="CL250" t="s">
        <v>76</v>
      </c>
    </row>
    <row r="251" spans="1:90">
      <c r="A251" t="s">
        <v>62</v>
      </c>
      <c r="B251" t="s">
        <v>63</v>
      </c>
      <c r="C251" t="s">
        <v>64</v>
      </c>
      <c r="E251" t="str">
        <f>"009938391970"</f>
        <v>009938391970</v>
      </c>
      <c r="F251" s="1">
        <v>43675</v>
      </c>
      <c r="G251">
        <v>202001</v>
      </c>
      <c r="H251" t="s">
        <v>65</v>
      </c>
      <c r="I251" t="s">
        <v>66</v>
      </c>
      <c r="J251" t="s">
        <v>67</v>
      </c>
      <c r="K251" t="s">
        <v>68</v>
      </c>
      <c r="L251" t="s">
        <v>557</v>
      </c>
      <c r="M251" t="s">
        <v>558</v>
      </c>
      <c r="N251" t="s">
        <v>67</v>
      </c>
      <c r="O251" t="s">
        <v>72</v>
      </c>
      <c r="P251" t="str">
        <f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32.24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3</v>
      </c>
      <c r="BI251">
        <v>42.7</v>
      </c>
      <c r="BJ251">
        <v>56.3</v>
      </c>
      <c r="BK251">
        <v>57</v>
      </c>
      <c r="BL251" s="5">
        <v>191.07</v>
      </c>
      <c r="BM251" s="5">
        <v>28.66</v>
      </c>
      <c r="BN251" s="5">
        <v>219.73</v>
      </c>
      <c r="BO251" s="5">
        <v>219.73</v>
      </c>
      <c r="BQ251" t="s">
        <v>422</v>
      </c>
      <c r="BR251" t="s">
        <v>74</v>
      </c>
      <c r="BS251" s="1">
        <v>43677</v>
      </c>
      <c r="BT251" s="2">
        <v>0.33680555555555558</v>
      </c>
      <c r="BU251" t="s">
        <v>559</v>
      </c>
      <c r="BV251" t="s">
        <v>76</v>
      </c>
      <c r="BY251">
        <v>281320.26</v>
      </c>
      <c r="CA251" t="s">
        <v>560</v>
      </c>
      <c r="CC251" t="s">
        <v>558</v>
      </c>
      <c r="CD251">
        <v>2570</v>
      </c>
      <c r="CE251" t="s">
        <v>78</v>
      </c>
      <c r="CF251" s="1">
        <v>43677</v>
      </c>
      <c r="CI251">
        <v>1</v>
      </c>
      <c r="CJ251">
        <v>2</v>
      </c>
      <c r="CK251" t="s">
        <v>79</v>
      </c>
      <c r="CL251" t="s">
        <v>76</v>
      </c>
    </row>
    <row r="252" spans="1:90">
      <c r="A252" t="s">
        <v>180</v>
      </c>
      <c r="B252" t="s">
        <v>63</v>
      </c>
      <c r="C252" t="s">
        <v>64</v>
      </c>
      <c r="E252" t="str">
        <f>"009938933441"</f>
        <v>009938933441</v>
      </c>
      <c r="F252" s="1">
        <v>43671</v>
      </c>
      <c r="G252">
        <v>202001</v>
      </c>
      <c r="H252" t="s">
        <v>450</v>
      </c>
      <c r="I252" t="s">
        <v>451</v>
      </c>
      <c r="J252" t="s">
        <v>67</v>
      </c>
      <c r="K252" t="s">
        <v>68</v>
      </c>
      <c r="L252" t="s">
        <v>65</v>
      </c>
      <c r="M252" t="s">
        <v>66</v>
      </c>
      <c r="N252" t="s">
        <v>67</v>
      </c>
      <c r="O252" t="s">
        <v>72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20.64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18.2</v>
      </c>
      <c r="BJ252">
        <v>23.6</v>
      </c>
      <c r="BK252">
        <v>24</v>
      </c>
      <c r="BL252" s="5">
        <v>124.09</v>
      </c>
      <c r="BM252" s="5">
        <v>18.61</v>
      </c>
      <c r="BN252" s="5">
        <v>142.69999999999999</v>
      </c>
      <c r="BO252" s="5">
        <v>142.69999999999999</v>
      </c>
      <c r="BQ252" t="s">
        <v>173</v>
      </c>
      <c r="BR252" t="s">
        <v>453</v>
      </c>
      <c r="BS252" s="1">
        <v>43672</v>
      </c>
      <c r="BT252" s="2">
        <v>0.39930555555555558</v>
      </c>
      <c r="BU252" t="s">
        <v>495</v>
      </c>
      <c r="BV252" t="s">
        <v>86</v>
      </c>
      <c r="BY252">
        <v>119358.76</v>
      </c>
      <c r="CA252" t="s">
        <v>449</v>
      </c>
      <c r="CC252" t="s">
        <v>66</v>
      </c>
      <c r="CD252">
        <v>2146</v>
      </c>
      <c r="CE252" t="s">
        <v>78</v>
      </c>
      <c r="CF252" s="1">
        <v>43676</v>
      </c>
      <c r="CI252">
        <v>1</v>
      </c>
      <c r="CJ252">
        <v>1</v>
      </c>
      <c r="CK252" t="s">
        <v>338</v>
      </c>
      <c r="CL252" t="s">
        <v>76</v>
      </c>
    </row>
    <row r="253" spans="1:90">
      <c r="A253" t="s">
        <v>62</v>
      </c>
      <c r="B253" t="s">
        <v>63</v>
      </c>
      <c r="C253" t="s">
        <v>64</v>
      </c>
      <c r="E253" t="str">
        <f>"039902814823"</f>
        <v>039902814823</v>
      </c>
      <c r="F253" s="1">
        <v>43671</v>
      </c>
      <c r="G253">
        <v>202001</v>
      </c>
      <c r="H253" t="s">
        <v>108</v>
      </c>
      <c r="I253" t="s">
        <v>109</v>
      </c>
      <c r="J253" t="s">
        <v>110</v>
      </c>
      <c r="K253" t="s">
        <v>68</v>
      </c>
      <c r="L253" t="s">
        <v>103</v>
      </c>
      <c r="M253" t="s">
        <v>104</v>
      </c>
      <c r="N253" t="s">
        <v>111</v>
      </c>
      <c r="O253" t="s">
        <v>72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16.95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 s="5">
        <v>102.81</v>
      </c>
      <c r="BM253" s="5">
        <v>15.42</v>
      </c>
      <c r="BN253" s="5">
        <v>118.23</v>
      </c>
      <c r="BO253" s="5">
        <v>118.23</v>
      </c>
      <c r="BQ253" t="s">
        <v>561</v>
      </c>
      <c r="BR253" t="s">
        <v>113</v>
      </c>
      <c r="BS253" s="1">
        <v>43675</v>
      </c>
      <c r="BT253" s="2">
        <v>0.3520833333333333</v>
      </c>
      <c r="BU253" t="s">
        <v>562</v>
      </c>
      <c r="BV253" t="s">
        <v>86</v>
      </c>
      <c r="BY253">
        <v>1200</v>
      </c>
      <c r="CA253" t="s">
        <v>563</v>
      </c>
      <c r="CC253" t="s">
        <v>104</v>
      </c>
      <c r="CD253">
        <v>2090</v>
      </c>
      <c r="CE253" t="s">
        <v>366</v>
      </c>
      <c r="CF253" s="1">
        <v>43675</v>
      </c>
      <c r="CI253">
        <v>2</v>
      </c>
      <c r="CJ253">
        <v>2</v>
      </c>
      <c r="CK253" t="s">
        <v>115</v>
      </c>
      <c r="CL253" t="s">
        <v>76</v>
      </c>
    </row>
    <row r="254" spans="1:90">
      <c r="A254" t="s">
        <v>62</v>
      </c>
      <c r="B254" t="s">
        <v>63</v>
      </c>
      <c r="C254" t="s">
        <v>64</v>
      </c>
      <c r="E254" t="str">
        <f>"009935185517"</f>
        <v>009935185517</v>
      </c>
      <c r="F254" s="1">
        <v>43671</v>
      </c>
      <c r="G254">
        <v>202001</v>
      </c>
      <c r="H254" t="s">
        <v>65</v>
      </c>
      <c r="I254" t="s">
        <v>66</v>
      </c>
      <c r="J254" t="s">
        <v>67</v>
      </c>
      <c r="K254" t="s">
        <v>68</v>
      </c>
      <c r="L254" t="s">
        <v>116</v>
      </c>
      <c r="M254" t="s">
        <v>117</v>
      </c>
      <c r="N254" t="s">
        <v>118</v>
      </c>
      <c r="O254" t="s">
        <v>120</v>
      </c>
      <c r="P254" t="str">
        <f>"LOCKS                         "</f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8.2799999999999994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1</v>
      </c>
      <c r="BK254">
        <v>1</v>
      </c>
      <c r="BL254" s="5">
        <v>47.78</v>
      </c>
      <c r="BM254" s="5">
        <v>7.17</v>
      </c>
      <c r="BN254" s="5">
        <v>54.95</v>
      </c>
      <c r="BO254" s="5">
        <v>54.95</v>
      </c>
      <c r="BQ254" t="s">
        <v>239</v>
      </c>
      <c r="BR254" t="s">
        <v>564</v>
      </c>
      <c r="BS254" s="1">
        <v>43672</v>
      </c>
      <c r="BT254" s="2">
        <v>0.36805555555555558</v>
      </c>
      <c r="BU254" t="s">
        <v>428</v>
      </c>
      <c r="BV254" t="s">
        <v>86</v>
      </c>
      <c r="BY254">
        <v>5232.32</v>
      </c>
      <c r="BZ254" t="s">
        <v>23</v>
      </c>
      <c r="CA254" t="s">
        <v>188</v>
      </c>
      <c r="CC254" t="s">
        <v>117</v>
      </c>
      <c r="CD254">
        <v>4091</v>
      </c>
      <c r="CE254" t="s">
        <v>78</v>
      </c>
      <c r="CF254" s="1">
        <v>43675</v>
      </c>
      <c r="CI254">
        <v>1</v>
      </c>
      <c r="CJ254">
        <v>1</v>
      </c>
      <c r="CK254">
        <v>21</v>
      </c>
      <c r="CL254" t="s">
        <v>76</v>
      </c>
    </row>
    <row r="255" spans="1:90">
      <c r="A255" t="s">
        <v>62</v>
      </c>
      <c r="B255" t="s">
        <v>63</v>
      </c>
      <c r="C255" t="s">
        <v>64</v>
      </c>
      <c r="E255" t="str">
        <f>"009938681263"</f>
        <v>009938681263</v>
      </c>
      <c r="F255" s="1">
        <v>43671</v>
      </c>
      <c r="G255">
        <v>202001</v>
      </c>
      <c r="H255" t="s">
        <v>65</v>
      </c>
      <c r="I255" t="s">
        <v>66</v>
      </c>
      <c r="J255" t="s">
        <v>67</v>
      </c>
      <c r="K255" t="s">
        <v>68</v>
      </c>
      <c r="L255" t="s">
        <v>206</v>
      </c>
      <c r="M255" t="s">
        <v>207</v>
      </c>
      <c r="N255" t="s">
        <v>67</v>
      </c>
      <c r="O255" t="s">
        <v>120</v>
      </c>
      <c r="P255" t="str">
        <f>"LOCKS                         "</f>
        <v xml:space="preserve">LOCKS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17.32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2.8</v>
      </c>
      <c r="BJ255">
        <v>2.9</v>
      </c>
      <c r="BK255">
        <v>3</v>
      </c>
      <c r="BL255" s="5">
        <v>99.93</v>
      </c>
      <c r="BM255" s="5">
        <v>14.99</v>
      </c>
      <c r="BN255" s="5">
        <v>114.92</v>
      </c>
      <c r="BO255" s="5">
        <v>114.92</v>
      </c>
      <c r="BQ255" t="s">
        <v>565</v>
      </c>
      <c r="BR255" t="s">
        <v>566</v>
      </c>
      <c r="BS255" s="1">
        <v>43677</v>
      </c>
      <c r="BT255" s="2">
        <v>0.3444444444444445</v>
      </c>
      <c r="BU255" t="s">
        <v>382</v>
      </c>
      <c r="BV255" t="s">
        <v>76</v>
      </c>
      <c r="BY255">
        <v>14706.94</v>
      </c>
      <c r="BZ255" t="s">
        <v>23</v>
      </c>
      <c r="CC255" t="s">
        <v>207</v>
      </c>
      <c r="CD255">
        <v>450</v>
      </c>
      <c r="CE255" t="s">
        <v>78</v>
      </c>
      <c r="CF255" s="1">
        <v>43677</v>
      </c>
      <c r="CI255">
        <v>1</v>
      </c>
      <c r="CJ255">
        <v>4</v>
      </c>
      <c r="CK255">
        <v>24</v>
      </c>
      <c r="CL255" t="s">
        <v>76</v>
      </c>
    </row>
    <row r="256" spans="1:90">
      <c r="A256" t="s">
        <v>62</v>
      </c>
      <c r="B256" t="s">
        <v>63</v>
      </c>
      <c r="C256" t="s">
        <v>64</v>
      </c>
      <c r="E256" t="str">
        <f>"009939030350"</f>
        <v>009939030350</v>
      </c>
      <c r="F256" s="1">
        <v>43671</v>
      </c>
      <c r="G256">
        <v>202001</v>
      </c>
      <c r="H256" t="s">
        <v>65</v>
      </c>
      <c r="I256" t="s">
        <v>66</v>
      </c>
      <c r="J256" t="s">
        <v>67</v>
      </c>
      <c r="K256" t="s">
        <v>68</v>
      </c>
      <c r="L256" t="s">
        <v>141</v>
      </c>
      <c r="M256" t="s">
        <v>99</v>
      </c>
      <c r="N256" t="s">
        <v>67</v>
      </c>
      <c r="O256" t="s">
        <v>120</v>
      </c>
      <c r="P256" t="str">
        <f>"LOCKS                         "</f>
        <v xml:space="preserve">LOCKS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14.49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1.5</v>
      </c>
      <c r="BJ256">
        <v>3.2</v>
      </c>
      <c r="BK256">
        <v>3.5</v>
      </c>
      <c r="BL256" s="5">
        <v>83.6</v>
      </c>
      <c r="BM256" s="5">
        <v>12.54</v>
      </c>
      <c r="BN256" s="5">
        <v>96.14</v>
      </c>
      <c r="BO256" s="5">
        <v>96.14</v>
      </c>
      <c r="BQ256" t="s">
        <v>178</v>
      </c>
      <c r="BR256" t="s">
        <v>144</v>
      </c>
      <c r="BS256" s="1">
        <v>43672</v>
      </c>
      <c r="BT256" s="2">
        <v>0.35416666666666669</v>
      </c>
      <c r="BU256" t="s">
        <v>179</v>
      </c>
      <c r="BV256" t="s">
        <v>86</v>
      </c>
      <c r="BY256">
        <v>16189.82</v>
      </c>
      <c r="BZ256" t="s">
        <v>23</v>
      </c>
      <c r="CC256" t="s">
        <v>99</v>
      </c>
      <c r="CD256">
        <v>6529</v>
      </c>
      <c r="CE256" t="s">
        <v>78</v>
      </c>
      <c r="CF256" s="1">
        <v>43675</v>
      </c>
      <c r="CI256">
        <v>1</v>
      </c>
      <c r="CJ256">
        <v>1</v>
      </c>
      <c r="CK256">
        <v>21</v>
      </c>
      <c r="CL256" t="s">
        <v>76</v>
      </c>
    </row>
    <row r="257" spans="1:90">
      <c r="A257" t="s">
        <v>62</v>
      </c>
      <c r="B257" t="s">
        <v>63</v>
      </c>
      <c r="C257" t="s">
        <v>64</v>
      </c>
      <c r="E257" t="str">
        <f>"009935895312"</f>
        <v>009935895312</v>
      </c>
      <c r="F257" s="1">
        <v>43671</v>
      </c>
      <c r="G257">
        <v>202001</v>
      </c>
      <c r="H257" t="s">
        <v>65</v>
      </c>
      <c r="I257" t="s">
        <v>66</v>
      </c>
      <c r="J257" t="s">
        <v>67</v>
      </c>
      <c r="K257" t="s">
        <v>68</v>
      </c>
      <c r="L257" t="s">
        <v>216</v>
      </c>
      <c r="M257" t="s">
        <v>217</v>
      </c>
      <c r="N257" t="s">
        <v>342</v>
      </c>
      <c r="O257" t="s">
        <v>72</v>
      </c>
      <c r="P257" t="str">
        <f>"STORES                        "</f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30.86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42</v>
      </c>
      <c r="BJ257">
        <v>36.799999999999997</v>
      </c>
      <c r="BK257">
        <v>42</v>
      </c>
      <c r="BL257" s="5">
        <v>183.09</v>
      </c>
      <c r="BM257" s="5">
        <v>27.46</v>
      </c>
      <c r="BN257" s="5">
        <v>210.55</v>
      </c>
      <c r="BO257" s="5">
        <v>210.55</v>
      </c>
      <c r="BQ257" t="s">
        <v>219</v>
      </c>
      <c r="BR257" t="s">
        <v>144</v>
      </c>
      <c r="BS257" t="s">
        <v>567</v>
      </c>
      <c r="BY257">
        <v>184149</v>
      </c>
      <c r="CC257" t="s">
        <v>217</v>
      </c>
      <c r="CD257">
        <v>1034</v>
      </c>
      <c r="CE257" t="s">
        <v>78</v>
      </c>
      <c r="CI257">
        <v>1</v>
      </c>
      <c r="CJ257" t="s">
        <v>567</v>
      </c>
      <c r="CK257" t="s">
        <v>95</v>
      </c>
      <c r="CL257" t="s">
        <v>76</v>
      </c>
    </row>
    <row r="258" spans="1:90">
      <c r="A258" t="s">
        <v>62</v>
      </c>
      <c r="B258" t="s">
        <v>63</v>
      </c>
      <c r="C258" t="s">
        <v>64</v>
      </c>
      <c r="E258" t="str">
        <f>"009938769142"</f>
        <v>009938769142</v>
      </c>
      <c r="F258" s="1">
        <v>43671</v>
      </c>
      <c r="G258">
        <v>202001</v>
      </c>
      <c r="H258" t="s">
        <v>65</v>
      </c>
      <c r="I258" t="s">
        <v>66</v>
      </c>
      <c r="J258" t="s">
        <v>67</v>
      </c>
      <c r="K258" t="s">
        <v>68</v>
      </c>
      <c r="L258" t="s">
        <v>96</v>
      </c>
      <c r="M258" t="s">
        <v>97</v>
      </c>
      <c r="N258" t="s">
        <v>302</v>
      </c>
      <c r="O258" t="s">
        <v>72</v>
      </c>
      <c r="P258" t="str">
        <f>"FIELD SERVICE                 "</f>
        <v xml:space="preserve">FIELD SERVICE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11.64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0.5</v>
      </c>
      <c r="BJ258">
        <v>2.6</v>
      </c>
      <c r="BK258">
        <v>3</v>
      </c>
      <c r="BL258" s="5">
        <v>72.19</v>
      </c>
      <c r="BM258" s="5">
        <v>10.83</v>
      </c>
      <c r="BN258" s="5">
        <v>83.02</v>
      </c>
      <c r="BO258" s="5">
        <v>83.02</v>
      </c>
      <c r="BQ258" t="s">
        <v>203</v>
      </c>
      <c r="BR258" t="s">
        <v>84</v>
      </c>
      <c r="BS258" s="1">
        <v>43672</v>
      </c>
      <c r="BT258" s="2">
        <v>0.4861111111111111</v>
      </c>
      <c r="BU258" t="s">
        <v>161</v>
      </c>
      <c r="BV258" t="s">
        <v>86</v>
      </c>
      <c r="BY258">
        <v>12917.12</v>
      </c>
      <c r="CA258" t="s">
        <v>160</v>
      </c>
      <c r="CC258" t="s">
        <v>97</v>
      </c>
      <c r="CD258">
        <v>699</v>
      </c>
      <c r="CE258" t="s">
        <v>78</v>
      </c>
      <c r="CF258" s="1">
        <v>43672</v>
      </c>
      <c r="CI258">
        <v>1</v>
      </c>
      <c r="CJ258">
        <v>1</v>
      </c>
      <c r="CK258" t="s">
        <v>79</v>
      </c>
      <c r="CL258" t="s">
        <v>76</v>
      </c>
    </row>
    <row r="259" spans="1:90">
      <c r="A259" t="s">
        <v>62</v>
      </c>
      <c r="B259" t="s">
        <v>63</v>
      </c>
      <c r="C259" t="s">
        <v>64</v>
      </c>
      <c r="E259" t="str">
        <f>"009935998576"</f>
        <v>009935998576</v>
      </c>
      <c r="F259" s="1">
        <v>43671</v>
      </c>
      <c r="G259">
        <v>202001</v>
      </c>
      <c r="H259" t="s">
        <v>103</v>
      </c>
      <c r="I259" t="s">
        <v>104</v>
      </c>
      <c r="J259" t="s">
        <v>205</v>
      </c>
      <c r="K259" t="s">
        <v>68</v>
      </c>
      <c r="L259" t="s">
        <v>181</v>
      </c>
      <c r="M259" t="s">
        <v>182</v>
      </c>
      <c r="N259" t="s">
        <v>67</v>
      </c>
      <c r="O259" t="s">
        <v>72</v>
      </c>
      <c r="P259" t="str">
        <f t="shared" ref="P259:P264" si="8"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11.64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4.8</v>
      </c>
      <c r="BJ259">
        <v>9.4</v>
      </c>
      <c r="BK259">
        <v>10</v>
      </c>
      <c r="BL259" s="5">
        <v>72.19</v>
      </c>
      <c r="BM259" s="5">
        <v>10.83</v>
      </c>
      <c r="BN259" s="5">
        <v>83.02</v>
      </c>
      <c r="BO259" s="5">
        <v>83.02</v>
      </c>
      <c r="BQ259" t="s">
        <v>241</v>
      </c>
      <c r="BR259" t="s">
        <v>144</v>
      </c>
      <c r="BS259" s="1">
        <v>43672</v>
      </c>
      <c r="BT259" s="2">
        <v>0.50347222222222221</v>
      </c>
      <c r="BU259" t="s">
        <v>568</v>
      </c>
      <c r="BV259" t="s">
        <v>86</v>
      </c>
      <c r="BY259">
        <v>47084.54</v>
      </c>
      <c r="CA259" t="s">
        <v>569</v>
      </c>
      <c r="CC259" t="s">
        <v>182</v>
      </c>
      <c r="CD259">
        <v>9301</v>
      </c>
      <c r="CE259" t="s">
        <v>78</v>
      </c>
      <c r="CF259" s="1">
        <v>43676</v>
      </c>
      <c r="CI259">
        <v>1</v>
      </c>
      <c r="CJ259">
        <v>1</v>
      </c>
      <c r="CK259" t="s">
        <v>79</v>
      </c>
      <c r="CL259" t="s">
        <v>76</v>
      </c>
    </row>
    <row r="260" spans="1:90">
      <c r="A260" t="s">
        <v>62</v>
      </c>
      <c r="B260" t="s">
        <v>63</v>
      </c>
      <c r="C260" t="s">
        <v>64</v>
      </c>
      <c r="E260" t="str">
        <f>"009938681283"</f>
        <v>009938681283</v>
      </c>
      <c r="F260" s="1">
        <v>43671</v>
      </c>
      <c r="G260">
        <v>202001</v>
      </c>
      <c r="H260" t="s">
        <v>65</v>
      </c>
      <c r="I260" t="s">
        <v>66</v>
      </c>
      <c r="J260" t="s">
        <v>67</v>
      </c>
      <c r="K260" t="s">
        <v>68</v>
      </c>
      <c r="L260" t="s">
        <v>206</v>
      </c>
      <c r="M260" t="s">
        <v>207</v>
      </c>
      <c r="N260" t="s">
        <v>67</v>
      </c>
      <c r="O260" t="s">
        <v>72</v>
      </c>
      <c r="P260" t="str">
        <f t="shared" si="8"/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41.61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10.1</v>
      </c>
      <c r="BJ260">
        <v>32.5</v>
      </c>
      <c r="BK260">
        <v>33</v>
      </c>
      <c r="BL260" s="5">
        <v>245.13</v>
      </c>
      <c r="BM260" s="5">
        <v>36.770000000000003</v>
      </c>
      <c r="BN260" s="5">
        <v>281.89999999999998</v>
      </c>
      <c r="BO260" s="5">
        <v>281.89999999999998</v>
      </c>
      <c r="BQ260" t="s">
        <v>570</v>
      </c>
      <c r="BR260" t="s">
        <v>84</v>
      </c>
      <c r="BS260" t="s">
        <v>567</v>
      </c>
      <c r="BY260">
        <v>162417.32</v>
      </c>
      <c r="CC260" t="s">
        <v>207</v>
      </c>
      <c r="CD260">
        <v>450</v>
      </c>
      <c r="CE260" t="s">
        <v>78</v>
      </c>
      <c r="CI260">
        <v>0</v>
      </c>
      <c r="CJ260">
        <v>0</v>
      </c>
      <c r="CK260" t="s">
        <v>88</v>
      </c>
      <c r="CL260" t="s">
        <v>76</v>
      </c>
    </row>
    <row r="261" spans="1:90">
      <c r="A261" t="s">
        <v>62</v>
      </c>
      <c r="B261" t="s">
        <v>63</v>
      </c>
      <c r="C261" t="s">
        <v>64</v>
      </c>
      <c r="E261" t="str">
        <f>"009938891157"</f>
        <v>009938891157</v>
      </c>
      <c r="F261" s="1">
        <v>43671</v>
      </c>
      <c r="G261">
        <v>202001</v>
      </c>
      <c r="H261" t="s">
        <v>65</v>
      </c>
      <c r="I261" t="s">
        <v>66</v>
      </c>
      <c r="J261" t="s">
        <v>67</v>
      </c>
      <c r="K261" t="s">
        <v>68</v>
      </c>
      <c r="L261" t="s">
        <v>206</v>
      </c>
      <c r="M261" t="s">
        <v>207</v>
      </c>
      <c r="N261" t="s">
        <v>67</v>
      </c>
      <c r="O261" t="s">
        <v>72</v>
      </c>
      <c r="P261" t="str">
        <f t="shared" si="8"/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53.52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10.199999999999999</v>
      </c>
      <c r="BJ261">
        <v>42.5</v>
      </c>
      <c r="BK261">
        <v>43</v>
      </c>
      <c r="BL261" s="5">
        <v>313.83999999999997</v>
      </c>
      <c r="BM261" s="5">
        <v>47.08</v>
      </c>
      <c r="BN261" s="5">
        <v>360.92</v>
      </c>
      <c r="BO261" s="5">
        <v>360.92</v>
      </c>
      <c r="BQ261" t="s">
        <v>254</v>
      </c>
      <c r="BR261" t="s">
        <v>84</v>
      </c>
      <c r="BS261" t="s">
        <v>567</v>
      </c>
      <c r="BY261">
        <v>212514.47</v>
      </c>
      <c r="CC261" t="s">
        <v>207</v>
      </c>
      <c r="CD261">
        <v>450</v>
      </c>
      <c r="CE261" t="s">
        <v>78</v>
      </c>
      <c r="CI261">
        <v>0</v>
      </c>
      <c r="CJ261">
        <v>0</v>
      </c>
      <c r="CK261" t="s">
        <v>88</v>
      </c>
      <c r="CL261" t="s">
        <v>76</v>
      </c>
    </row>
    <row r="262" spans="1:90">
      <c r="A262" t="s">
        <v>62</v>
      </c>
      <c r="B262" t="s">
        <v>63</v>
      </c>
      <c r="C262" t="s">
        <v>64</v>
      </c>
      <c r="E262" t="str">
        <f>"009937287960"</f>
        <v>009937287960</v>
      </c>
      <c r="F262" s="1">
        <v>43671</v>
      </c>
      <c r="G262">
        <v>202001</v>
      </c>
      <c r="H262" t="s">
        <v>65</v>
      </c>
      <c r="I262" t="s">
        <v>66</v>
      </c>
      <c r="J262" t="s">
        <v>67</v>
      </c>
      <c r="K262" t="s">
        <v>68</v>
      </c>
      <c r="L262" t="s">
        <v>80</v>
      </c>
      <c r="M262" t="s">
        <v>81</v>
      </c>
      <c r="N262" t="s">
        <v>67</v>
      </c>
      <c r="O262" t="s">
        <v>72</v>
      </c>
      <c r="P262" t="str">
        <f t="shared" si="8"/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58.28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21.3</v>
      </c>
      <c r="BJ262">
        <v>46.4</v>
      </c>
      <c r="BK262">
        <v>47</v>
      </c>
      <c r="BL262" s="5">
        <v>341.32</v>
      </c>
      <c r="BM262" s="5">
        <v>51.2</v>
      </c>
      <c r="BN262" s="5">
        <v>392.52</v>
      </c>
      <c r="BO262" s="5">
        <v>392.52</v>
      </c>
      <c r="BQ262" t="s">
        <v>83</v>
      </c>
      <c r="BR262" t="s">
        <v>144</v>
      </c>
      <c r="BS262" s="1">
        <v>43672</v>
      </c>
      <c r="BT262" s="2">
        <v>0.54791666666666672</v>
      </c>
      <c r="BU262" t="s">
        <v>229</v>
      </c>
      <c r="BV262" t="s">
        <v>86</v>
      </c>
      <c r="BY262">
        <v>232004.65</v>
      </c>
      <c r="CA262" t="s">
        <v>529</v>
      </c>
      <c r="CC262" t="s">
        <v>81</v>
      </c>
      <c r="CD262">
        <v>8600</v>
      </c>
      <c r="CE262" t="s">
        <v>78</v>
      </c>
      <c r="CF262" s="1">
        <v>43676</v>
      </c>
      <c r="CI262">
        <v>1</v>
      </c>
      <c r="CJ262">
        <v>1</v>
      </c>
      <c r="CK262" t="s">
        <v>88</v>
      </c>
      <c r="CL262" t="s">
        <v>76</v>
      </c>
    </row>
    <row r="263" spans="1:90">
      <c r="A263" t="s">
        <v>62</v>
      </c>
      <c r="B263" t="s">
        <v>63</v>
      </c>
      <c r="C263" t="s">
        <v>64</v>
      </c>
      <c r="E263" t="str">
        <f>"009938891389"</f>
        <v>009938891389</v>
      </c>
      <c r="F263" s="1">
        <v>43671</v>
      </c>
      <c r="G263">
        <v>202001</v>
      </c>
      <c r="H263" t="s">
        <v>65</v>
      </c>
      <c r="I263" t="s">
        <v>66</v>
      </c>
      <c r="J263" t="s">
        <v>67</v>
      </c>
      <c r="K263" t="s">
        <v>68</v>
      </c>
      <c r="L263" t="s">
        <v>122</v>
      </c>
      <c r="M263" t="s">
        <v>123</v>
      </c>
      <c r="N263" t="s">
        <v>571</v>
      </c>
      <c r="O263" t="s">
        <v>72</v>
      </c>
      <c r="P263" t="str">
        <f t="shared" si="8"/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55.28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62</v>
      </c>
      <c r="BJ263">
        <v>84.5</v>
      </c>
      <c r="BK263">
        <v>85</v>
      </c>
      <c r="BL263" s="5">
        <v>324.04000000000002</v>
      </c>
      <c r="BM263" s="5">
        <v>48.61</v>
      </c>
      <c r="BN263" s="5">
        <v>372.65</v>
      </c>
      <c r="BO263" s="5">
        <v>372.65</v>
      </c>
      <c r="BQ263" t="s">
        <v>331</v>
      </c>
      <c r="BR263" t="s">
        <v>84</v>
      </c>
      <c r="BS263" s="1">
        <v>43672</v>
      </c>
      <c r="BT263" s="2">
        <v>0.375</v>
      </c>
      <c r="BU263" t="s">
        <v>572</v>
      </c>
      <c r="BV263" t="s">
        <v>86</v>
      </c>
      <c r="BY263">
        <v>422400</v>
      </c>
      <c r="CA263" t="s">
        <v>573</v>
      </c>
      <c r="CC263" t="s">
        <v>123</v>
      </c>
      <c r="CD263">
        <v>299</v>
      </c>
      <c r="CE263" t="s">
        <v>78</v>
      </c>
      <c r="CF263" s="1">
        <v>43672</v>
      </c>
      <c r="CI263">
        <v>1</v>
      </c>
      <c r="CJ263">
        <v>1</v>
      </c>
      <c r="CK263" t="s">
        <v>95</v>
      </c>
      <c r="CL263" t="s">
        <v>76</v>
      </c>
    </row>
    <row r="264" spans="1:90">
      <c r="A264" t="s">
        <v>62</v>
      </c>
      <c r="B264" t="s">
        <v>63</v>
      </c>
      <c r="C264" t="s">
        <v>64</v>
      </c>
      <c r="E264" t="str">
        <f>"009935996438"</f>
        <v>009935996438</v>
      </c>
      <c r="F264" s="1">
        <v>43671</v>
      </c>
      <c r="G264">
        <v>202001</v>
      </c>
      <c r="H264" t="s">
        <v>65</v>
      </c>
      <c r="I264" t="s">
        <v>66</v>
      </c>
      <c r="J264" t="s">
        <v>67</v>
      </c>
      <c r="K264" t="s">
        <v>68</v>
      </c>
      <c r="L264" t="s">
        <v>108</v>
      </c>
      <c r="M264" t="s">
        <v>109</v>
      </c>
      <c r="N264" t="s">
        <v>168</v>
      </c>
      <c r="O264" t="s">
        <v>72</v>
      </c>
      <c r="P264" t="str">
        <f t="shared" si="8"/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43.78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2</v>
      </c>
      <c r="BI264">
        <v>40.4</v>
      </c>
      <c r="BJ264">
        <v>51.8</v>
      </c>
      <c r="BK264">
        <v>52</v>
      </c>
      <c r="BL264" s="5">
        <v>257.66000000000003</v>
      </c>
      <c r="BM264" s="5">
        <v>38.65</v>
      </c>
      <c r="BN264" s="5">
        <v>296.31</v>
      </c>
      <c r="BO264" s="5">
        <v>296.31</v>
      </c>
      <c r="BQ264" t="s">
        <v>169</v>
      </c>
      <c r="BR264" t="s">
        <v>144</v>
      </c>
      <c r="BS264" s="1">
        <v>43675</v>
      </c>
      <c r="BT264" s="2">
        <v>0.48680555555555555</v>
      </c>
      <c r="BU264" t="s">
        <v>574</v>
      </c>
      <c r="BV264" t="s">
        <v>86</v>
      </c>
      <c r="BY264">
        <v>258852.94</v>
      </c>
      <c r="CA264" t="s">
        <v>171</v>
      </c>
      <c r="CC264" t="s">
        <v>109</v>
      </c>
      <c r="CD264">
        <v>6055</v>
      </c>
      <c r="CE264" t="s">
        <v>78</v>
      </c>
      <c r="CF264" s="1">
        <v>43675</v>
      </c>
      <c r="CI264">
        <v>2</v>
      </c>
      <c r="CJ264">
        <v>2</v>
      </c>
      <c r="CK264" t="s">
        <v>115</v>
      </c>
      <c r="CL264" t="s">
        <v>76</v>
      </c>
    </row>
    <row r="265" spans="1:90">
      <c r="A265" t="s">
        <v>62</v>
      </c>
      <c r="B265" t="s">
        <v>63</v>
      </c>
      <c r="C265" t="s">
        <v>64</v>
      </c>
      <c r="E265" t="str">
        <f>"009936763528"</f>
        <v>009936763528</v>
      </c>
      <c r="F265" s="1">
        <v>43670</v>
      </c>
      <c r="G265">
        <v>202001</v>
      </c>
      <c r="H265" t="s">
        <v>96</v>
      </c>
      <c r="I265" t="s">
        <v>97</v>
      </c>
      <c r="J265" t="s">
        <v>67</v>
      </c>
      <c r="K265" t="s">
        <v>68</v>
      </c>
      <c r="L265" t="s">
        <v>65</v>
      </c>
      <c r="M265" t="s">
        <v>66</v>
      </c>
      <c r="N265" t="s">
        <v>67</v>
      </c>
      <c r="O265" t="s">
        <v>72</v>
      </c>
      <c r="P265" t="str">
        <f>"                              "</f>
        <v xml:space="preserve"> 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58.12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2</v>
      </c>
      <c r="BI265">
        <v>40</v>
      </c>
      <c r="BJ265">
        <v>89.5</v>
      </c>
      <c r="BK265">
        <v>90</v>
      </c>
      <c r="BL265" s="5">
        <v>340.43</v>
      </c>
      <c r="BM265" s="5">
        <v>51.06</v>
      </c>
      <c r="BN265" s="5">
        <v>391.49</v>
      </c>
      <c r="BO265" s="5">
        <v>391.49</v>
      </c>
      <c r="BQ265" t="s">
        <v>98</v>
      </c>
      <c r="BS265" s="1">
        <v>43671</v>
      </c>
      <c r="BT265" s="2">
        <v>0.39444444444444443</v>
      </c>
      <c r="BU265" t="s">
        <v>100</v>
      </c>
      <c r="BV265" t="s">
        <v>86</v>
      </c>
      <c r="BY265">
        <v>447744</v>
      </c>
      <c r="CC265" t="s">
        <v>66</v>
      </c>
      <c r="CD265">
        <v>2146</v>
      </c>
      <c r="CE265">
        <v>1</v>
      </c>
      <c r="CF265" s="1">
        <v>43672</v>
      </c>
      <c r="CI265">
        <v>1</v>
      </c>
      <c r="CJ265">
        <v>1</v>
      </c>
      <c r="CK265" t="s">
        <v>95</v>
      </c>
      <c r="CL265" t="s">
        <v>76</v>
      </c>
    </row>
    <row r="266" spans="1:90">
      <c r="A266" t="s">
        <v>180</v>
      </c>
      <c r="B266" t="s">
        <v>63</v>
      </c>
      <c r="C266" t="s">
        <v>64</v>
      </c>
      <c r="E266" t="str">
        <f>"009935941542"</f>
        <v>009935941542</v>
      </c>
      <c r="F266" s="1">
        <v>43670</v>
      </c>
      <c r="G266">
        <v>202001</v>
      </c>
      <c r="H266" t="s">
        <v>429</v>
      </c>
      <c r="I266" t="s">
        <v>430</v>
      </c>
      <c r="J266" t="s">
        <v>218</v>
      </c>
      <c r="K266" t="s">
        <v>68</v>
      </c>
      <c r="L266" t="s">
        <v>103</v>
      </c>
      <c r="M266" t="s">
        <v>104</v>
      </c>
      <c r="N266" t="s">
        <v>67</v>
      </c>
      <c r="O266" t="s">
        <v>72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39.950000000000003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3</v>
      </c>
      <c r="BI266">
        <v>54</v>
      </c>
      <c r="BJ266">
        <v>57.2</v>
      </c>
      <c r="BK266">
        <v>58</v>
      </c>
      <c r="BL266" s="5">
        <v>235.54</v>
      </c>
      <c r="BM266" s="5">
        <v>35.33</v>
      </c>
      <c r="BN266" s="5">
        <v>270.87</v>
      </c>
      <c r="BO266" s="5">
        <v>270.87</v>
      </c>
      <c r="BQ266" t="s">
        <v>112</v>
      </c>
      <c r="BR266" t="s">
        <v>422</v>
      </c>
      <c r="BS266" s="1">
        <v>43671</v>
      </c>
      <c r="BT266" s="2">
        <v>0.375</v>
      </c>
      <c r="BU266" t="s">
        <v>175</v>
      </c>
      <c r="BV266" t="s">
        <v>86</v>
      </c>
      <c r="BY266">
        <v>240630</v>
      </c>
      <c r="CC266" t="s">
        <v>104</v>
      </c>
      <c r="CD266">
        <v>2090</v>
      </c>
      <c r="CE266" t="s">
        <v>78</v>
      </c>
      <c r="CF266" s="1">
        <v>43672</v>
      </c>
      <c r="CI266">
        <v>1</v>
      </c>
      <c r="CJ266">
        <v>1</v>
      </c>
      <c r="CK266" t="s">
        <v>95</v>
      </c>
      <c r="CL266" t="s">
        <v>76</v>
      </c>
    </row>
    <row r="267" spans="1:90">
      <c r="A267" t="s">
        <v>62</v>
      </c>
      <c r="B267" t="s">
        <v>63</v>
      </c>
      <c r="C267" t="s">
        <v>64</v>
      </c>
      <c r="E267" t="str">
        <f>"009938769141"</f>
        <v>009938769141</v>
      </c>
      <c r="F267" s="1">
        <v>43671</v>
      </c>
      <c r="G267">
        <v>202001</v>
      </c>
      <c r="H267" t="s">
        <v>65</v>
      </c>
      <c r="I267" t="s">
        <v>66</v>
      </c>
      <c r="J267" t="s">
        <v>67</v>
      </c>
      <c r="K267" t="s">
        <v>68</v>
      </c>
      <c r="L267" t="s">
        <v>96</v>
      </c>
      <c r="M267" t="s">
        <v>97</v>
      </c>
      <c r="N267" t="s">
        <v>67</v>
      </c>
      <c r="O267" t="s">
        <v>72</v>
      </c>
      <c r="P267" t="str">
        <f>"STORES                        "</f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428.54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4</v>
      </c>
      <c r="BI267">
        <v>865</v>
      </c>
      <c r="BJ267">
        <v>492.8</v>
      </c>
      <c r="BK267">
        <v>865</v>
      </c>
      <c r="BL267" s="5">
        <v>2478.09</v>
      </c>
      <c r="BM267" s="5">
        <v>371.71</v>
      </c>
      <c r="BN267" s="5">
        <v>2849.8</v>
      </c>
      <c r="BO267" s="5">
        <v>2849.8</v>
      </c>
      <c r="BQ267" t="s">
        <v>203</v>
      </c>
      <c r="BR267" t="s">
        <v>501</v>
      </c>
      <c r="BS267" s="1">
        <v>43675</v>
      </c>
      <c r="BT267" s="2">
        <v>0.28888888888888892</v>
      </c>
      <c r="BU267" t="s">
        <v>575</v>
      </c>
      <c r="BV267" t="s">
        <v>76</v>
      </c>
      <c r="BY267">
        <v>2464178</v>
      </c>
      <c r="CA267" t="s">
        <v>160</v>
      </c>
      <c r="CC267" t="s">
        <v>97</v>
      </c>
      <c r="CD267">
        <v>699</v>
      </c>
      <c r="CE267" t="s">
        <v>78</v>
      </c>
      <c r="CF267" s="1">
        <v>43675</v>
      </c>
      <c r="CI267">
        <v>1</v>
      </c>
      <c r="CJ267">
        <v>2</v>
      </c>
      <c r="CK267" t="s">
        <v>79</v>
      </c>
      <c r="CL267" t="s">
        <v>76</v>
      </c>
    </row>
    <row r="268" spans="1:90">
      <c r="A268" t="s">
        <v>62</v>
      </c>
      <c r="B268" t="s">
        <v>63</v>
      </c>
      <c r="C268" t="s">
        <v>64</v>
      </c>
      <c r="E268" t="str">
        <f>"009938665104"</f>
        <v>009938665104</v>
      </c>
      <c r="F268" s="1">
        <v>43670</v>
      </c>
      <c r="G268">
        <v>202001</v>
      </c>
      <c r="H268" t="s">
        <v>96</v>
      </c>
      <c r="I268" t="s">
        <v>97</v>
      </c>
      <c r="J268" t="s">
        <v>67</v>
      </c>
      <c r="K268" t="s">
        <v>68</v>
      </c>
      <c r="L268" t="s">
        <v>65</v>
      </c>
      <c r="M268" t="s">
        <v>66</v>
      </c>
      <c r="N268" t="s">
        <v>296</v>
      </c>
      <c r="O268" t="s">
        <v>72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15.52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5</v>
      </c>
      <c r="BJ268">
        <v>4</v>
      </c>
      <c r="BK268">
        <v>5</v>
      </c>
      <c r="BL268" s="5">
        <v>94.58</v>
      </c>
      <c r="BM268" s="5">
        <v>14.19</v>
      </c>
      <c r="BN268" s="5">
        <v>108.77</v>
      </c>
      <c r="BO268" s="5">
        <v>108.77</v>
      </c>
      <c r="BQ268" t="s">
        <v>576</v>
      </c>
      <c r="BR268" t="s">
        <v>577</v>
      </c>
      <c r="BS268" s="1">
        <v>43671</v>
      </c>
      <c r="BT268" s="2">
        <v>0.39444444444444443</v>
      </c>
      <c r="BU268" t="s">
        <v>100</v>
      </c>
      <c r="BV268" t="s">
        <v>86</v>
      </c>
      <c r="BY268">
        <v>20000</v>
      </c>
      <c r="CC268" t="s">
        <v>66</v>
      </c>
      <c r="CD268">
        <v>2146</v>
      </c>
      <c r="CE268">
        <v>1</v>
      </c>
      <c r="CF268" s="1">
        <v>43672</v>
      </c>
      <c r="CI268">
        <v>1</v>
      </c>
      <c r="CJ268">
        <v>1</v>
      </c>
      <c r="CK268" t="s">
        <v>95</v>
      </c>
      <c r="CL268" t="s">
        <v>76</v>
      </c>
    </row>
    <row r="269" spans="1:90">
      <c r="A269" t="s">
        <v>62</v>
      </c>
      <c r="B269" t="s">
        <v>63</v>
      </c>
      <c r="C269" t="s">
        <v>64</v>
      </c>
      <c r="E269" t="str">
        <f>"009939030351"</f>
        <v>009939030351</v>
      </c>
      <c r="F269" s="1">
        <v>43672</v>
      </c>
      <c r="G269">
        <v>202001</v>
      </c>
      <c r="H269" t="s">
        <v>103</v>
      </c>
      <c r="I269" t="s">
        <v>104</v>
      </c>
      <c r="J269" t="s">
        <v>205</v>
      </c>
      <c r="K269" t="s">
        <v>68</v>
      </c>
      <c r="L269" t="s">
        <v>578</v>
      </c>
      <c r="M269" t="s">
        <v>579</v>
      </c>
      <c r="N269" t="s">
        <v>67</v>
      </c>
      <c r="O269" t="s">
        <v>120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16.04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0.5</v>
      </c>
      <c r="BK269">
        <v>1</v>
      </c>
      <c r="BL269" s="5">
        <v>92.57</v>
      </c>
      <c r="BM269" s="5">
        <v>13.89</v>
      </c>
      <c r="BN269" s="5">
        <v>106.46</v>
      </c>
      <c r="BO269" s="5">
        <v>106.46</v>
      </c>
      <c r="BQ269" t="s">
        <v>580</v>
      </c>
      <c r="BR269" t="s">
        <v>144</v>
      </c>
      <c r="BS269" s="1">
        <v>43673</v>
      </c>
      <c r="BT269" s="2">
        <v>0.35416666666666669</v>
      </c>
      <c r="BU269" t="s">
        <v>581</v>
      </c>
      <c r="BV269" t="s">
        <v>86</v>
      </c>
      <c r="BY269">
        <v>2400</v>
      </c>
      <c r="BZ269" t="s">
        <v>23</v>
      </c>
      <c r="CA269" t="s">
        <v>449</v>
      </c>
      <c r="CC269" t="s">
        <v>579</v>
      </c>
      <c r="CD269">
        <v>3370</v>
      </c>
      <c r="CE269" t="s">
        <v>78</v>
      </c>
      <c r="CI269">
        <v>3</v>
      </c>
      <c r="CJ269">
        <v>0</v>
      </c>
      <c r="CK269">
        <v>23</v>
      </c>
      <c r="CL269" t="s">
        <v>76</v>
      </c>
    </row>
    <row r="270" spans="1:90">
      <c r="A270" t="s">
        <v>62</v>
      </c>
      <c r="B270" t="s">
        <v>63</v>
      </c>
      <c r="C270" t="s">
        <v>64</v>
      </c>
      <c r="E270" t="str">
        <f>"009939030352"</f>
        <v>009939030352</v>
      </c>
      <c r="F270" s="1">
        <v>43672</v>
      </c>
      <c r="G270">
        <v>202001</v>
      </c>
      <c r="H270" t="s">
        <v>65</v>
      </c>
      <c r="I270" t="s">
        <v>66</v>
      </c>
      <c r="J270" t="s">
        <v>67</v>
      </c>
      <c r="K270" t="s">
        <v>68</v>
      </c>
      <c r="L270" t="s">
        <v>255</v>
      </c>
      <c r="M270" t="s">
        <v>256</v>
      </c>
      <c r="N270" t="s">
        <v>67</v>
      </c>
      <c r="O270" t="s">
        <v>120</v>
      </c>
      <c r="P270" t="str">
        <f>"LOCKS                         "</f>
        <v xml:space="preserve">LOCKS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8.2799999999999994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0.5</v>
      </c>
      <c r="BK270">
        <v>1</v>
      </c>
      <c r="BL270" s="5">
        <v>47.78</v>
      </c>
      <c r="BM270" s="5">
        <v>7.17</v>
      </c>
      <c r="BN270" s="5">
        <v>54.95</v>
      </c>
      <c r="BO270" s="5">
        <v>54.95</v>
      </c>
      <c r="BQ270" t="s">
        <v>582</v>
      </c>
      <c r="BR270" t="s">
        <v>144</v>
      </c>
      <c r="BS270" t="s">
        <v>567</v>
      </c>
      <c r="BY270">
        <v>2400</v>
      </c>
      <c r="BZ270" t="s">
        <v>23</v>
      </c>
      <c r="CC270" t="s">
        <v>256</v>
      </c>
      <c r="CD270">
        <v>3200</v>
      </c>
      <c r="CE270" t="s">
        <v>78</v>
      </c>
      <c r="CI270">
        <v>1</v>
      </c>
      <c r="CJ270" t="s">
        <v>567</v>
      </c>
      <c r="CK270">
        <v>21</v>
      </c>
      <c r="CL270" t="s">
        <v>76</v>
      </c>
    </row>
    <row r="271" spans="1:90">
      <c r="A271" t="s">
        <v>62</v>
      </c>
      <c r="B271" t="s">
        <v>63</v>
      </c>
      <c r="C271" t="s">
        <v>64</v>
      </c>
      <c r="E271" t="str">
        <f>"009935895262"</f>
        <v>009935895262</v>
      </c>
      <c r="F271" s="1">
        <v>43672</v>
      </c>
      <c r="G271">
        <v>202001</v>
      </c>
      <c r="H271" t="s">
        <v>65</v>
      </c>
      <c r="I271" t="s">
        <v>66</v>
      </c>
      <c r="J271" t="s">
        <v>67</v>
      </c>
      <c r="K271" t="s">
        <v>68</v>
      </c>
      <c r="L271" t="s">
        <v>216</v>
      </c>
      <c r="M271" t="s">
        <v>217</v>
      </c>
      <c r="N271" t="s">
        <v>342</v>
      </c>
      <c r="O271" t="s">
        <v>120</v>
      </c>
      <c r="P271" t="str">
        <f>"LOCKS                         "</f>
        <v xml:space="preserve">LOCKS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11.64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0.5</v>
      </c>
      <c r="BK271">
        <v>1</v>
      </c>
      <c r="BL271" s="5">
        <v>67.19</v>
      </c>
      <c r="BM271" s="5">
        <v>10.08</v>
      </c>
      <c r="BN271" s="5">
        <v>77.27</v>
      </c>
      <c r="BO271" s="5">
        <v>77.27</v>
      </c>
      <c r="BQ271" t="s">
        <v>219</v>
      </c>
      <c r="BR271" t="s">
        <v>144</v>
      </c>
      <c r="BS271" s="1">
        <v>43675</v>
      </c>
      <c r="BT271" s="2">
        <v>0.64583333333333337</v>
      </c>
      <c r="BU271" t="s">
        <v>583</v>
      </c>
      <c r="BV271" t="s">
        <v>76</v>
      </c>
      <c r="BY271">
        <v>2400</v>
      </c>
      <c r="BZ271" t="s">
        <v>23</v>
      </c>
      <c r="CA271" t="s">
        <v>221</v>
      </c>
      <c r="CC271" t="s">
        <v>217</v>
      </c>
      <c r="CD271">
        <v>1034</v>
      </c>
      <c r="CE271" t="s">
        <v>78</v>
      </c>
      <c r="CF271" s="1">
        <v>43676</v>
      </c>
      <c r="CI271">
        <v>1</v>
      </c>
      <c r="CJ271">
        <v>1</v>
      </c>
      <c r="CK271">
        <v>24</v>
      </c>
      <c r="CL271" t="s">
        <v>76</v>
      </c>
    </row>
    <row r="272" spans="1:90">
      <c r="A272" t="s">
        <v>62</v>
      </c>
      <c r="B272" t="s">
        <v>63</v>
      </c>
      <c r="C272" t="s">
        <v>64</v>
      </c>
      <c r="E272" t="str">
        <f>"009938400838"</f>
        <v>009938400838</v>
      </c>
      <c r="F272" s="1">
        <v>43672</v>
      </c>
      <c r="G272">
        <v>202001</v>
      </c>
      <c r="H272" t="s">
        <v>103</v>
      </c>
      <c r="I272" t="s">
        <v>104</v>
      </c>
      <c r="J272" t="s">
        <v>205</v>
      </c>
      <c r="K272" t="s">
        <v>68</v>
      </c>
      <c r="L272" t="s">
        <v>429</v>
      </c>
      <c r="M272" t="s">
        <v>430</v>
      </c>
      <c r="N272" t="s">
        <v>67</v>
      </c>
      <c r="O272" t="s">
        <v>120</v>
      </c>
      <c r="P272" t="str">
        <f>"LOCKS                         "</f>
        <v xml:space="preserve">LOCKS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16.04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0.5</v>
      </c>
      <c r="BK272">
        <v>1</v>
      </c>
      <c r="BL272" s="5">
        <v>92.57</v>
      </c>
      <c r="BM272" s="5">
        <v>13.89</v>
      </c>
      <c r="BN272" s="5">
        <v>106.46</v>
      </c>
      <c r="BO272" s="5">
        <v>106.46</v>
      </c>
      <c r="BQ272" t="s">
        <v>584</v>
      </c>
      <c r="BR272" t="s">
        <v>144</v>
      </c>
      <c r="BS272" s="1">
        <v>43677</v>
      </c>
      <c r="BT272" s="2">
        <v>0.33680555555555558</v>
      </c>
      <c r="BU272" t="s">
        <v>559</v>
      </c>
      <c r="BV272" t="s">
        <v>76</v>
      </c>
      <c r="BY272">
        <v>2400</v>
      </c>
      <c r="BZ272" t="s">
        <v>23</v>
      </c>
      <c r="CA272" t="s">
        <v>560</v>
      </c>
      <c r="CC272" t="s">
        <v>430</v>
      </c>
      <c r="CD272">
        <v>2570</v>
      </c>
      <c r="CE272" t="s">
        <v>78</v>
      </c>
      <c r="CF272" s="1">
        <v>43677</v>
      </c>
      <c r="CI272">
        <v>1</v>
      </c>
      <c r="CJ272">
        <v>3</v>
      </c>
      <c r="CK272">
        <v>23</v>
      </c>
      <c r="CL272" t="s">
        <v>76</v>
      </c>
    </row>
    <row r="273" spans="1:90">
      <c r="A273" t="s">
        <v>62</v>
      </c>
      <c r="B273" t="s">
        <v>63</v>
      </c>
      <c r="C273" t="s">
        <v>64</v>
      </c>
      <c r="E273" t="str">
        <f>"009939030346"</f>
        <v>009939030346</v>
      </c>
      <c r="F273" s="1">
        <v>43672</v>
      </c>
      <c r="G273">
        <v>202001</v>
      </c>
      <c r="H273" t="s">
        <v>65</v>
      </c>
      <c r="I273" t="s">
        <v>66</v>
      </c>
      <c r="J273" t="s">
        <v>67</v>
      </c>
      <c r="K273" t="s">
        <v>68</v>
      </c>
      <c r="L273" t="s">
        <v>307</v>
      </c>
      <c r="M273" t="s">
        <v>70</v>
      </c>
      <c r="N273" t="s">
        <v>585</v>
      </c>
      <c r="O273" t="s">
        <v>120</v>
      </c>
      <c r="P273" t="str">
        <f>"LOCKS                         "</f>
        <v xml:space="preserve">LOCKS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8.2799999999999994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0.5</v>
      </c>
      <c r="BK273">
        <v>1</v>
      </c>
      <c r="BL273" s="5">
        <v>47.78</v>
      </c>
      <c r="BM273" s="5">
        <v>7.17</v>
      </c>
      <c r="BN273" s="5">
        <v>54.95</v>
      </c>
      <c r="BO273" s="5">
        <v>54.95</v>
      </c>
      <c r="BQ273" t="s">
        <v>369</v>
      </c>
      <c r="BR273" t="s">
        <v>144</v>
      </c>
      <c r="BS273" t="s">
        <v>567</v>
      </c>
      <c r="BY273">
        <v>2400</v>
      </c>
      <c r="BZ273" t="s">
        <v>23</v>
      </c>
      <c r="CC273" t="s">
        <v>70</v>
      </c>
      <c r="CD273">
        <v>1200</v>
      </c>
      <c r="CE273" t="s">
        <v>78</v>
      </c>
      <c r="CI273">
        <v>1</v>
      </c>
      <c r="CJ273" t="s">
        <v>567</v>
      </c>
      <c r="CK273">
        <v>21</v>
      </c>
      <c r="CL273" t="s">
        <v>76</v>
      </c>
    </row>
    <row r="274" spans="1:90">
      <c r="A274" t="s">
        <v>62</v>
      </c>
      <c r="B274" t="s">
        <v>63</v>
      </c>
      <c r="C274" t="s">
        <v>64</v>
      </c>
      <c r="E274" t="str">
        <f>"009938891390"</f>
        <v>009938891390</v>
      </c>
      <c r="F274" s="1">
        <v>43672</v>
      </c>
      <c r="G274">
        <v>202001</v>
      </c>
      <c r="H274" t="s">
        <v>103</v>
      </c>
      <c r="I274" t="s">
        <v>104</v>
      </c>
      <c r="J274" t="s">
        <v>205</v>
      </c>
      <c r="K274" t="s">
        <v>68</v>
      </c>
      <c r="L274" t="s">
        <v>122</v>
      </c>
      <c r="M274" t="s">
        <v>123</v>
      </c>
      <c r="N274" t="s">
        <v>67</v>
      </c>
      <c r="O274" t="s">
        <v>72</v>
      </c>
      <c r="P274" t="str">
        <f>"STORES                        "</f>
        <v xml:space="preserve">STORES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15.52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2</v>
      </c>
      <c r="BI274">
        <v>9.3000000000000007</v>
      </c>
      <c r="BJ274">
        <v>9.4</v>
      </c>
      <c r="BK274">
        <v>10</v>
      </c>
      <c r="BL274" s="5">
        <v>94.58</v>
      </c>
      <c r="BM274" s="5">
        <v>14.19</v>
      </c>
      <c r="BN274" s="5">
        <v>108.77</v>
      </c>
      <c r="BO274" s="5">
        <v>108.77</v>
      </c>
      <c r="BQ274" t="s">
        <v>331</v>
      </c>
      <c r="BR274" t="s">
        <v>470</v>
      </c>
      <c r="BS274" s="1">
        <v>43675</v>
      </c>
      <c r="BT274" s="2">
        <v>0.75</v>
      </c>
      <c r="BU274" t="s">
        <v>586</v>
      </c>
      <c r="BV274" t="s">
        <v>86</v>
      </c>
      <c r="BY274">
        <v>46939.65</v>
      </c>
      <c r="CA274" t="s">
        <v>587</v>
      </c>
      <c r="CC274" t="s">
        <v>123</v>
      </c>
      <c r="CD274">
        <v>299</v>
      </c>
      <c r="CE274" t="s">
        <v>78</v>
      </c>
      <c r="CF274" s="1">
        <v>43675</v>
      </c>
      <c r="CI274">
        <v>1</v>
      </c>
      <c r="CJ274">
        <v>1</v>
      </c>
      <c r="CK274" t="s">
        <v>95</v>
      </c>
      <c r="CL274" t="s">
        <v>76</v>
      </c>
    </row>
    <row r="275" spans="1:90">
      <c r="A275" t="s">
        <v>62</v>
      </c>
      <c r="B275" t="s">
        <v>63</v>
      </c>
      <c r="C275" t="s">
        <v>64</v>
      </c>
      <c r="E275" t="str">
        <f>"009938769248"</f>
        <v>009938769248</v>
      </c>
      <c r="F275" s="1">
        <v>43672</v>
      </c>
      <c r="G275">
        <v>202001</v>
      </c>
      <c r="H275" t="s">
        <v>65</v>
      </c>
      <c r="I275" t="s">
        <v>66</v>
      </c>
      <c r="J275" t="s">
        <v>67</v>
      </c>
      <c r="K275" t="s">
        <v>68</v>
      </c>
      <c r="L275" t="s">
        <v>116</v>
      </c>
      <c r="M275" t="s">
        <v>117</v>
      </c>
      <c r="N275" t="s">
        <v>67</v>
      </c>
      <c r="O275" t="s">
        <v>72</v>
      </c>
      <c r="P275" t="str">
        <f>"STORES                        "</f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11.64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5.9</v>
      </c>
      <c r="BJ275">
        <v>7.9</v>
      </c>
      <c r="BK275">
        <v>8</v>
      </c>
      <c r="BL275" s="5">
        <v>72.19</v>
      </c>
      <c r="BM275" s="5">
        <v>10.83</v>
      </c>
      <c r="BN275" s="5">
        <v>83.02</v>
      </c>
      <c r="BO275" s="5">
        <v>83.02</v>
      </c>
      <c r="BQ275" t="s">
        <v>185</v>
      </c>
      <c r="BR275" t="s">
        <v>470</v>
      </c>
      <c r="BS275" s="1">
        <v>43675</v>
      </c>
      <c r="BT275" s="2">
        <v>0.55763888888888891</v>
      </c>
      <c r="BU275" t="s">
        <v>289</v>
      </c>
      <c r="BV275" t="s">
        <v>86</v>
      </c>
      <c r="BY275">
        <v>39729.42</v>
      </c>
      <c r="CA275" t="s">
        <v>290</v>
      </c>
      <c r="CC275" t="s">
        <v>117</v>
      </c>
      <c r="CD275">
        <v>4091</v>
      </c>
      <c r="CE275" t="s">
        <v>78</v>
      </c>
      <c r="CF275" s="1">
        <v>43675</v>
      </c>
      <c r="CI275">
        <v>1</v>
      </c>
      <c r="CJ275">
        <v>1</v>
      </c>
      <c r="CK275" t="s">
        <v>291</v>
      </c>
      <c r="CL275" t="s">
        <v>76</v>
      </c>
    </row>
    <row r="276" spans="1:90">
      <c r="A276" t="s">
        <v>62</v>
      </c>
      <c r="B276" t="s">
        <v>63</v>
      </c>
      <c r="C276" t="s">
        <v>64</v>
      </c>
      <c r="E276" t="str">
        <f>"009935987726"</f>
        <v>009935987726</v>
      </c>
      <c r="F276" s="1">
        <v>43672</v>
      </c>
      <c r="G276">
        <v>202001</v>
      </c>
      <c r="H276" t="s">
        <v>65</v>
      </c>
      <c r="I276" t="s">
        <v>66</v>
      </c>
      <c r="J276" t="s">
        <v>67</v>
      </c>
      <c r="K276" t="s">
        <v>68</v>
      </c>
      <c r="L276" t="s">
        <v>247</v>
      </c>
      <c r="M276" t="s">
        <v>138</v>
      </c>
      <c r="N276" t="s">
        <v>513</v>
      </c>
      <c r="O276" t="s">
        <v>72</v>
      </c>
      <c r="P276" t="str">
        <f>"STORES                        "</f>
        <v xml:space="preserve">STORES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132.97999999999999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5</v>
      </c>
      <c r="BI276">
        <v>165.5</v>
      </c>
      <c r="BJ276">
        <v>174.6</v>
      </c>
      <c r="BK276">
        <v>175</v>
      </c>
      <c r="BL276" s="5">
        <v>772.44</v>
      </c>
      <c r="BM276" s="5">
        <v>115.87</v>
      </c>
      <c r="BN276" s="5">
        <v>888.31</v>
      </c>
      <c r="BO276" s="5">
        <v>888.31</v>
      </c>
      <c r="BQ276" t="s">
        <v>140</v>
      </c>
      <c r="BR276" t="s">
        <v>144</v>
      </c>
      <c r="BS276" s="1">
        <v>43675</v>
      </c>
      <c r="BT276" s="2">
        <v>0.40763888888888888</v>
      </c>
      <c r="BU276" t="s">
        <v>514</v>
      </c>
      <c r="BV276" t="s">
        <v>86</v>
      </c>
      <c r="BY276">
        <v>872846.02</v>
      </c>
      <c r="CA276" t="s">
        <v>288</v>
      </c>
      <c r="CC276" t="s">
        <v>138</v>
      </c>
      <c r="CD276">
        <v>7700</v>
      </c>
      <c r="CE276" t="s">
        <v>78</v>
      </c>
      <c r="CF276" s="1">
        <v>43676</v>
      </c>
      <c r="CI276">
        <v>2</v>
      </c>
      <c r="CJ276">
        <v>1</v>
      </c>
      <c r="CK276" t="s">
        <v>115</v>
      </c>
      <c r="CL276" t="s">
        <v>76</v>
      </c>
    </row>
    <row r="277" spans="1:90">
      <c r="A277" t="s">
        <v>62</v>
      </c>
      <c r="B277" t="s">
        <v>63</v>
      </c>
      <c r="C277" t="s">
        <v>64</v>
      </c>
      <c r="E277" t="str">
        <f>"009938769140"</f>
        <v>009938769140</v>
      </c>
      <c r="F277" s="1">
        <v>43672</v>
      </c>
      <c r="G277">
        <v>202001</v>
      </c>
      <c r="H277" t="s">
        <v>65</v>
      </c>
      <c r="I277" t="s">
        <v>66</v>
      </c>
      <c r="J277" t="s">
        <v>67</v>
      </c>
      <c r="K277" t="s">
        <v>68</v>
      </c>
      <c r="L277" t="s">
        <v>96</v>
      </c>
      <c r="M277" t="s">
        <v>97</v>
      </c>
      <c r="N277" t="s">
        <v>67</v>
      </c>
      <c r="O277" t="s">
        <v>72</v>
      </c>
      <c r="P277" t="str">
        <f>"                              "</f>
        <v xml:space="preserve"> 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135.72999999999999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2</v>
      </c>
      <c r="BI277">
        <v>103</v>
      </c>
      <c r="BJ277">
        <v>267.60000000000002</v>
      </c>
      <c r="BK277">
        <v>268</v>
      </c>
      <c r="BL277" s="5">
        <v>788.3</v>
      </c>
      <c r="BM277" s="5">
        <v>118.25</v>
      </c>
      <c r="BN277" s="5">
        <v>906.55</v>
      </c>
      <c r="BO277" s="5">
        <v>906.55</v>
      </c>
      <c r="BQ277" t="s">
        <v>203</v>
      </c>
      <c r="BR277" t="s">
        <v>501</v>
      </c>
      <c r="BS277" s="1">
        <v>43676</v>
      </c>
      <c r="BT277" s="2">
        <v>0.34027777777777773</v>
      </c>
      <c r="BU277" t="s">
        <v>588</v>
      </c>
      <c r="BV277" t="s">
        <v>76</v>
      </c>
      <c r="BY277">
        <v>1338176</v>
      </c>
      <c r="CA277" t="s">
        <v>294</v>
      </c>
      <c r="CC277" t="s">
        <v>97</v>
      </c>
      <c r="CD277">
        <v>699</v>
      </c>
      <c r="CE277" t="s">
        <v>78</v>
      </c>
      <c r="CF277" s="1">
        <v>43676</v>
      </c>
      <c r="CI277">
        <v>1</v>
      </c>
      <c r="CJ277">
        <v>2</v>
      </c>
      <c r="CK277" t="s">
        <v>79</v>
      </c>
      <c r="CL277" t="s">
        <v>76</v>
      </c>
    </row>
    <row r="278" spans="1:90">
      <c r="A278" t="s">
        <v>62</v>
      </c>
      <c r="B278" t="s">
        <v>63</v>
      </c>
      <c r="C278" t="s">
        <v>64</v>
      </c>
      <c r="E278" t="str">
        <f>"009938681284"</f>
        <v>009938681284</v>
      </c>
      <c r="F278" s="1">
        <v>43672</v>
      </c>
      <c r="G278">
        <v>202001</v>
      </c>
      <c r="H278" t="s">
        <v>103</v>
      </c>
      <c r="I278" t="s">
        <v>104</v>
      </c>
      <c r="J278" t="s">
        <v>205</v>
      </c>
      <c r="K278" t="s">
        <v>68</v>
      </c>
      <c r="L278" t="s">
        <v>206</v>
      </c>
      <c r="M278" t="s">
        <v>207</v>
      </c>
      <c r="N278" t="s">
        <v>67</v>
      </c>
      <c r="O278" t="s">
        <v>72</v>
      </c>
      <c r="P278" t="str">
        <f>"STORES                        "</f>
        <v xml:space="preserve">STORES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98.76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2</v>
      </c>
      <c r="BI278">
        <v>80.5</v>
      </c>
      <c r="BJ278">
        <v>47.9</v>
      </c>
      <c r="BK278">
        <v>81</v>
      </c>
      <c r="BL278" s="5">
        <v>574.91999999999996</v>
      </c>
      <c r="BM278" s="5">
        <v>86.24</v>
      </c>
      <c r="BN278" s="5">
        <v>661.16</v>
      </c>
      <c r="BO278" s="5">
        <v>661.16</v>
      </c>
      <c r="BQ278" t="s">
        <v>208</v>
      </c>
      <c r="BR278" t="s">
        <v>589</v>
      </c>
      <c r="BS278" s="1">
        <v>43675</v>
      </c>
      <c r="BT278" s="2">
        <v>0.35138888888888892</v>
      </c>
      <c r="BU278" t="s">
        <v>312</v>
      </c>
      <c r="BV278" t="s">
        <v>86</v>
      </c>
      <c r="BY278">
        <v>239453.02</v>
      </c>
      <c r="CC278" t="s">
        <v>207</v>
      </c>
      <c r="CD278">
        <v>450</v>
      </c>
      <c r="CE278" t="s">
        <v>78</v>
      </c>
      <c r="CF278" s="1">
        <v>43675</v>
      </c>
      <c r="CI278">
        <v>0</v>
      </c>
      <c r="CJ278">
        <v>0</v>
      </c>
      <c r="CK278" t="s">
        <v>88</v>
      </c>
      <c r="CL278" t="s">
        <v>76</v>
      </c>
    </row>
    <row r="279" spans="1:90">
      <c r="A279" t="s">
        <v>62</v>
      </c>
      <c r="B279" t="s">
        <v>63</v>
      </c>
      <c r="C279" t="s">
        <v>64</v>
      </c>
      <c r="E279" t="str">
        <f>"009935996439"</f>
        <v>009935996439</v>
      </c>
      <c r="F279" s="1">
        <v>43672</v>
      </c>
      <c r="G279">
        <v>202001</v>
      </c>
      <c r="H279" t="s">
        <v>65</v>
      </c>
      <c r="I279" t="s">
        <v>66</v>
      </c>
      <c r="J279" t="s">
        <v>67</v>
      </c>
      <c r="K279" t="s">
        <v>68</v>
      </c>
      <c r="L279" t="s">
        <v>108</v>
      </c>
      <c r="M279" t="s">
        <v>109</v>
      </c>
      <c r="N279" t="s">
        <v>590</v>
      </c>
      <c r="O279" t="s">
        <v>72</v>
      </c>
      <c r="P279" t="str">
        <f>"STORES                        "</f>
        <v xml:space="preserve">STORES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67.709999999999994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2</v>
      </c>
      <c r="BI279">
        <v>74</v>
      </c>
      <c r="BJ279">
        <v>84.5</v>
      </c>
      <c r="BK279">
        <v>85</v>
      </c>
      <c r="BL279" s="5">
        <v>395.77</v>
      </c>
      <c r="BM279" s="5">
        <v>59.37</v>
      </c>
      <c r="BN279" s="5">
        <v>455.14</v>
      </c>
      <c r="BO279" s="5">
        <v>455.14</v>
      </c>
      <c r="BQ279" t="s">
        <v>169</v>
      </c>
      <c r="BR279" t="s">
        <v>144</v>
      </c>
      <c r="BS279" s="1">
        <v>43675</v>
      </c>
      <c r="BT279" s="2">
        <v>0.48680555555555555</v>
      </c>
      <c r="BU279" t="s">
        <v>574</v>
      </c>
      <c r="BV279" t="s">
        <v>86</v>
      </c>
      <c r="BY279">
        <v>422400</v>
      </c>
      <c r="CA279" t="s">
        <v>171</v>
      </c>
      <c r="CC279" t="s">
        <v>109</v>
      </c>
      <c r="CD279">
        <v>6055</v>
      </c>
      <c r="CE279" t="s">
        <v>78</v>
      </c>
      <c r="CF279" s="1">
        <v>43677</v>
      </c>
      <c r="CI279">
        <v>2</v>
      </c>
      <c r="CJ279">
        <v>1</v>
      </c>
      <c r="CK279" t="s">
        <v>115</v>
      </c>
      <c r="CL279" t="s">
        <v>76</v>
      </c>
    </row>
    <row r="280" spans="1:90">
      <c r="A280" t="s">
        <v>62</v>
      </c>
      <c r="B280" t="s">
        <v>63</v>
      </c>
      <c r="C280" t="s">
        <v>64</v>
      </c>
      <c r="E280" t="str">
        <f>"009937119137"</f>
        <v>009937119137</v>
      </c>
      <c r="F280" s="1">
        <v>43672</v>
      </c>
      <c r="G280">
        <v>202001</v>
      </c>
      <c r="H280" t="s">
        <v>131</v>
      </c>
      <c r="I280" t="s">
        <v>132</v>
      </c>
      <c r="J280" t="s">
        <v>67</v>
      </c>
      <c r="K280" t="s">
        <v>68</v>
      </c>
      <c r="L280" t="s">
        <v>65</v>
      </c>
      <c r="M280" t="s">
        <v>66</v>
      </c>
      <c r="N280" t="s">
        <v>591</v>
      </c>
      <c r="O280" t="s">
        <v>72</v>
      </c>
      <c r="P280" t="str">
        <f>"                              "</f>
        <v xml:space="preserve"> 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19.850000000000001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7</v>
      </c>
      <c r="BI280">
        <v>18.3</v>
      </c>
      <c r="BJ280">
        <v>12.3</v>
      </c>
      <c r="BK280">
        <v>19</v>
      </c>
      <c r="BL280" s="5">
        <v>119.55</v>
      </c>
      <c r="BM280" s="5">
        <v>17.93</v>
      </c>
      <c r="BN280" s="5">
        <v>137.47999999999999</v>
      </c>
      <c r="BO280" s="5">
        <v>137.47999999999999</v>
      </c>
      <c r="BQ280" t="s">
        <v>144</v>
      </c>
      <c r="BR280" t="s">
        <v>134</v>
      </c>
      <c r="BS280" s="1">
        <v>43675</v>
      </c>
      <c r="BT280" s="2">
        <v>0.39583333333333331</v>
      </c>
      <c r="BU280" t="s">
        <v>175</v>
      </c>
      <c r="BV280" t="s">
        <v>86</v>
      </c>
      <c r="BY280">
        <v>59226.720000000001</v>
      </c>
      <c r="CC280" t="s">
        <v>66</v>
      </c>
      <c r="CD280">
        <v>2146</v>
      </c>
      <c r="CE280">
        <v>1</v>
      </c>
      <c r="CF280" s="1">
        <v>43676</v>
      </c>
      <c r="CI280">
        <v>0</v>
      </c>
      <c r="CJ280">
        <v>0</v>
      </c>
      <c r="CK280" t="s">
        <v>115</v>
      </c>
      <c r="CL280" t="s">
        <v>76</v>
      </c>
    </row>
    <row r="281" spans="1:90">
      <c r="A281" t="s">
        <v>62</v>
      </c>
      <c r="B281" t="s">
        <v>63</v>
      </c>
      <c r="C281" t="s">
        <v>64</v>
      </c>
      <c r="E281" t="str">
        <f>"029908431072"</f>
        <v>029908431072</v>
      </c>
      <c r="F281" s="1">
        <v>43672</v>
      </c>
      <c r="G281">
        <v>202001</v>
      </c>
      <c r="H281" t="s">
        <v>116</v>
      </c>
      <c r="I281" t="s">
        <v>117</v>
      </c>
      <c r="J281" t="s">
        <v>118</v>
      </c>
      <c r="K281" t="s">
        <v>68</v>
      </c>
      <c r="L281" t="s">
        <v>103</v>
      </c>
      <c r="M281" t="s">
        <v>104</v>
      </c>
      <c r="N281" t="s">
        <v>592</v>
      </c>
      <c r="O281" t="s">
        <v>72</v>
      </c>
      <c r="P281" t="str">
        <f>"                              "</f>
        <v xml:space="preserve"> 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43.36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2</v>
      </c>
      <c r="BI281">
        <v>63.3</v>
      </c>
      <c r="BJ281">
        <v>53.5</v>
      </c>
      <c r="BK281">
        <v>64</v>
      </c>
      <c r="BL281" s="5">
        <v>255.21</v>
      </c>
      <c r="BM281" s="5">
        <v>38.28</v>
      </c>
      <c r="BN281" s="5">
        <v>293.49</v>
      </c>
      <c r="BO281" s="5">
        <v>293.49</v>
      </c>
      <c r="BQ281" t="s">
        <v>593</v>
      </c>
      <c r="BR281" t="s">
        <v>594</v>
      </c>
      <c r="BS281" s="1">
        <v>43675</v>
      </c>
      <c r="BT281" s="2">
        <v>0.4375</v>
      </c>
      <c r="BU281" t="s">
        <v>595</v>
      </c>
      <c r="BV281" t="s">
        <v>86</v>
      </c>
      <c r="BY281">
        <v>267444</v>
      </c>
      <c r="CA281" t="s">
        <v>449</v>
      </c>
      <c r="CC281" t="s">
        <v>104</v>
      </c>
      <c r="CD281">
        <v>2196</v>
      </c>
      <c r="CE281" t="s">
        <v>78</v>
      </c>
      <c r="CF281" s="1">
        <v>43676</v>
      </c>
      <c r="CI281">
        <v>1</v>
      </c>
      <c r="CJ281">
        <v>1</v>
      </c>
      <c r="CK281" t="s">
        <v>338</v>
      </c>
      <c r="CL281" t="s">
        <v>76</v>
      </c>
    </row>
    <row r="282" spans="1:90">
      <c r="A282" t="s">
        <v>62</v>
      </c>
      <c r="B282" t="s">
        <v>63</v>
      </c>
      <c r="C282" t="s">
        <v>64</v>
      </c>
      <c r="E282" t="str">
        <f>"009938033595"</f>
        <v>009938033595</v>
      </c>
      <c r="F282" s="1">
        <v>43672</v>
      </c>
      <c r="G282">
        <v>202001</v>
      </c>
      <c r="H282" t="s">
        <v>147</v>
      </c>
      <c r="I282" t="s">
        <v>148</v>
      </c>
      <c r="J282" t="s">
        <v>82</v>
      </c>
      <c r="K282" t="s">
        <v>68</v>
      </c>
      <c r="L282" t="s">
        <v>65</v>
      </c>
      <c r="M282" t="s">
        <v>66</v>
      </c>
      <c r="N282" t="s">
        <v>82</v>
      </c>
      <c r="O282" t="s">
        <v>72</v>
      </c>
      <c r="P282" t="str">
        <f>"                              "</f>
        <v xml:space="preserve"> 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16.82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6.1</v>
      </c>
      <c r="BJ282">
        <v>9.6</v>
      </c>
      <c r="BK282">
        <v>10</v>
      </c>
      <c r="BL282" s="5">
        <v>102.05</v>
      </c>
      <c r="BM282" s="5">
        <v>15.31</v>
      </c>
      <c r="BN282" s="5">
        <v>117.36</v>
      </c>
      <c r="BO282" s="5">
        <v>117.36</v>
      </c>
      <c r="BQ282" t="s">
        <v>173</v>
      </c>
      <c r="BR282" t="s">
        <v>150</v>
      </c>
      <c r="BS282" s="1">
        <v>43675</v>
      </c>
      <c r="BT282" s="2">
        <v>0.3520833333333333</v>
      </c>
      <c r="BU282" t="s">
        <v>99</v>
      </c>
      <c r="BV282" t="s">
        <v>86</v>
      </c>
      <c r="BY282">
        <v>47905.11</v>
      </c>
      <c r="CA282" t="s">
        <v>94</v>
      </c>
      <c r="CC282" t="s">
        <v>66</v>
      </c>
      <c r="CD282">
        <v>2146</v>
      </c>
      <c r="CE282" t="s">
        <v>318</v>
      </c>
      <c r="CF282" s="1">
        <v>43675</v>
      </c>
      <c r="CI282">
        <v>1</v>
      </c>
      <c r="CJ282">
        <v>1</v>
      </c>
      <c r="CK282" t="s">
        <v>262</v>
      </c>
      <c r="CL282" t="s">
        <v>76</v>
      </c>
    </row>
    <row r="283" spans="1:90">
      <c r="A283" t="s">
        <v>62</v>
      </c>
      <c r="B283" t="s">
        <v>63</v>
      </c>
      <c r="C283" t="s">
        <v>64</v>
      </c>
      <c r="E283" t="str">
        <f>"009938743144"</f>
        <v>009938743144</v>
      </c>
      <c r="F283" s="1">
        <v>43672</v>
      </c>
      <c r="G283">
        <v>202001</v>
      </c>
      <c r="H283" t="s">
        <v>89</v>
      </c>
      <c r="I283" t="s">
        <v>90</v>
      </c>
      <c r="J283" t="s">
        <v>82</v>
      </c>
      <c r="K283" t="s">
        <v>68</v>
      </c>
      <c r="L283" t="s">
        <v>65</v>
      </c>
      <c r="M283" t="s">
        <v>66</v>
      </c>
      <c r="N283" t="s">
        <v>82</v>
      </c>
      <c r="O283" t="s">
        <v>72</v>
      </c>
      <c r="P283" t="str">
        <f>"....                          "</f>
        <v xml:space="preserve">....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15.52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</v>
      </c>
      <c r="BJ283">
        <v>0.2</v>
      </c>
      <c r="BK283">
        <v>1</v>
      </c>
      <c r="BL283" s="5">
        <v>94.58</v>
      </c>
      <c r="BM283" s="5">
        <v>14.19</v>
      </c>
      <c r="BN283" s="5">
        <v>108.77</v>
      </c>
      <c r="BO283" s="5">
        <v>108.77</v>
      </c>
      <c r="BQ283" t="s">
        <v>283</v>
      </c>
      <c r="BR283" t="s">
        <v>92</v>
      </c>
      <c r="BS283" s="1">
        <v>43675</v>
      </c>
      <c r="BT283" s="2">
        <v>0.3972222222222222</v>
      </c>
      <c r="BU283" t="s">
        <v>455</v>
      </c>
      <c r="BV283" t="s">
        <v>86</v>
      </c>
      <c r="BY283">
        <v>1200</v>
      </c>
      <c r="CA283" t="s">
        <v>563</v>
      </c>
      <c r="CC283" t="s">
        <v>66</v>
      </c>
      <c r="CD283">
        <v>2146</v>
      </c>
      <c r="CE283" t="s">
        <v>78</v>
      </c>
      <c r="CF283" s="1">
        <v>43675</v>
      </c>
      <c r="CI283">
        <v>1</v>
      </c>
      <c r="CJ283">
        <v>1</v>
      </c>
      <c r="CK283" t="s">
        <v>95</v>
      </c>
      <c r="CL283" t="s">
        <v>76</v>
      </c>
    </row>
    <row r="284" spans="1:90">
      <c r="A284" t="s">
        <v>62</v>
      </c>
      <c r="B284" t="s">
        <v>63</v>
      </c>
      <c r="C284" t="s">
        <v>64</v>
      </c>
      <c r="E284" t="str">
        <f>"009935185519"</f>
        <v>009935185519</v>
      </c>
      <c r="F284" s="1">
        <v>43656</v>
      </c>
      <c r="G284">
        <v>202001</v>
      </c>
      <c r="H284" t="s">
        <v>65</v>
      </c>
      <c r="I284" t="s">
        <v>66</v>
      </c>
      <c r="J284" t="s">
        <v>67</v>
      </c>
      <c r="K284" t="s">
        <v>68</v>
      </c>
      <c r="L284" t="s">
        <v>116</v>
      </c>
      <c r="M284" t="s">
        <v>117</v>
      </c>
      <c r="N284" t="s">
        <v>538</v>
      </c>
      <c r="O284" t="s">
        <v>120</v>
      </c>
      <c r="P284" t="str">
        <f>"LCK                           "</f>
        <v xml:space="preserve">LCK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8.2799999999999994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0.2</v>
      </c>
      <c r="BK284">
        <v>1</v>
      </c>
      <c r="BL284" s="5">
        <v>47.78</v>
      </c>
      <c r="BM284" s="5">
        <v>7.17</v>
      </c>
      <c r="BN284" s="5">
        <v>54.95</v>
      </c>
      <c r="BO284" s="5">
        <v>54.95</v>
      </c>
      <c r="BQ284" t="s">
        <v>239</v>
      </c>
      <c r="BR284" t="s">
        <v>164</v>
      </c>
      <c r="BS284" s="1">
        <v>43657</v>
      </c>
      <c r="BT284" s="2">
        <v>0.37013888888888885</v>
      </c>
      <c r="BU284" t="s">
        <v>549</v>
      </c>
      <c r="BV284" t="s">
        <v>86</v>
      </c>
      <c r="BY284">
        <v>1200</v>
      </c>
      <c r="BZ284" t="s">
        <v>23</v>
      </c>
      <c r="CA284" t="s">
        <v>188</v>
      </c>
      <c r="CC284" t="s">
        <v>117</v>
      </c>
      <c r="CD284">
        <v>4091</v>
      </c>
      <c r="CE284" t="s">
        <v>78</v>
      </c>
      <c r="CF284" s="1">
        <v>43657</v>
      </c>
      <c r="CI284">
        <v>1</v>
      </c>
      <c r="CJ284">
        <v>1</v>
      </c>
      <c r="CK284">
        <v>21</v>
      </c>
      <c r="CL284" t="s">
        <v>76</v>
      </c>
    </row>
    <row r="285" spans="1:90">
      <c r="A285" t="s">
        <v>62</v>
      </c>
      <c r="B285" t="s">
        <v>63</v>
      </c>
      <c r="C285" t="s">
        <v>64</v>
      </c>
      <c r="E285" t="str">
        <f>"009935185520"</f>
        <v>009935185520</v>
      </c>
      <c r="F285" s="1">
        <v>43654</v>
      </c>
      <c r="G285">
        <v>202001</v>
      </c>
      <c r="H285" t="s">
        <v>65</v>
      </c>
      <c r="I285" t="s">
        <v>66</v>
      </c>
      <c r="J285" t="s">
        <v>67</v>
      </c>
      <c r="K285" t="s">
        <v>68</v>
      </c>
      <c r="L285" t="s">
        <v>116</v>
      </c>
      <c r="M285" t="s">
        <v>117</v>
      </c>
      <c r="N285" t="s">
        <v>118</v>
      </c>
      <c r="O285" t="s">
        <v>120</v>
      </c>
      <c r="P285" t="str">
        <f>"LCK                           "</f>
        <v xml:space="preserve">LCK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8.2799999999999994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0.2</v>
      </c>
      <c r="BK285">
        <v>1</v>
      </c>
      <c r="BL285" s="5">
        <v>47.78</v>
      </c>
      <c r="BM285" s="5">
        <v>7.17</v>
      </c>
      <c r="BN285" s="5">
        <v>54.95</v>
      </c>
      <c r="BO285" s="5">
        <v>54.95</v>
      </c>
      <c r="BQ285" t="s">
        <v>239</v>
      </c>
      <c r="BR285" t="s">
        <v>596</v>
      </c>
      <c r="BS285" s="1">
        <v>43655</v>
      </c>
      <c r="BT285" s="2">
        <v>0.59722222222222221</v>
      </c>
      <c r="BU285" t="s">
        <v>187</v>
      </c>
      <c r="BV285" t="s">
        <v>76</v>
      </c>
      <c r="BW285" t="s">
        <v>597</v>
      </c>
      <c r="BX285" t="s">
        <v>598</v>
      </c>
      <c r="BY285">
        <v>1200</v>
      </c>
      <c r="BZ285" t="s">
        <v>23</v>
      </c>
      <c r="CA285" t="s">
        <v>188</v>
      </c>
      <c r="CC285" t="s">
        <v>117</v>
      </c>
      <c r="CD285">
        <v>4091</v>
      </c>
      <c r="CE285" t="s">
        <v>78</v>
      </c>
      <c r="CF285" s="1">
        <v>43655</v>
      </c>
      <c r="CI285">
        <v>1</v>
      </c>
      <c r="CJ285">
        <v>1</v>
      </c>
      <c r="CK285">
        <v>21</v>
      </c>
      <c r="CL285" t="s">
        <v>76</v>
      </c>
    </row>
    <row r="286" spans="1:90">
      <c r="A286" t="s">
        <v>62</v>
      </c>
      <c r="B286" t="s">
        <v>63</v>
      </c>
      <c r="C286" t="s">
        <v>64</v>
      </c>
      <c r="E286" t="str">
        <f>"009935895268"</f>
        <v>009935895268</v>
      </c>
      <c r="F286" s="1">
        <v>43650</v>
      </c>
      <c r="G286">
        <v>202001</v>
      </c>
      <c r="H286" t="s">
        <v>65</v>
      </c>
      <c r="I286" t="s">
        <v>66</v>
      </c>
      <c r="J286" t="s">
        <v>67</v>
      </c>
      <c r="K286" t="s">
        <v>68</v>
      </c>
      <c r="L286" t="s">
        <v>216</v>
      </c>
      <c r="M286" t="s">
        <v>217</v>
      </c>
      <c r="N286" t="s">
        <v>342</v>
      </c>
      <c r="O286" t="s">
        <v>120</v>
      </c>
      <c r="P286" t="str">
        <f>"                              "</f>
        <v xml:space="preserve">  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11.64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0.2</v>
      </c>
      <c r="BK286">
        <v>1</v>
      </c>
      <c r="BL286" s="5">
        <v>67.19</v>
      </c>
      <c r="BM286" s="5">
        <v>10.08</v>
      </c>
      <c r="BN286" s="5">
        <v>77.27</v>
      </c>
      <c r="BO286" s="5">
        <v>77.27</v>
      </c>
      <c r="BQ286" t="s">
        <v>219</v>
      </c>
      <c r="BR286" t="s">
        <v>144</v>
      </c>
      <c r="BS286" s="1">
        <v>43651</v>
      </c>
      <c r="BT286" s="2">
        <v>0.33611111111111108</v>
      </c>
      <c r="BU286" t="s">
        <v>220</v>
      </c>
      <c r="BV286" t="s">
        <v>86</v>
      </c>
      <c r="BY286">
        <v>1200</v>
      </c>
      <c r="BZ286" t="s">
        <v>23</v>
      </c>
      <c r="CA286" t="s">
        <v>221</v>
      </c>
      <c r="CC286" t="s">
        <v>217</v>
      </c>
      <c r="CD286">
        <v>1034</v>
      </c>
      <c r="CE286" t="s">
        <v>78</v>
      </c>
      <c r="CF286" s="1">
        <v>43654</v>
      </c>
      <c r="CI286">
        <v>1</v>
      </c>
      <c r="CJ286">
        <v>1</v>
      </c>
      <c r="CK286">
        <v>24</v>
      </c>
      <c r="CL286" t="s">
        <v>76</v>
      </c>
    </row>
    <row r="287" spans="1:90">
      <c r="A287" t="s">
        <v>62</v>
      </c>
      <c r="B287" t="s">
        <v>63</v>
      </c>
      <c r="C287" t="s">
        <v>64</v>
      </c>
      <c r="E287" t="str">
        <f>"009939030273"</f>
        <v>009939030273</v>
      </c>
      <c r="F287" s="1">
        <v>43649</v>
      </c>
      <c r="G287">
        <v>202001</v>
      </c>
      <c r="H287" t="s">
        <v>65</v>
      </c>
      <c r="I287" t="s">
        <v>66</v>
      </c>
      <c r="J287" t="s">
        <v>67</v>
      </c>
      <c r="K287" t="s">
        <v>68</v>
      </c>
      <c r="L287" t="s">
        <v>152</v>
      </c>
      <c r="M287" t="s">
        <v>153</v>
      </c>
      <c r="N287" t="s">
        <v>230</v>
      </c>
      <c r="O287" t="s">
        <v>120</v>
      </c>
      <c r="P287" t="str">
        <f>"LCK                           "</f>
        <v xml:space="preserve">LCK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16.04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0.2</v>
      </c>
      <c r="BK287">
        <v>1</v>
      </c>
      <c r="BL287" s="5">
        <v>92.57</v>
      </c>
      <c r="BM287" s="5">
        <v>13.89</v>
      </c>
      <c r="BN287" s="5">
        <v>106.46</v>
      </c>
      <c r="BO287" s="5">
        <v>106.46</v>
      </c>
      <c r="BQ287" t="s">
        <v>415</v>
      </c>
      <c r="BR287" t="s">
        <v>193</v>
      </c>
      <c r="BS287" s="1">
        <v>43650</v>
      </c>
      <c r="BT287" s="2">
        <v>0.43402777777777773</v>
      </c>
      <c r="BU287" t="s">
        <v>232</v>
      </c>
      <c r="BV287" t="s">
        <v>86</v>
      </c>
      <c r="BY287">
        <v>1200</v>
      </c>
      <c r="BZ287" t="s">
        <v>23</v>
      </c>
      <c r="CA287" t="s">
        <v>157</v>
      </c>
      <c r="CC287" t="s">
        <v>153</v>
      </c>
      <c r="CD287">
        <v>850</v>
      </c>
      <c r="CE287" t="s">
        <v>78</v>
      </c>
      <c r="CF287" s="1">
        <v>43654</v>
      </c>
      <c r="CI287">
        <v>1</v>
      </c>
      <c r="CJ287">
        <v>1</v>
      </c>
      <c r="CK287">
        <v>23</v>
      </c>
      <c r="CL287" t="s">
        <v>76</v>
      </c>
    </row>
    <row r="288" spans="1:90">
      <c r="A288" t="s">
        <v>62</v>
      </c>
      <c r="B288" t="s">
        <v>63</v>
      </c>
      <c r="C288" t="s">
        <v>64</v>
      </c>
      <c r="E288" t="str">
        <f>"009938155549"</f>
        <v>009938155549</v>
      </c>
      <c r="F288" s="1">
        <v>43649</v>
      </c>
      <c r="G288">
        <v>202001</v>
      </c>
      <c r="H288" t="s">
        <v>450</v>
      </c>
      <c r="I288" t="s">
        <v>451</v>
      </c>
      <c r="J288" t="s">
        <v>82</v>
      </c>
      <c r="K288" t="s">
        <v>68</v>
      </c>
      <c r="L288" t="s">
        <v>65</v>
      </c>
      <c r="M288" t="s">
        <v>66</v>
      </c>
      <c r="N288" t="s">
        <v>82</v>
      </c>
      <c r="O288" t="s">
        <v>72</v>
      </c>
      <c r="P288" t="str">
        <f>"                              "</f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31.43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33.9</v>
      </c>
      <c r="BJ288">
        <v>42.5</v>
      </c>
      <c r="BK288">
        <v>43</v>
      </c>
      <c r="BL288" s="5">
        <v>186.37</v>
      </c>
      <c r="BM288" s="5">
        <v>27.96</v>
      </c>
      <c r="BN288" s="5">
        <v>214.33</v>
      </c>
      <c r="BO288" s="5">
        <v>214.33</v>
      </c>
      <c r="BQ288" t="s">
        <v>173</v>
      </c>
      <c r="BR288" t="s">
        <v>453</v>
      </c>
      <c r="BS288" s="1">
        <v>43650</v>
      </c>
      <c r="BT288" s="2">
        <v>0.63541666666666663</v>
      </c>
      <c r="BU288" t="s">
        <v>100</v>
      </c>
      <c r="BV288" t="s">
        <v>86</v>
      </c>
      <c r="BY288">
        <v>212288.09</v>
      </c>
      <c r="CC288" t="s">
        <v>66</v>
      </c>
      <c r="CD288">
        <v>2146</v>
      </c>
      <c r="CE288" t="s">
        <v>78</v>
      </c>
      <c r="CF288" s="1">
        <v>43651</v>
      </c>
      <c r="CI288">
        <v>1</v>
      </c>
      <c r="CJ288">
        <v>1</v>
      </c>
      <c r="CK288" t="s">
        <v>338</v>
      </c>
      <c r="CL288" t="s">
        <v>76</v>
      </c>
    </row>
    <row r="289" spans="1:90">
      <c r="A289" t="s">
        <v>62</v>
      </c>
      <c r="B289" t="s">
        <v>63</v>
      </c>
      <c r="C289" t="s">
        <v>64</v>
      </c>
      <c r="E289" t="str">
        <f>"029908431968"</f>
        <v>029908431968</v>
      </c>
      <c r="F289" s="1">
        <v>43675</v>
      </c>
      <c r="G289">
        <v>202001</v>
      </c>
      <c r="H289" t="s">
        <v>116</v>
      </c>
      <c r="I289" t="s">
        <v>117</v>
      </c>
      <c r="J289" t="s">
        <v>118</v>
      </c>
      <c r="K289" t="s">
        <v>68</v>
      </c>
      <c r="L289" t="s">
        <v>65</v>
      </c>
      <c r="M289" t="s">
        <v>66</v>
      </c>
      <c r="N289" t="s">
        <v>119</v>
      </c>
      <c r="O289" t="s">
        <v>120</v>
      </c>
      <c r="P289" t="str">
        <f>"JNB1907290186                 "</f>
        <v xml:space="preserve">JNB1907290186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8.2799999999999994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0.2</v>
      </c>
      <c r="BK289">
        <v>1</v>
      </c>
      <c r="BL289" s="5">
        <v>47.78</v>
      </c>
      <c r="BM289" s="5">
        <v>7.17</v>
      </c>
      <c r="BN289" s="5">
        <v>54.95</v>
      </c>
      <c r="BO289" s="5">
        <v>54.95</v>
      </c>
      <c r="BQ289" t="s">
        <v>91</v>
      </c>
      <c r="BR289" t="s">
        <v>121</v>
      </c>
      <c r="BS289" s="1">
        <v>43676</v>
      </c>
      <c r="BT289" s="2">
        <v>0.40486111111111112</v>
      </c>
      <c r="BU289" t="s">
        <v>599</v>
      </c>
      <c r="BV289" t="s">
        <v>86</v>
      </c>
      <c r="BY289">
        <v>1200</v>
      </c>
      <c r="BZ289" t="s">
        <v>23</v>
      </c>
      <c r="CA289" t="s">
        <v>94</v>
      </c>
      <c r="CC289" t="s">
        <v>66</v>
      </c>
      <c r="CD289">
        <v>2146</v>
      </c>
      <c r="CE289" t="s">
        <v>78</v>
      </c>
      <c r="CF289" s="1">
        <v>43676</v>
      </c>
      <c r="CI289">
        <v>1</v>
      </c>
      <c r="CJ289">
        <v>1</v>
      </c>
      <c r="CK289">
        <v>21</v>
      </c>
      <c r="CL289" t="s">
        <v>76</v>
      </c>
    </row>
    <row r="290" spans="1:90">
      <c r="A290" t="s">
        <v>62</v>
      </c>
      <c r="B290" t="s">
        <v>63</v>
      </c>
      <c r="C290" t="s">
        <v>64</v>
      </c>
      <c r="E290" t="str">
        <f>"009938769275"</f>
        <v>009938769275</v>
      </c>
      <c r="F290" s="1">
        <v>43675</v>
      </c>
      <c r="G290">
        <v>202001</v>
      </c>
      <c r="H290" t="s">
        <v>103</v>
      </c>
      <c r="I290" t="s">
        <v>104</v>
      </c>
      <c r="J290" t="s">
        <v>205</v>
      </c>
      <c r="K290" t="s">
        <v>68</v>
      </c>
      <c r="L290" t="s">
        <v>116</v>
      </c>
      <c r="M290" t="s">
        <v>117</v>
      </c>
      <c r="N290" t="s">
        <v>67</v>
      </c>
      <c r="O290" t="s">
        <v>120</v>
      </c>
      <c r="P290" t="str">
        <f>"LCK                           "</f>
        <v xml:space="preserve">LCK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8.2799999999999994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0.8</v>
      </c>
      <c r="BJ290">
        <v>1.9</v>
      </c>
      <c r="BK290">
        <v>2</v>
      </c>
      <c r="BL290" s="5">
        <v>47.78</v>
      </c>
      <c r="BM290" s="5">
        <v>7.17</v>
      </c>
      <c r="BN290" s="5">
        <v>54.95</v>
      </c>
      <c r="BO290" s="5">
        <v>54.95</v>
      </c>
      <c r="BQ290" t="s">
        <v>185</v>
      </c>
      <c r="BR290" t="s">
        <v>84</v>
      </c>
      <c r="BS290" s="1">
        <v>43676</v>
      </c>
      <c r="BT290" s="2">
        <v>0.61597222222222225</v>
      </c>
      <c r="BU290" t="s">
        <v>428</v>
      </c>
      <c r="BV290" t="s">
        <v>76</v>
      </c>
      <c r="BW290" t="s">
        <v>597</v>
      </c>
      <c r="BX290" t="s">
        <v>598</v>
      </c>
      <c r="BY290">
        <v>9613.19</v>
      </c>
      <c r="BZ290" t="s">
        <v>23</v>
      </c>
      <c r="CA290" t="s">
        <v>188</v>
      </c>
      <c r="CC290" t="s">
        <v>117</v>
      </c>
      <c r="CD290">
        <v>4091</v>
      </c>
      <c r="CE290" t="s">
        <v>78</v>
      </c>
      <c r="CF290" s="1">
        <v>43677</v>
      </c>
      <c r="CI290">
        <v>1</v>
      </c>
      <c r="CJ290">
        <v>1</v>
      </c>
      <c r="CK290">
        <v>21</v>
      </c>
      <c r="CL290" t="s">
        <v>76</v>
      </c>
    </row>
    <row r="291" spans="1:90">
      <c r="A291" t="s">
        <v>62</v>
      </c>
      <c r="B291" t="s">
        <v>63</v>
      </c>
      <c r="C291" t="s">
        <v>64</v>
      </c>
      <c r="E291" t="str">
        <f>"009938391965"</f>
        <v>009938391965</v>
      </c>
      <c r="F291" s="1">
        <v>43675</v>
      </c>
      <c r="G291">
        <v>202001</v>
      </c>
      <c r="H291" t="s">
        <v>65</v>
      </c>
      <c r="I291" t="s">
        <v>66</v>
      </c>
      <c r="J291" t="s">
        <v>67</v>
      </c>
      <c r="K291" t="s">
        <v>68</v>
      </c>
      <c r="L291" t="s">
        <v>137</v>
      </c>
      <c r="M291" t="s">
        <v>138</v>
      </c>
      <c r="N291" t="s">
        <v>487</v>
      </c>
      <c r="O291" t="s">
        <v>120</v>
      </c>
      <c r="P291" t="str">
        <f>"EFTPOS                        "</f>
        <v xml:space="preserve">EFTPOS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24.83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5.0999999999999996</v>
      </c>
      <c r="BJ291">
        <v>5.6</v>
      </c>
      <c r="BK291">
        <v>6</v>
      </c>
      <c r="BL291" s="5">
        <v>143.29</v>
      </c>
      <c r="BM291" s="5">
        <v>21.49</v>
      </c>
      <c r="BN291" s="5">
        <v>164.78</v>
      </c>
      <c r="BO291" s="5">
        <v>164.78</v>
      </c>
      <c r="BQ291" t="s">
        <v>249</v>
      </c>
      <c r="BR291" t="s">
        <v>489</v>
      </c>
      <c r="BS291" s="1">
        <v>43677</v>
      </c>
      <c r="BT291" s="2">
        <v>0.48125000000000001</v>
      </c>
      <c r="BU291" t="s">
        <v>600</v>
      </c>
      <c r="BV291" t="s">
        <v>76</v>
      </c>
      <c r="BW291" t="s">
        <v>601</v>
      </c>
      <c r="BX291" t="s">
        <v>602</v>
      </c>
      <c r="BY291">
        <v>27774.19</v>
      </c>
      <c r="BZ291" t="s">
        <v>23</v>
      </c>
      <c r="CA291" t="s">
        <v>603</v>
      </c>
      <c r="CC291" t="s">
        <v>138</v>
      </c>
      <c r="CD291">
        <v>7441</v>
      </c>
      <c r="CE291" t="s">
        <v>78</v>
      </c>
      <c r="CF291" s="1">
        <v>43677</v>
      </c>
      <c r="CI291">
        <v>1</v>
      </c>
      <c r="CJ291">
        <v>2</v>
      </c>
      <c r="CK291">
        <v>21</v>
      </c>
      <c r="CL291" t="s">
        <v>76</v>
      </c>
    </row>
    <row r="292" spans="1:90">
      <c r="A292" t="s">
        <v>62</v>
      </c>
      <c r="B292" t="s">
        <v>63</v>
      </c>
      <c r="C292" t="s">
        <v>64</v>
      </c>
      <c r="E292" t="str">
        <f>"009938891315"</f>
        <v>009938891315</v>
      </c>
      <c r="F292" s="1">
        <v>43675</v>
      </c>
      <c r="G292">
        <v>202001</v>
      </c>
      <c r="H292" t="s">
        <v>65</v>
      </c>
      <c r="I292" t="s">
        <v>66</v>
      </c>
      <c r="J292" t="s">
        <v>67</v>
      </c>
      <c r="K292" t="s">
        <v>68</v>
      </c>
      <c r="L292" t="s">
        <v>152</v>
      </c>
      <c r="M292" t="s">
        <v>153</v>
      </c>
      <c r="N292" t="s">
        <v>67</v>
      </c>
      <c r="O292" t="s">
        <v>72</v>
      </c>
      <c r="P292" t="str">
        <f>"STORES                        "</f>
        <v xml:space="preserve">STORES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103.52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2</v>
      </c>
      <c r="BI292">
        <v>53</v>
      </c>
      <c r="BJ292">
        <v>84.5</v>
      </c>
      <c r="BK292">
        <v>85</v>
      </c>
      <c r="BL292" s="5">
        <v>602.4</v>
      </c>
      <c r="BM292" s="5">
        <v>90.36</v>
      </c>
      <c r="BN292" s="5">
        <v>692.76</v>
      </c>
      <c r="BO292" s="5">
        <v>692.76</v>
      </c>
      <c r="BQ292" t="s">
        <v>231</v>
      </c>
      <c r="BR292" t="s">
        <v>84</v>
      </c>
      <c r="BS292" s="1">
        <v>43676</v>
      </c>
      <c r="BT292" s="2">
        <v>0.5625</v>
      </c>
      <c r="BU292" t="s">
        <v>156</v>
      </c>
      <c r="BV292" t="s">
        <v>86</v>
      </c>
      <c r="BY292">
        <v>422400</v>
      </c>
      <c r="CA292" t="s">
        <v>157</v>
      </c>
      <c r="CC292" t="s">
        <v>153</v>
      </c>
      <c r="CD292">
        <v>850</v>
      </c>
      <c r="CE292" t="s">
        <v>78</v>
      </c>
      <c r="CF292" s="1">
        <v>43676</v>
      </c>
      <c r="CI292">
        <v>1</v>
      </c>
      <c r="CJ292">
        <v>1</v>
      </c>
      <c r="CK292" t="s">
        <v>88</v>
      </c>
      <c r="CL292" t="s">
        <v>76</v>
      </c>
    </row>
    <row r="293" spans="1:90">
      <c r="A293" t="s">
        <v>62</v>
      </c>
      <c r="B293" t="s">
        <v>63</v>
      </c>
      <c r="C293" t="s">
        <v>64</v>
      </c>
      <c r="E293" t="str">
        <f>"009938391976"</f>
        <v>009938391976</v>
      </c>
      <c r="F293" s="1">
        <v>43675</v>
      </c>
      <c r="G293">
        <v>202001</v>
      </c>
      <c r="H293" t="s">
        <v>65</v>
      </c>
      <c r="I293" t="s">
        <v>66</v>
      </c>
      <c r="J293" t="s">
        <v>67</v>
      </c>
      <c r="K293" t="s">
        <v>68</v>
      </c>
      <c r="L293" t="s">
        <v>141</v>
      </c>
      <c r="M293" t="s">
        <v>99</v>
      </c>
      <c r="N293" t="s">
        <v>142</v>
      </c>
      <c r="O293" t="s">
        <v>72</v>
      </c>
      <c r="P293" t="str">
        <f>"STORES                        "</f>
        <v xml:space="preserve">STORES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53.52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23</v>
      </c>
      <c r="BJ293">
        <v>42.2</v>
      </c>
      <c r="BK293">
        <v>43</v>
      </c>
      <c r="BL293" s="5">
        <v>313.83999999999997</v>
      </c>
      <c r="BM293" s="5">
        <v>47.08</v>
      </c>
      <c r="BN293" s="5">
        <v>360.92</v>
      </c>
      <c r="BO293" s="5">
        <v>360.92</v>
      </c>
      <c r="BQ293" t="s">
        <v>414</v>
      </c>
      <c r="BR293" t="s">
        <v>74</v>
      </c>
      <c r="BS293" s="1">
        <v>43677</v>
      </c>
      <c r="BT293" s="2">
        <v>0.49444444444444446</v>
      </c>
      <c r="BU293" t="s">
        <v>604</v>
      </c>
      <c r="BV293" t="s">
        <v>86</v>
      </c>
      <c r="BY293">
        <v>211200</v>
      </c>
      <c r="CC293" t="s">
        <v>99</v>
      </c>
      <c r="CD293">
        <v>6529</v>
      </c>
      <c r="CE293" t="s">
        <v>78</v>
      </c>
      <c r="CI293">
        <v>0</v>
      </c>
      <c r="CJ293">
        <v>0</v>
      </c>
      <c r="CK293" t="s">
        <v>146</v>
      </c>
      <c r="CL293" t="s">
        <v>76</v>
      </c>
    </row>
    <row r="294" spans="1:90">
      <c r="A294" t="s">
        <v>62</v>
      </c>
      <c r="B294" t="s">
        <v>63</v>
      </c>
      <c r="C294" t="s">
        <v>64</v>
      </c>
      <c r="E294" t="str">
        <f>"009938391969"</f>
        <v>009938391969</v>
      </c>
      <c r="F294" s="1">
        <v>43675</v>
      </c>
      <c r="G294">
        <v>202001</v>
      </c>
      <c r="H294" t="s">
        <v>65</v>
      </c>
      <c r="I294" t="s">
        <v>66</v>
      </c>
      <c r="J294" t="s">
        <v>67</v>
      </c>
      <c r="K294" t="s">
        <v>68</v>
      </c>
      <c r="L294" t="s">
        <v>131</v>
      </c>
      <c r="M294" t="s">
        <v>132</v>
      </c>
      <c r="N294" t="s">
        <v>605</v>
      </c>
      <c r="O294" t="s">
        <v>72</v>
      </c>
      <c r="P294" t="str">
        <f>"STORES                        "</f>
        <v xml:space="preserve">STORES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91.61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2</v>
      </c>
      <c r="BI294">
        <v>46</v>
      </c>
      <c r="BJ294">
        <v>74.400000000000006</v>
      </c>
      <c r="BK294">
        <v>75</v>
      </c>
      <c r="BL294" s="5">
        <v>533.69000000000005</v>
      </c>
      <c r="BM294" s="5">
        <v>80.05</v>
      </c>
      <c r="BN294" s="5">
        <v>613.74</v>
      </c>
      <c r="BO294" s="5">
        <v>613.74</v>
      </c>
      <c r="BQ294" t="s">
        <v>606</v>
      </c>
      <c r="BR294" t="s">
        <v>74</v>
      </c>
      <c r="BS294" t="s">
        <v>567</v>
      </c>
      <c r="BY294">
        <v>372000</v>
      </c>
      <c r="CC294" t="s">
        <v>132</v>
      </c>
      <c r="CD294">
        <v>1150</v>
      </c>
      <c r="CE294" t="s">
        <v>78</v>
      </c>
      <c r="CI294">
        <v>0</v>
      </c>
      <c r="CJ294">
        <v>0</v>
      </c>
      <c r="CK294" t="s">
        <v>88</v>
      </c>
      <c r="CL294" t="s">
        <v>76</v>
      </c>
    </row>
    <row r="295" spans="1:90">
      <c r="A295" t="s">
        <v>62</v>
      </c>
      <c r="B295" t="s">
        <v>63</v>
      </c>
      <c r="C295" t="s">
        <v>64</v>
      </c>
      <c r="E295" t="str">
        <f>"029908430997"</f>
        <v>029908430997</v>
      </c>
      <c r="F295" s="1">
        <v>43675</v>
      </c>
      <c r="G295">
        <v>202001</v>
      </c>
      <c r="H295" t="s">
        <v>116</v>
      </c>
      <c r="I295" t="s">
        <v>117</v>
      </c>
      <c r="J295" t="s">
        <v>118</v>
      </c>
      <c r="K295" t="s">
        <v>68</v>
      </c>
      <c r="L295" t="s">
        <v>103</v>
      </c>
      <c r="M295" t="s">
        <v>104</v>
      </c>
      <c r="N295" t="s">
        <v>67</v>
      </c>
      <c r="O295" t="s">
        <v>72</v>
      </c>
      <c r="P295" t="str">
        <f>"JNB1907290059                 "</f>
        <v xml:space="preserve">JNB1907290059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15.52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0.5</v>
      </c>
      <c r="BK295">
        <v>1</v>
      </c>
      <c r="BL295" s="5">
        <v>94.58</v>
      </c>
      <c r="BM295" s="5">
        <v>14.19</v>
      </c>
      <c r="BN295" s="5">
        <v>108.77</v>
      </c>
      <c r="BO295" s="5">
        <v>108.77</v>
      </c>
      <c r="BQ295" t="s">
        <v>607</v>
      </c>
      <c r="BR295" t="s">
        <v>608</v>
      </c>
      <c r="BS295" s="1">
        <v>43676</v>
      </c>
      <c r="BT295" s="2">
        <v>0.35138888888888892</v>
      </c>
      <c r="BU295" t="s">
        <v>609</v>
      </c>
      <c r="BV295" t="s">
        <v>86</v>
      </c>
      <c r="BY295">
        <v>2400</v>
      </c>
      <c r="CA295" t="s">
        <v>94</v>
      </c>
      <c r="CC295" t="s">
        <v>104</v>
      </c>
      <c r="CD295">
        <v>2000</v>
      </c>
      <c r="CE295" t="s">
        <v>78</v>
      </c>
      <c r="CF295" s="1">
        <v>43676</v>
      </c>
      <c r="CI295">
        <v>1</v>
      </c>
      <c r="CJ295">
        <v>1</v>
      </c>
      <c r="CK295" t="s">
        <v>338</v>
      </c>
      <c r="CL295" t="s">
        <v>76</v>
      </c>
    </row>
    <row r="296" spans="1:90">
      <c r="A296" t="s">
        <v>62</v>
      </c>
      <c r="B296" t="s">
        <v>63</v>
      </c>
      <c r="C296" t="s">
        <v>64</v>
      </c>
      <c r="E296" t="str">
        <f>"009938391968"</f>
        <v>009938391968</v>
      </c>
      <c r="F296" s="1">
        <v>43675</v>
      </c>
      <c r="G296">
        <v>202001</v>
      </c>
      <c r="H296" t="s">
        <v>65</v>
      </c>
      <c r="I296" t="s">
        <v>66</v>
      </c>
      <c r="J296" t="s">
        <v>67</v>
      </c>
      <c r="K296" t="s">
        <v>68</v>
      </c>
      <c r="L296" t="s">
        <v>152</v>
      </c>
      <c r="M296" t="s">
        <v>153</v>
      </c>
      <c r="N296" t="s">
        <v>267</v>
      </c>
      <c r="O296" t="s">
        <v>72</v>
      </c>
      <c r="P296" t="str">
        <f>"STORES                        "</f>
        <v xml:space="preserve">STORES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127.33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3</v>
      </c>
      <c r="BI296">
        <v>105</v>
      </c>
      <c r="BJ296">
        <v>53.5</v>
      </c>
      <c r="BK296">
        <v>105</v>
      </c>
      <c r="BL296" s="5">
        <v>739.81</v>
      </c>
      <c r="BM296" s="5">
        <v>110.97</v>
      </c>
      <c r="BN296" s="5">
        <v>850.78</v>
      </c>
      <c r="BO296" s="5">
        <v>850.78</v>
      </c>
      <c r="BQ296" t="s">
        <v>610</v>
      </c>
      <c r="BR296" t="s">
        <v>74</v>
      </c>
      <c r="BS296" s="1">
        <v>43676</v>
      </c>
      <c r="BT296" s="2">
        <v>0.5625</v>
      </c>
      <c r="BU296" t="s">
        <v>156</v>
      </c>
      <c r="BV296" t="s">
        <v>86</v>
      </c>
      <c r="BY296">
        <v>239424</v>
      </c>
      <c r="CA296" t="s">
        <v>157</v>
      </c>
      <c r="CC296" t="s">
        <v>153</v>
      </c>
      <c r="CD296">
        <v>850</v>
      </c>
      <c r="CE296" t="s">
        <v>78</v>
      </c>
      <c r="CF296" s="1">
        <v>43676</v>
      </c>
      <c r="CI296">
        <v>1</v>
      </c>
      <c r="CJ296">
        <v>1</v>
      </c>
      <c r="CK296" t="s">
        <v>88</v>
      </c>
      <c r="CL296" t="s">
        <v>76</v>
      </c>
    </row>
    <row r="297" spans="1:90">
      <c r="A297" t="s">
        <v>62</v>
      </c>
      <c r="B297" t="s">
        <v>63</v>
      </c>
      <c r="C297" t="s">
        <v>64</v>
      </c>
      <c r="E297" t="str">
        <f>"029908430996"</f>
        <v>029908430996</v>
      </c>
      <c r="F297" s="1">
        <v>43675</v>
      </c>
      <c r="G297">
        <v>202001</v>
      </c>
      <c r="H297" t="s">
        <v>116</v>
      </c>
      <c r="I297" t="s">
        <v>117</v>
      </c>
      <c r="J297" t="s">
        <v>118</v>
      </c>
      <c r="K297" t="s">
        <v>68</v>
      </c>
      <c r="L297" t="s">
        <v>103</v>
      </c>
      <c r="M297" t="s">
        <v>104</v>
      </c>
      <c r="N297" t="s">
        <v>592</v>
      </c>
      <c r="O297" t="s">
        <v>72</v>
      </c>
      <c r="P297" t="str">
        <f>"JNB1907290059                 "</f>
        <v xml:space="preserve">JNB1907290059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15.52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0.2</v>
      </c>
      <c r="BJ297">
        <v>0.2</v>
      </c>
      <c r="BK297">
        <v>1</v>
      </c>
      <c r="BL297" s="5">
        <v>94.58</v>
      </c>
      <c r="BM297" s="5">
        <v>14.19</v>
      </c>
      <c r="BN297" s="5">
        <v>108.77</v>
      </c>
      <c r="BO297" s="5">
        <v>108.77</v>
      </c>
      <c r="BQ297" t="s">
        <v>607</v>
      </c>
      <c r="BR297" t="s">
        <v>235</v>
      </c>
      <c r="BS297" s="1">
        <v>43676</v>
      </c>
      <c r="BT297" s="2">
        <v>0.35000000000000003</v>
      </c>
      <c r="BU297" t="s">
        <v>611</v>
      </c>
      <c r="BV297" t="s">
        <v>86</v>
      </c>
      <c r="BY297">
        <v>1200</v>
      </c>
      <c r="CA297" t="s">
        <v>94</v>
      </c>
      <c r="CC297" t="s">
        <v>104</v>
      </c>
      <c r="CD297">
        <v>2000</v>
      </c>
      <c r="CE297" t="s">
        <v>78</v>
      </c>
      <c r="CF297" s="1">
        <v>43676</v>
      </c>
      <c r="CI297">
        <v>1</v>
      </c>
      <c r="CJ297">
        <v>1</v>
      </c>
      <c r="CK297" t="s">
        <v>338</v>
      </c>
      <c r="CL297" t="s">
        <v>76</v>
      </c>
    </row>
    <row r="298" spans="1:90">
      <c r="A298" t="s">
        <v>180</v>
      </c>
      <c r="B298" t="s">
        <v>63</v>
      </c>
      <c r="C298" t="s">
        <v>64</v>
      </c>
      <c r="E298" t="str">
        <f>"009938662313"</f>
        <v>009938662313</v>
      </c>
      <c r="F298" s="1">
        <v>43675</v>
      </c>
      <c r="G298">
        <v>202001</v>
      </c>
      <c r="H298" t="s">
        <v>152</v>
      </c>
      <c r="I298" t="s">
        <v>153</v>
      </c>
      <c r="J298" t="s">
        <v>612</v>
      </c>
      <c r="K298" t="s">
        <v>68</v>
      </c>
      <c r="L298" t="s">
        <v>103</v>
      </c>
      <c r="M298" t="s">
        <v>104</v>
      </c>
      <c r="N298" t="s">
        <v>296</v>
      </c>
      <c r="O298" t="s">
        <v>72</v>
      </c>
      <c r="P298" t="str">
        <f>"                              "</f>
        <v xml:space="preserve">   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96.21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2</v>
      </c>
      <c r="BI298">
        <v>100</v>
      </c>
      <c r="BJ298">
        <v>132.5</v>
      </c>
      <c r="BK298">
        <v>133</v>
      </c>
      <c r="BL298" s="5">
        <v>560.22</v>
      </c>
      <c r="BM298" s="5">
        <v>84.03</v>
      </c>
      <c r="BN298" s="5">
        <v>644.25</v>
      </c>
      <c r="BO298" s="5">
        <v>644.25</v>
      </c>
      <c r="BQ298" t="s">
        <v>498</v>
      </c>
      <c r="BS298" s="1">
        <v>43676</v>
      </c>
      <c r="BT298" s="2">
        <v>0.45763888888888887</v>
      </c>
      <c r="BU298" t="s">
        <v>100</v>
      </c>
      <c r="BV298" t="s">
        <v>86</v>
      </c>
      <c r="BY298">
        <v>662400</v>
      </c>
      <c r="CC298" t="s">
        <v>104</v>
      </c>
      <c r="CD298">
        <v>2196</v>
      </c>
      <c r="CE298">
        <v>1</v>
      </c>
      <c r="CI298">
        <v>1</v>
      </c>
      <c r="CJ298">
        <v>1</v>
      </c>
      <c r="CK298" t="s">
        <v>262</v>
      </c>
      <c r="CL298" t="s">
        <v>76</v>
      </c>
    </row>
    <row r="299" spans="1:90">
      <c r="A299" t="s">
        <v>180</v>
      </c>
      <c r="B299" t="s">
        <v>63</v>
      </c>
      <c r="C299" t="s">
        <v>64</v>
      </c>
      <c r="E299" t="str">
        <f>"009938925270"</f>
        <v>009938925270</v>
      </c>
      <c r="F299" s="1">
        <v>43675</v>
      </c>
      <c r="G299">
        <v>202001</v>
      </c>
      <c r="H299" t="s">
        <v>101</v>
      </c>
      <c r="I299" t="s">
        <v>102</v>
      </c>
      <c r="J299" t="s">
        <v>82</v>
      </c>
      <c r="K299" t="s">
        <v>68</v>
      </c>
      <c r="L299" t="s">
        <v>103</v>
      </c>
      <c r="M299" t="s">
        <v>104</v>
      </c>
      <c r="N299" t="s">
        <v>345</v>
      </c>
      <c r="O299" t="s">
        <v>72</v>
      </c>
      <c r="P299" t="str">
        <f>"                              "</f>
        <v xml:space="preserve">  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45.06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3</v>
      </c>
      <c r="BI299">
        <v>41</v>
      </c>
      <c r="BJ299">
        <v>66.5</v>
      </c>
      <c r="BK299">
        <v>67</v>
      </c>
      <c r="BL299" s="5">
        <v>265.04000000000002</v>
      </c>
      <c r="BM299" s="5">
        <v>39.76</v>
      </c>
      <c r="BN299" s="5">
        <v>304.8</v>
      </c>
      <c r="BO299" s="5">
        <v>304.8</v>
      </c>
      <c r="BR299" t="s">
        <v>106</v>
      </c>
      <c r="BS299" s="1">
        <v>43676</v>
      </c>
      <c r="BT299" s="2">
        <v>0.45763888888888887</v>
      </c>
      <c r="BU299" t="s">
        <v>100</v>
      </c>
      <c r="BV299" t="s">
        <v>86</v>
      </c>
      <c r="BY299">
        <v>280564</v>
      </c>
      <c r="CC299" t="s">
        <v>104</v>
      </c>
      <c r="CD299">
        <v>2000</v>
      </c>
      <c r="CE299" t="s">
        <v>613</v>
      </c>
      <c r="CI299">
        <v>1</v>
      </c>
      <c r="CJ299">
        <v>1</v>
      </c>
      <c r="CK299" t="s">
        <v>107</v>
      </c>
      <c r="CL299" t="s">
        <v>76</v>
      </c>
    </row>
    <row r="300" spans="1:90">
      <c r="A300" t="s">
        <v>62</v>
      </c>
      <c r="B300" t="s">
        <v>63</v>
      </c>
      <c r="C300" t="s">
        <v>64</v>
      </c>
      <c r="E300" t="str">
        <f>"009938891116"</f>
        <v>009938891116</v>
      </c>
      <c r="F300" s="1">
        <v>43676</v>
      </c>
      <c r="G300">
        <v>202001</v>
      </c>
      <c r="H300" t="s">
        <v>65</v>
      </c>
      <c r="I300" t="s">
        <v>66</v>
      </c>
      <c r="J300" t="s">
        <v>67</v>
      </c>
      <c r="K300" t="s">
        <v>68</v>
      </c>
      <c r="L300" t="s">
        <v>189</v>
      </c>
      <c r="M300" t="s">
        <v>190</v>
      </c>
      <c r="N300" t="s">
        <v>67</v>
      </c>
      <c r="O300" t="s">
        <v>72</v>
      </c>
      <c r="P300" t="str">
        <f>"STORES                        "</f>
        <v xml:space="preserve">STORES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116.61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3</v>
      </c>
      <c r="BI300">
        <v>87</v>
      </c>
      <c r="BJ300">
        <v>95.3</v>
      </c>
      <c r="BK300">
        <v>96</v>
      </c>
      <c r="BL300" s="5">
        <v>677.97</v>
      </c>
      <c r="BM300" s="5">
        <v>101.7</v>
      </c>
      <c r="BN300" s="5">
        <v>779.67</v>
      </c>
      <c r="BO300" s="5">
        <v>779.67</v>
      </c>
      <c r="BQ300" t="s">
        <v>192</v>
      </c>
      <c r="BR300" t="s">
        <v>84</v>
      </c>
      <c r="BS300" s="1">
        <v>43677</v>
      </c>
      <c r="BT300" s="2">
        <v>0.63958333333333328</v>
      </c>
      <c r="BU300" t="s">
        <v>614</v>
      </c>
      <c r="BV300" t="s">
        <v>86</v>
      </c>
      <c r="BY300">
        <v>476304</v>
      </c>
      <c r="CA300" t="s">
        <v>615</v>
      </c>
      <c r="CC300" t="s">
        <v>190</v>
      </c>
      <c r="CD300">
        <v>920</v>
      </c>
      <c r="CE300" t="s">
        <v>78</v>
      </c>
      <c r="CF300" s="1">
        <v>43677</v>
      </c>
      <c r="CI300">
        <v>1</v>
      </c>
      <c r="CJ300">
        <v>1</v>
      </c>
      <c r="CK300" t="s">
        <v>146</v>
      </c>
      <c r="CL300" t="s">
        <v>76</v>
      </c>
    </row>
    <row r="301" spans="1:90">
      <c r="A301" t="s">
        <v>62</v>
      </c>
      <c r="B301" t="s">
        <v>63</v>
      </c>
      <c r="C301" t="s">
        <v>64</v>
      </c>
      <c r="E301" t="str">
        <f>"009938769143"</f>
        <v>009938769143</v>
      </c>
      <c r="F301" s="1">
        <v>43676</v>
      </c>
      <c r="G301">
        <v>202001</v>
      </c>
      <c r="H301" t="s">
        <v>65</v>
      </c>
      <c r="I301" t="s">
        <v>66</v>
      </c>
      <c r="J301" t="s">
        <v>67</v>
      </c>
      <c r="K301" t="s">
        <v>68</v>
      </c>
      <c r="L301" t="s">
        <v>96</v>
      </c>
      <c r="M301" t="s">
        <v>97</v>
      </c>
      <c r="N301" t="s">
        <v>67</v>
      </c>
      <c r="O301" t="s">
        <v>72</v>
      </c>
      <c r="P301" t="str">
        <f>"STORES                        "</f>
        <v xml:space="preserve">STORES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45.98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3</v>
      </c>
      <c r="BI301">
        <v>101</v>
      </c>
      <c r="BJ301">
        <v>84.5</v>
      </c>
      <c r="BK301">
        <v>85</v>
      </c>
      <c r="BL301" s="5">
        <v>270.33</v>
      </c>
      <c r="BM301" s="5">
        <v>40.549999999999997</v>
      </c>
      <c r="BN301" s="5">
        <v>310.88</v>
      </c>
      <c r="BO301" s="5">
        <v>310.88</v>
      </c>
      <c r="BQ301" t="s">
        <v>203</v>
      </c>
      <c r="BR301" t="s">
        <v>84</v>
      </c>
      <c r="BS301" s="1">
        <v>43677</v>
      </c>
      <c r="BT301" s="2">
        <v>0.5</v>
      </c>
      <c r="BU301" t="s">
        <v>200</v>
      </c>
      <c r="BV301" t="s">
        <v>86</v>
      </c>
      <c r="BY301">
        <v>422400</v>
      </c>
      <c r="CA301" t="s">
        <v>162</v>
      </c>
      <c r="CC301" t="s">
        <v>97</v>
      </c>
      <c r="CD301">
        <v>699</v>
      </c>
      <c r="CE301" t="s">
        <v>78</v>
      </c>
      <c r="CF301" s="1">
        <v>43677</v>
      </c>
      <c r="CI301">
        <v>1</v>
      </c>
      <c r="CJ301">
        <v>1</v>
      </c>
      <c r="CK301" t="s">
        <v>79</v>
      </c>
      <c r="CL301" t="s">
        <v>76</v>
      </c>
    </row>
    <row r="302" spans="1:90">
      <c r="A302" t="s">
        <v>62</v>
      </c>
      <c r="B302" t="s">
        <v>63</v>
      </c>
      <c r="C302" t="s">
        <v>64</v>
      </c>
      <c r="E302" t="str">
        <f>"009938391964"</f>
        <v>009938391964</v>
      </c>
      <c r="F302" s="1">
        <v>43676</v>
      </c>
      <c r="G302">
        <v>202001</v>
      </c>
      <c r="H302" t="s">
        <v>65</v>
      </c>
      <c r="I302" t="s">
        <v>66</v>
      </c>
      <c r="J302" t="s">
        <v>67</v>
      </c>
      <c r="K302" t="s">
        <v>68</v>
      </c>
      <c r="L302" t="s">
        <v>255</v>
      </c>
      <c r="M302" t="s">
        <v>256</v>
      </c>
      <c r="N302" t="s">
        <v>67</v>
      </c>
      <c r="O302" t="s">
        <v>72</v>
      </c>
      <c r="P302" t="str">
        <f>"STORES                        "</f>
        <v xml:space="preserve">STORES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35.659999999999997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2</v>
      </c>
      <c r="BI302">
        <v>56</v>
      </c>
      <c r="BJ302">
        <v>42.2</v>
      </c>
      <c r="BK302">
        <v>43</v>
      </c>
      <c r="BL302" s="5">
        <v>210.77</v>
      </c>
      <c r="BM302" s="5">
        <v>31.62</v>
      </c>
      <c r="BN302" s="5">
        <v>242.39</v>
      </c>
      <c r="BO302" s="5">
        <v>242.39</v>
      </c>
      <c r="BQ302" t="s">
        <v>616</v>
      </c>
      <c r="BR302" t="s">
        <v>74</v>
      </c>
      <c r="BS302" t="s">
        <v>567</v>
      </c>
      <c r="BY302">
        <v>285120</v>
      </c>
      <c r="CC302" t="s">
        <v>256</v>
      </c>
      <c r="CD302">
        <v>3200</v>
      </c>
      <c r="CE302" t="s">
        <v>78</v>
      </c>
      <c r="CI302">
        <v>1</v>
      </c>
      <c r="CJ302" t="s">
        <v>567</v>
      </c>
      <c r="CK302" t="s">
        <v>262</v>
      </c>
      <c r="CL302" t="s">
        <v>76</v>
      </c>
    </row>
    <row r="303" spans="1:90">
      <c r="A303" t="s">
        <v>62</v>
      </c>
      <c r="B303" t="s">
        <v>63</v>
      </c>
      <c r="C303" t="s">
        <v>64</v>
      </c>
      <c r="E303" t="str">
        <f>"009938769276"</f>
        <v>009938769276</v>
      </c>
      <c r="F303" s="1">
        <v>43676</v>
      </c>
      <c r="G303">
        <v>202001</v>
      </c>
      <c r="H303" t="s">
        <v>65</v>
      </c>
      <c r="I303" t="s">
        <v>66</v>
      </c>
      <c r="J303" t="s">
        <v>67</v>
      </c>
      <c r="K303" t="s">
        <v>68</v>
      </c>
      <c r="L303" t="s">
        <v>116</v>
      </c>
      <c r="M303" t="s">
        <v>117</v>
      </c>
      <c r="N303" t="s">
        <v>617</v>
      </c>
      <c r="O303" t="s">
        <v>72</v>
      </c>
      <c r="P303" t="str">
        <f>"STORES                        "</f>
        <v xml:space="preserve">STORES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45.98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2</v>
      </c>
      <c r="BI303">
        <v>84</v>
      </c>
      <c r="BJ303">
        <v>84.5</v>
      </c>
      <c r="BK303">
        <v>85</v>
      </c>
      <c r="BL303" s="5">
        <v>270.33</v>
      </c>
      <c r="BM303" s="5">
        <v>40.549999999999997</v>
      </c>
      <c r="BN303" s="5">
        <v>310.88</v>
      </c>
      <c r="BO303" s="5">
        <v>310.88</v>
      </c>
      <c r="BQ303" t="s">
        <v>185</v>
      </c>
      <c r="BR303" t="s">
        <v>84</v>
      </c>
      <c r="BS303" s="1">
        <v>43677</v>
      </c>
      <c r="BT303" s="2">
        <v>0.59930555555555554</v>
      </c>
      <c r="BU303" t="s">
        <v>618</v>
      </c>
      <c r="BV303" t="s">
        <v>86</v>
      </c>
      <c r="BY303">
        <v>211200</v>
      </c>
      <c r="CA303" t="s">
        <v>290</v>
      </c>
      <c r="CC303" t="s">
        <v>117</v>
      </c>
      <c r="CD303">
        <v>4091</v>
      </c>
      <c r="CE303" t="s">
        <v>78</v>
      </c>
      <c r="CF303" s="1">
        <v>43677</v>
      </c>
      <c r="CI303">
        <v>1</v>
      </c>
      <c r="CJ303">
        <v>1</v>
      </c>
      <c r="CK303" t="s">
        <v>291</v>
      </c>
      <c r="CL303" t="s">
        <v>76</v>
      </c>
    </row>
    <row r="304" spans="1:90">
      <c r="A304" t="s">
        <v>62</v>
      </c>
      <c r="B304" t="s">
        <v>63</v>
      </c>
      <c r="C304" t="s">
        <v>64</v>
      </c>
      <c r="E304" t="str">
        <f>"009938743143"</f>
        <v>009938743143</v>
      </c>
      <c r="F304" s="1">
        <v>43676</v>
      </c>
      <c r="G304">
        <v>202001</v>
      </c>
      <c r="H304" t="s">
        <v>89</v>
      </c>
      <c r="I304" t="s">
        <v>90</v>
      </c>
      <c r="J304" t="s">
        <v>82</v>
      </c>
      <c r="K304" t="s">
        <v>68</v>
      </c>
      <c r="L304" t="s">
        <v>65</v>
      </c>
      <c r="M304" t="s">
        <v>66</v>
      </c>
      <c r="N304" t="s">
        <v>82</v>
      </c>
      <c r="O304" t="s">
        <v>72</v>
      </c>
      <c r="P304" t="str">
        <f>".....                         "</f>
        <v xml:space="preserve">.....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15.52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</v>
      </c>
      <c r="BJ304">
        <v>0.2</v>
      </c>
      <c r="BK304">
        <v>1</v>
      </c>
      <c r="BL304" s="5">
        <v>94.58</v>
      </c>
      <c r="BM304" s="5">
        <v>14.19</v>
      </c>
      <c r="BN304" s="5">
        <v>108.77</v>
      </c>
      <c r="BO304" s="5">
        <v>108.77</v>
      </c>
      <c r="BQ304" t="s">
        <v>283</v>
      </c>
      <c r="BR304" t="s">
        <v>92</v>
      </c>
      <c r="BS304" s="1">
        <v>43677</v>
      </c>
      <c r="BT304" s="2">
        <v>0.4375</v>
      </c>
      <c r="BU304" t="s">
        <v>500</v>
      </c>
      <c r="BV304" t="s">
        <v>86</v>
      </c>
      <c r="BY304">
        <v>1200</v>
      </c>
      <c r="CA304" t="s">
        <v>94</v>
      </c>
      <c r="CC304" t="s">
        <v>66</v>
      </c>
      <c r="CD304">
        <v>2146</v>
      </c>
      <c r="CE304" t="s">
        <v>78</v>
      </c>
      <c r="CF304" s="1">
        <v>43677</v>
      </c>
      <c r="CI304">
        <v>1</v>
      </c>
      <c r="CJ304">
        <v>1</v>
      </c>
      <c r="CK304" t="s">
        <v>95</v>
      </c>
      <c r="CL304" t="s">
        <v>76</v>
      </c>
    </row>
    <row r="305" spans="1:90">
      <c r="A305" t="s">
        <v>62</v>
      </c>
      <c r="B305" t="s">
        <v>63</v>
      </c>
      <c r="C305" t="s">
        <v>64</v>
      </c>
      <c r="E305" t="str">
        <f>"009936763527"</f>
        <v>009936763527</v>
      </c>
      <c r="F305" s="1">
        <v>43675</v>
      </c>
      <c r="G305">
        <v>202001</v>
      </c>
      <c r="H305" t="s">
        <v>96</v>
      </c>
      <c r="I305" t="s">
        <v>97</v>
      </c>
      <c r="J305" t="s">
        <v>67</v>
      </c>
      <c r="K305" t="s">
        <v>68</v>
      </c>
      <c r="L305" t="s">
        <v>65</v>
      </c>
      <c r="M305" t="s">
        <v>66</v>
      </c>
      <c r="N305" t="s">
        <v>82</v>
      </c>
      <c r="O305" t="s">
        <v>72</v>
      </c>
      <c r="P305" t="str">
        <f>"                              "</f>
        <v xml:space="preserve">   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55.28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2</v>
      </c>
      <c r="BI305">
        <v>64.2</v>
      </c>
      <c r="BJ305">
        <v>84.5</v>
      </c>
      <c r="BK305">
        <v>85</v>
      </c>
      <c r="BL305" s="5">
        <v>324.04000000000002</v>
      </c>
      <c r="BM305" s="5">
        <v>48.61</v>
      </c>
      <c r="BN305" s="5">
        <v>372.65</v>
      </c>
      <c r="BO305" s="5">
        <v>372.65</v>
      </c>
      <c r="BQ305" t="s">
        <v>98</v>
      </c>
      <c r="BS305" s="1">
        <v>43676</v>
      </c>
      <c r="BT305" s="2">
        <v>0.45763888888888887</v>
      </c>
      <c r="BU305" t="s">
        <v>100</v>
      </c>
      <c r="BV305" t="s">
        <v>86</v>
      </c>
      <c r="BY305">
        <v>422400</v>
      </c>
      <c r="CC305" t="s">
        <v>66</v>
      </c>
      <c r="CD305">
        <v>2146</v>
      </c>
      <c r="CE305">
        <v>1</v>
      </c>
      <c r="CI305">
        <v>1</v>
      </c>
      <c r="CJ305">
        <v>1</v>
      </c>
      <c r="CK305" t="s">
        <v>95</v>
      </c>
      <c r="CL305" t="s">
        <v>76</v>
      </c>
    </row>
    <row r="306" spans="1:90">
      <c r="A306" t="s">
        <v>62</v>
      </c>
      <c r="B306" t="s">
        <v>63</v>
      </c>
      <c r="C306" t="s">
        <v>64</v>
      </c>
      <c r="E306" t="str">
        <f>"009937971064"</f>
        <v>009937971064</v>
      </c>
      <c r="F306" s="1">
        <v>43676</v>
      </c>
      <c r="G306">
        <v>202001</v>
      </c>
      <c r="H306" t="s">
        <v>65</v>
      </c>
      <c r="I306" t="s">
        <v>66</v>
      </c>
      <c r="J306" t="s">
        <v>67</v>
      </c>
      <c r="K306" t="s">
        <v>68</v>
      </c>
      <c r="L306" t="s">
        <v>131</v>
      </c>
      <c r="M306" t="s">
        <v>132</v>
      </c>
      <c r="N306" t="s">
        <v>67</v>
      </c>
      <c r="O306" t="s">
        <v>120</v>
      </c>
      <c r="P306" t="str">
        <f>"LOCKS                         "</f>
        <v xml:space="preserve">LOCKS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11.64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0.2</v>
      </c>
      <c r="BK306">
        <v>1</v>
      </c>
      <c r="BL306" s="5">
        <v>67.19</v>
      </c>
      <c r="BM306" s="5">
        <v>10.08</v>
      </c>
      <c r="BN306" s="5">
        <v>77.27</v>
      </c>
      <c r="BO306" s="5">
        <v>77.27</v>
      </c>
      <c r="BQ306" t="s">
        <v>619</v>
      </c>
      <c r="BR306" t="s">
        <v>144</v>
      </c>
      <c r="BS306" t="s">
        <v>567</v>
      </c>
      <c r="BY306">
        <v>1200</v>
      </c>
      <c r="BZ306" t="s">
        <v>23</v>
      </c>
      <c r="CC306" t="s">
        <v>132</v>
      </c>
      <c r="CD306">
        <v>1150</v>
      </c>
      <c r="CE306" t="s">
        <v>78</v>
      </c>
      <c r="CI306">
        <v>3</v>
      </c>
      <c r="CJ306" t="s">
        <v>567</v>
      </c>
      <c r="CK306">
        <v>24</v>
      </c>
      <c r="CL306" t="s">
        <v>76</v>
      </c>
    </row>
    <row r="307" spans="1:90">
      <c r="A307" t="s">
        <v>62</v>
      </c>
      <c r="B307" t="s">
        <v>63</v>
      </c>
      <c r="C307" t="s">
        <v>64</v>
      </c>
      <c r="E307" t="str">
        <f>"009939030287"</f>
        <v>009939030287</v>
      </c>
      <c r="F307" s="1">
        <v>43676</v>
      </c>
      <c r="G307">
        <v>202001</v>
      </c>
      <c r="H307" t="s">
        <v>65</v>
      </c>
      <c r="I307" t="s">
        <v>66</v>
      </c>
      <c r="J307" t="s">
        <v>67</v>
      </c>
      <c r="K307" t="s">
        <v>68</v>
      </c>
      <c r="L307" t="s">
        <v>307</v>
      </c>
      <c r="M307" t="s">
        <v>70</v>
      </c>
      <c r="N307" t="s">
        <v>71</v>
      </c>
      <c r="O307" t="s">
        <v>120</v>
      </c>
      <c r="P307" t="str">
        <f>"LOCKS                         "</f>
        <v xml:space="preserve">LOCKS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8.2799999999999994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1</v>
      </c>
      <c r="BJ307">
        <v>0.2</v>
      </c>
      <c r="BK307">
        <v>1</v>
      </c>
      <c r="BL307" s="5">
        <v>47.78</v>
      </c>
      <c r="BM307" s="5">
        <v>7.17</v>
      </c>
      <c r="BN307" s="5">
        <v>54.95</v>
      </c>
      <c r="BO307" s="5">
        <v>54.95</v>
      </c>
      <c r="BQ307" t="s">
        <v>620</v>
      </c>
      <c r="BR307" t="s">
        <v>144</v>
      </c>
      <c r="BS307" s="1">
        <v>43677</v>
      </c>
      <c r="BT307" s="2">
        <v>0.32847222222222222</v>
      </c>
      <c r="BU307" t="s">
        <v>621</v>
      </c>
      <c r="BV307" t="s">
        <v>86</v>
      </c>
      <c r="BY307">
        <v>1200</v>
      </c>
      <c r="BZ307" t="s">
        <v>23</v>
      </c>
      <c r="CA307" t="s">
        <v>486</v>
      </c>
      <c r="CC307" t="s">
        <v>70</v>
      </c>
      <c r="CD307">
        <v>1200</v>
      </c>
      <c r="CE307" t="s">
        <v>78</v>
      </c>
      <c r="CF307" s="1">
        <v>43677</v>
      </c>
      <c r="CI307">
        <v>1</v>
      </c>
      <c r="CJ307">
        <v>1</v>
      </c>
      <c r="CK307">
        <v>21</v>
      </c>
      <c r="CL307" t="s">
        <v>76</v>
      </c>
    </row>
    <row r="308" spans="1:90">
      <c r="A308" t="s">
        <v>62</v>
      </c>
      <c r="B308" t="s">
        <v>63</v>
      </c>
      <c r="C308" t="s">
        <v>64</v>
      </c>
      <c r="E308" t="str">
        <f>"029908431967"</f>
        <v>029908431967</v>
      </c>
      <c r="F308" s="1">
        <v>43676</v>
      </c>
      <c r="G308">
        <v>202001</v>
      </c>
      <c r="H308" t="s">
        <v>116</v>
      </c>
      <c r="I308" t="s">
        <v>117</v>
      </c>
      <c r="J308" t="s">
        <v>118</v>
      </c>
      <c r="K308" t="s">
        <v>68</v>
      </c>
      <c r="L308" t="s">
        <v>65</v>
      </c>
      <c r="M308" t="s">
        <v>66</v>
      </c>
      <c r="N308" t="s">
        <v>119</v>
      </c>
      <c r="O308" t="s">
        <v>120</v>
      </c>
      <c r="P308" t="str">
        <f>"JNB1907300165                 "</f>
        <v xml:space="preserve">JNB1907300165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8.2799999999999994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0.3</v>
      </c>
      <c r="BJ308">
        <v>0.2</v>
      </c>
      <c r="BK308">
        <v>0.5</v>
      </c>
      <c r="BL308" s="5">
        <v>47.78</v>
      </c>
      <c r="BM308" s="5">
        <v>7.17</v>
      </c>
      <c r="BN308" s="5">
        <v>54.95</v>
      </c>
      <c r="BO308" s="5">
        <v>54.95</v>
      </c>
      <c r="BQ308" t="s">
        <v>622</v>
      </c>
      <c r="BR308" t="s">
        <v>121</v>
      </c>
      <c r="BS308" s="1">
        <v>43677</v>
      </c>
      <c r="BT308" s="2">
        <v>0.41805555555555557</v>
      </c>
      <c r="BU308" t="s">
        <v>93</v>
      </c>
      <c r="BV308" t="s">
        <v>86</v>
      </c>
      <c r="BY308">
        <v>1200</v>
      </c>
      <c r="BZ308" t="s">
        <v>23</v>
      </c>
      <c r="CA308" t="s">
        <v>623</v>
      </c>
      <c r="CC308" t="s">
        <v>66</v>
      </c>
      <c r="CD308">
        <v>2146</v>
      </c>
      <c r="CE308" t="s">
        <v>78</v>
      </c>
      <c r="CF308" s="1">
        <v>43677</v>
      </c>
      <c r="CI308">
        <v>1</v>
      </c>
      <c r="CJ308">
        <v>1</v>
      </c>
      <c r="CK308">
        <v>21</v>
      </c>
      <c r="CL308" t="s">
        <v>76</v>
      </c>
    </row>
    <row r="309" spans="1:90">
      <c r="A309" t="s">
        <v>62</v>
      </c>
      <c r="B309" t="s">
        <v>63</v>
      </c>
      <c r="C309" t="s">
        <v>64</v>
      </c>
      <c r="E309" t="str">
        <f>"009938391963"</f>
        <v>009938391963</v>
      </c>
      <c r="F309" s="1">
        <v>43676</v>
      </c>
      <c r="G309">
        <v>202001</v>
      </c>
      <c r="H309" t="s">
        <v>65</v>
      </c>
      <c r="I309" t="s">
        <v>66</v>
      </c>
      <c r="J309" t="s">
        <v>67</v>
      </c>
      <c r="K309" t="s">
        <v>68</v>
      </c>
      <c r="L309" t="s">
        <v>450</v>
      </c>
      <c r="M309" t="s">
        <v>451</v>
      </c>
      <c r="N309" t="s">
        <v>67</v>
      </c>
      <c r="O309" t="s">
        <v>72</v>
      </c>
      <c r="P309" t="str">
        <f>"STORES                        "</f>
        <v xml:space="preserve">STORES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15.57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2</v>
      </c>
      <c r="BI309">
        <v>46</v>
      </c>
      <c r="BJ309">
        <v>10.4</v>
      </c>
      <c r="BK309">
        <v>23</v>
      </c>
      <c r="BL309" s="5">
        <v>94.84</v>
      </c>
      <c r="BM309" s="5">
        <v>14.23</v>
      </c>
      <c r="BN309" s="5">
        <v>109.07</v>
      </c>
      <c r="BO309" s="5">
        <v>109.07</v>
      </c>
      <c r="BQ309" t="s">
        <v>580</v>
      </c>
      <c r="BR309" t="s">
        <v>74</v>
      </c>
      <c r="BS309" s="1">
        <v>43677</v>
      </c>
      <c r="BT309" s="2">
        <v>0.33333333333333331</v>
      </c>
      <c r="BU309" t="s">
        <v>453</v>
      </c>
      <c r="BV309" t="s">
        <v>86</v>
      </c>
      <c r="BY309">
        <v>52200</v>
      </c>
      <c r="CC309" t="s">
        <v>451</v>
      </c>
      <c r="CD309">
        <v>2940</v>
      </c>
      <c r="CE309" t="s">
        <v>78</v>
      </c>
      <c r="CI309">
        <v>1</v>
      </c>
      <c r="CJ309">
        <v>1</v>
      </c>
      <c r="CK309" t="s">
        <v>291</v>
      </c>
      <c r="CL309" t="s">
        <v>76</v>
      </c>
    </row>
    <row r="310" spans="1:90">
      <c r="A310" t="s">
        <v>180</v>
      </c>
      <c r="B310" t="s">
        <v>63</v>
      </c>
      <c r="C310" t="s">
        <v>64</v>
      </c>
      <c r="E310" t="str">
        <f>"009938925713"</f>
        <v>009938925713</v>
      </c>
      <c r="F310" s="1">
        <v>43676</v>
      </c>
      <c r="G310">
        <v>202001</v>
      </c>
      <c r="H310" t="s">
        <v>101</v>
      </c>
      <c r="I310" t="s">
        <v>102</v>
      </c>
      <c r="J310" t="s">
        <v>82</v>
      </c>
      <c r="K310" t="s">
        <v>68</v>
      </c>
      <c r="L310" t="s">
        <v>65</v>
      </c>
      <c r="M310" t="s">
        <v>66</v>
      </c>
      <c r="N310" t="s">
        <v>346</v>
      </c>
      <c r="O310" t="s">
        <v>72</v>
      </c>
      <c r="P310" t="str">
        <f>"                              "</f>
        <v xml:space="preserve">   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15.52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1</v>
      </c>
      <c r="BJ310">
        <v>1.2</v>
      </c>
      <c r="BK310">
        <v>2</v>
      </c>
      <c r="BL310" s="5">
        <v>94.58</v>
      </c>
      <c r="BM310" s="5">
        <v>14.19</v>
      </c>
      <c r="BN310" s="5">
        <v>108.77</v>
      </c>
      <c r="BO310" s="5">
        <v>108.77</v>
      </c>
      <c r="BR310" t="s">
        <v>106</v>
      </c>
      <c r="BS310" s="1">
        <v>43677</v>
      </c>
      <c r="BT310" s="2">
        <v>0.45833333333333331</v>
      </c>
      <c r="BU310" t="s">
        <v>624</v>
      </c>
      <c r="BV310" t="s">
        <v>86</v>
      </c>
      <c r="BY310">
        <v>6000</v>
      </c>
      <c r="CA310" t="s">
        <v>623</v>
      </c>
      <c r="CC310" t="s">
        <v>66</v>
      </c>
      <c r="CD310">
        <v>2146</v>
      </c>
      <c r="CF310" s="1">
        <v>43677</v>
      </c>
      <c r="CI310">
        <v>1</v>
      </c>
      <c r="CJ310">
        <v>1</v>
      </c>
      <c r="CK310" t="s">
        <v>107</v>
      </c>
      <c r="CL310" t="s">
        <v>76</v>
      </c>
    </row>
    <row r="311" spans="1:90">
      <c r="A311" t="s">
        <v>62</v>
      </c>
      <c r="B311" t="s">
        <v>63</v>
      </c>
      <c r="C311" t="s">
        <v>64</v>
      </c>
      <c r="E311" t="str">
        <f>"009939030274"</f>
        <v>009939030274</v>
      </c>
      <c r="F311" s="1">
        <v>43649</v>
      </c>
      <c r="G311">
        <v>202001</v>
      </c>
      <c r="H311" t="s">
        <v>65</v>
      </c>
      <c r="I311" t="s">
        <v>66</v>
      </c>
      <c r="J311" t="s">
        <v>67</v>
      </c>
      <c r="K311" t="s">
        <v>68</v>
      </c>
      <c r="L311" t="s">
        <v>147</v>
      </c>
      <c r="M311" t="s">
        <v>148</v>
      </c>
      <c r="N311" t="s">
        <v>227</v>
      </c>
      <c r="O311" t="s">
        <v>120</v>
      </c>
      <c r="P311" t="str">
        <f>"LCK                           "</f>
        <v xml:space="preserve">LCK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16.04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0.2</v>
      </c>
      <c r="BJ311">
        <v>0.2</v>
      </c>
      <c r="BK311">
        <v>0.5</v>
      </c>
      <c r="BL311" s="5">
        <v>92.57</v>
      </c>
      <c r="BM311" s="5">
        <v>13.89</v>
      </c>
      <c r="BN311" s="5">
        <v>106.46</v>
      </c>
      <c r="BO311" s="5">
        <v>106.46</v>
      </c>
      <c r="BQ311" t="s">
        <v>150</v>
      </c>
      <c r="BR311" t="s">
        <v>193</v>
      </c>
      <c r="BS311" s="1">
        <v>43650</v>
      </c>
      <c r="BT311" s="2">
        <v>0.41666666666666669</v>
      </c>
      <c r="BU311" t="s">
        <v>150</v>
      </c>
      <c r="BV311" t="s">
        <v>86</v>
      </c>
      <c r="BY311">
        <v>1200</v>
      </c>
      <c r="BZ311" t="s">
        <v>23</v>
      </c>
      <c r="CC311" t="s">
        <v>148</v>
      </c>
      <c r="CD311">
        <v>2745</v>
      </c>
      <c r="CE311" t="s">
        <v>78</v>
      </c>
      <c r="CF311" s="1">
        <v>43651</v>
      </c>
      <c r="CI311">
        <v>1</v>
      </c>
      <c r="CJ311">
        <v>1</v>
      </c>
      <c r="CK311">
        <v>23</v>
      </c>
      <c r="CL311" t="s">
        <v>76</v>
      </c>
    </row>
    <row r="312" spans="1:90">
      <c r="A312" t="s">
        <v>62</v>
      </c>
      <c r="B312" t="s">
        <v>63</v>
      </c>
      <c r="C312" t="s">
        <v>64</v>
      </c>
      <c r="E312" t="str">
        <f>"009938681297"</f>
        <v>009938681297</v>
      </c>
      <c r="F312" s="1">
        <v>43676</v>
      </c>
      <c r="G312">
        <v>202001</v>
      </c>
      <c r="H312" t="s">
        <v>65</v>
      </c>
      <c r="I312" t="s">
        <v>66</v>
      </c>
      <c r="J312" t="s">
        <v>67</v>
      </c>
      <c r="K312" t="s">
        <v>68</v>
      </c>
      <c r="L312" t="s">
        <v>206</v>
      </c>
      <c r="M312" t="s">
        <v>207</v>
      </c>
      <c r="N312" t="s">
        <v>67</v>
      </c>
      <c r="O312" t="s">
        <v>120</v>
      </c>
      <c r="P312" t="str">
        <f>"LOCKS                         "</f>
        <v xml:space="preserve">LOCKS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11.64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1</v>
      </c>
      <c r="BJ312">
        <v>0.2</v>
      </c>
      <c r="BK312">
        <v>1</v>
      </c>
      <c r="BL312" s="5">
        <v>67.19</v>
      </c>
      <c r="BM312" s="5">
        <v>10.08</v>
      </c>
      <c r="BN312" s="5">
        <v>77.27</v>
      </c>
      <c r="BO312" s="5">
        <v>77.27</v>
      </c>
      <c r="BQ312" t="s">
        <v>208</v>
      </c>
      <c r="BR312" t="s">
        <v>84</v>
      </c>
      <c r="BS312" t="s">
        <v>567</v>
      </c>
      <c r="BY312">
        <v>1200</v>
      </c>
      <c r="BZ312" t="s">
        <v>23</v>
      </c>
      <c r="CC312" t="s">
        <v>207</v>
      </c>
      <c r="CD312">
        <v>450</v>
      </c>
      <c r="CE312" t="s">
        <v>78</v>
      </c>
      <c r="CI312">
        <v>1</v>
      </c>
      <c r="CJ312" t="s">
        <v>567</v>
      </c>
      <c r="CK312">
        <v>24</v>
      </c>
      <c r="CL312" t="s">
        <v>76</v>
      </c>
    </row>
    <row r="313" spans="1:90">
      <c r="A313" t="s">
        <v>62</v>
      </c>
      <c r="B313" t="s">
        <v>63</v>
      </c>
      <c r="C313" t="s">
        <v>64</v>
      </c>
      <c r="E313" t="str">
        <f>"039902814824"</f>
        <v>039902814824</v>
      </c>
      <c r="F313" s="1">
        <v>43677</v>
      </c>
      <c r="G313">
        <v>202001</v>
      </c>
      <c r="H313" t="s">
        <v>108</v>
      </c>
      <c r="I313" t="s">
        <v>109</v>
      </c>
      <c r="J313" t="s">
        <v>110</v>
      </c>
      <c r="K313" t="s">
        <v>68</v>
      </c>
      <c r="L313" t="s">
        <v>103</v>
      </c>
      <c r="M313" t="s">
        <v>104</v>
      </c>
      <c r="N313" t="s">
        <v>205</v>
      </c>
      <c r="O313" t="s">
        <v>72</v>
      </c>
      <c r="P313" t="str">
        <f>"JNX1907500742                 "</f>
        <v xml:space="preserve">JNX1907500742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96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3</v>
      </c>
      <c r="BI313">
        <v>92</v>
      </c>
      <c r="BJ313">
        <v>123.5</v>
      </c>
      <c r="BK313">
        <v>124</v>
      </c>
      <c r="BL313" s="5">
        <v>559</v>
      </c>
      <c r="BM313" s="5">
        <v>83.85</v>
      </c>
      <c r="BN313" s="5">
        <v>642.85</v>
      </c>
      <c r="BO313" s="5">
        <v>642.85</v>
      </c>
      <c r="BQ313" t="s">
        <v>112</v>
      </c>
      <c r="BR313" t="s">
        <v>113</v>
      </c>
      <c r="BS313" t="s">
        <v>567</v>
      </c>
      <c r="BY313">
        <v>411600</v>
      </c>
      <c r="CC313" t="s">
        <v>104</v>
      </c>
      <c r="CD313">
        <v>2090</v>
      </c>
      <c r="CE313" t="s">
        <v>318</v>
      </c>
      <c r="CI313">
        <v>2</v>
      </c>
      <c r="CJ313" t="s">
        <v>567</v>
      </c>
      <c r="CK313" t="s">
        <v>115</v>
      </c>
      <c r="CL313" t="s">
        <v>76</v>
      </c>
    </row>
    <row r="314" spans="1:90">
      <c r="A314" t="s">
        <v>62</v>
      </c>
      <c r="B314" t="s">
        <v>63</v>
      </c>
      <c r="C314" t="s">
        <v>64</v>
      </c>
      <c r="E314" t="str">
        <f>"039902814825"</f>
        <v>039902814825</v>
      </c>
      <c r="F314" s="1">
        <v>43677</v>
      </c>
      <c r="G314">
        <v>202001</v>
      </c>
      <c r="H314" t="s">
        <v>108</v>
      </c>
      <c r="I314" t="s">
        <v>109</v>
      </c>
      <c r="J314" t="s">
        <v>110</v>
      </c>
      <c r="K314" t="s">
        <v>68</v>
      </c>
      <c r="L314" t="s">
        <v>103</v>
      </c>
      <c r="M314" t="s">
        <v>104</v>
      </c>
      <c r="N314" t="s">
        <v>205</v>
      </c>
      <c r="O314" t="s">
        <v>72</v>
      </c>
      <c r="P314" t="str">
        <f>"                              "</f>
        <v xml:space="preserve">  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36.53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34</v>
      </c>
      <c r="BJ314">
        <v>41.2</v>
      </c>
      <c r="BK314">
        <v>42</v>
      </c>
      <c r="BL314" s="5">
        <v>215.81</v>
      </c>
      <c r="BM314" s="5">
        <v>32.369999999999997</v>
      </c>
      <c r="BN314" s="5">
        <v>248.18</v>
      </c>
      <c r="BO314" s="5">
        <v>248.18</v>
      </c>
      <c r="BQ314" t="s">
        <v>112</v>
      </c>
      <c r="BR314" t="s">
        <v>113</v>
      </c>
      <c r="BS314" t="s">
        <v>567</v>
      </c>
      <c r="BY314">
        <v>205800</v>
      </c>
      <c r="CC314" t="s">
        <v>104</v>
      </c>
      <c r="CD314">
        <v>2090</v>
      </c>
      <c r="CE314" t="s">
        <v>318</v>
      </c>
      <c r="CI314">
        <v>2</v>
      </c>
      <c r="CJ314" t="s">
        <v>567</v>
      </c>
      <c r="CK314" t="s">
        <v>115</v>
      </c>
      <c r="CL314" t="s">
        <v>76</v>
      </c>
    </row>
    <row r="315" spans="1:90">
      <c r="A315" t="s">
        <v>62</v>
      </c>
      <c r="B315" t="s">
        <v>63</v>
      </c>
      <c r="C315" t="s">
        <v>64</v>
      </c>
      <c r="E315" t="str">
        <f>"009937287943"</f>
        <v>009937287943</v>
      </c>
      <c r="F315" s="1">
        <v>43677</v>
      </c>
      <c r="G315">
        <v>202001</v>
      </c>
      <c r="H315" t="s">
        <v>65</v>
      </c>
      <c r="I315" t="s">
        <v>66</v>
      </c>
      <c r="J315" t="s">
        <v>67</v>
      </c>
      <c r="K315" t="s">
        <v>68</v>
      </c>
      <c r="L315" t="s">
        <v>80</v>
      </c>
      <c r="M315" t="s">
        <v>81</v>
      </c>
      <c r="N315" t="s">
        <v>67</v>
      </c>
      <c r="O315" t="s">
        <v>120</v>
      </c>
      <c r="P315" t="str">
        <f>"LCK                           "</f>
        <v xml:space="preserve">LCK  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16.04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1</v>
      </c>
      <c r="BK315">
        <v>1</v>
      </c>
      <c r="BL315" s="5">
        <v>92.57</v>
      </c>
      <c r="BM315" s="5">
        <v>13.89</v>
      </c>
      <c r="BN315" s="5">
        <v>106.46</v>
      </c>
      <c r="BO315" s="5">
        <v>106.46</v>
      </c>
      <c r="BQ315" t="s">
        <v>83</v>
      </c>
      <c r="BR315" t="s">
        <v>84</v>
      </c>
      <c r="BS315" t="s">
        <v>567</v>
      </c>
      <c r="BY315">
        <v>4837.0600000000004</v>
      </c>
      <c r="BZ315" t="s">
        <v>23</v>
      </c>
      <c r="CC315" t="s">
        <v>81</v>
      </c>
      <c r="CD315">
        <v>8600</v>
      </c>
      <c r="CE315" t="s">
        <v>78</v>
      </c>
      <c r="CI315">
        <v>1</v>
      </c>
      <c r="CJ315" t="s">
        <v>567</v>
      </c>
      <c r="CK315">
        <v>23</v>
      </c>
      <c r="CL315" t="s">
        <v>76</v>
      </c>
    </row>
    <row r="316" spans="1:90">
      <c r="A316" t="s">
        <v>62</v>
      </c>
      <c r="B316" t="s">
        <v>63</v>
      </c>
      <c r="C316" t="s">
        <v>64</v>
      </c>
      <c r="E316" t="str">
        <f>"009938391962"</f>
        <v>009938391962</v>
      </c>
      <c r="F316" s="1">
        <v>43677</v>
      </c>
      <c r="G316">
        <v>202001</v>
      </c>
      <c r="H316" t="s">
        <v>65</v>
      </c>
      <c r="I316" t="s">
        <v>66</v>
      </c>
      <c r="J316" t="s">
        <v>67</v>
      </c>
      <c r="K316" t="s">
        <v>68</v>
      </c>
      <c r="L316" t="s">
        <v>101</v>
      </c>
      <c r="M316" t="s">
        <v>102</v>
      </c>
      <c r="N316" t="s">
        <v>625</v>
      </c>
      <c r="O316" t="s">
        <v>72</v>
      </c>
      <c r="P316" t="str">
        <f t="shared" ref="P316:P323" si="9">"STORES                        "</f>
        <v xml:space="preserve">STORES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41.71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2</v>
      </c>
      <c r="BI316">
        <v>35.4</v>
      </c>
      <c r="BJ316">
        <v>51.2</v>
      </c>
      <c r="BK316">
        <v>52</v>
      </c>
      <c r="BL316" s="5">
        <v>245.71</v>
      </c>
      <c r="BM316" s="5">
        <v>36.86</v>
      </c>
      <c r="BN316" s="5">
        <v>282.57</v>
      </c>
      <c r="BO316" s="5">
        <v>282.57</v>
      </c>
      <c r="BQ316" t="s">
        <v>626</v>
      </c>
      <c r="BR316" t="s">
        <v>74</v>
      </c>
      <c r="BS316" t="s">
        <v>567</v>
      </c>
      <c r="BY316">
        <v>256105.14</v>
      </c>
      <c r="CC316" t="s">
        <v>102</v>
      </c>
      <c r="CD316">
        <v>9459</v>
      </c>
      <c r="CE316" t="s">
        <v>78</v>
      </c>
      <c r="CI316">
        <v>1</v>
      </c>
      <c r="CJ316" t="s">
        <v>567</v>
      </c>
      <c r="CK316" t="s">
        <v>262</v>
      </c>
      <c r="CL316" t="s">
        <v>76</v>
      </c>
    </row>
    <row r="317" spans="1:90">
      <c r="A317" t="s">
        <v>62</v>
      </c>
      <c r="B317" t="s">
        <v>63</v>
      </c>
      <c r="C317" t="s">
        <v>64</v>
      </c>
      <c r="E317" t="str">
        <f>"009938391959"</f>
        <v>009938391959</v>
      </c>
      <c r="F317" s="1">
        <v>43677</v>
      </c>
      <c r="G317">
        <v>202001</v>
      </c>
      <c r="H317" t="s">
        <v>65</v>
      </c>
      <c r="I317" t="s">
        <v>66</v>
      </c>
      <c r="J317" t="s">
        <v>67</v>
      </c>
      <c r="K317" t="s">
        <v>68</v>
      </c>
      <c r="L317" t="s">
        <v>383</v>
      </c>
      <c r="M317" t="s">
        <v>384</v>
      </c>
      <c r="N317" t="s">
        <v>385</v>
      </c>
      <c r="O317" t="s">
        <v>72</v>
      </c>
      <c r="P317" t="str">
        <f t="shared" si="9"/>
        <v xml:space="preserve">STORES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14.23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4</v>
      </c>
      <c r="BJ317">
        <v>2.7</v>
      </c>
      <c r="BK317">
        <v>4</v>
      </c>
      <c r="BL317" s="5">
        <v>87.12</v>
      </c>
      <c r="BM317" s="5">
        <v>13.07</v>
      </c>
      <c r="BN317" s="5">
        <v>100.19</v>
      </c>
      <c r="BO317" s="5">
        <v>100.19</v>
      </c>
      <c r="BQ317" t="s">
        <v>386</v>
      </c>
      <c r="BR317" t="s">
        <v>627</v>
      </c>
      <c r="BS317" t="s">
        <v>567</v>
      </c>
      <c r="BY317">
        <v>13603.49</v>
      </c>
      <c r="CC317" t="s">
        <v>384</v>
      </c>
      <c r="CD317">
        <v>46</v>
      </c>
      <c r="CE317" t="s">
        <v>78</v>
      </c>
      <c r="CI317">
        <v>0</v>
      </c>
      <c r="CJ317">
        <v>0</v>
      </c>
      <c r="CK317" t="s">
        <v>177</v>
      </c>
      <c r="CL317" t="s">
        <v>76</v>
      </c>
    </row>
    <row r="318" spans="1:90">
      <c r="A318" t="s">
        <v>62</v>
      </c>
      <c r="B318" t="s">
        <v>63</v>
      </c>
      <c r="C318" t="s">
        <v>64</v>
      </c>
      <c r="E318" t="str">
        <f>"009935998578"</f>
        <v>009935998578</v>
      </c>
      <c r="F318" s="1">
        <v>43677</v>
      </c>
      <c r="G318">
        <v>202001</v>
      </c>
      <c r="H318" t="s">
        <v>65</v>
      </c>
      <c r="I318" t="s">
        <v>66</v>
      </c>
      <c r="J318" t="s">
        <v>67</v>
      </c>
      <c r="K318" t="s">
        <v>68</v>
      </c>
      <c r="L318" t="s">
        <v>181</v>
      </c>
      <c r="M318" t="s">
        <v>182</v>
      </c>
      <c r="N318" t="s">
        <v>67</v>
      </c>
      <c r="O318" t="s">
        <v>72</v>
      </c>
      <c r="P318" t="str">
        <f t="shared" si="9"/>
        <v xml:space="preserve">STORES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29.3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2</v>
      </c>
      <c r="BI318">
        <v>39.299999999999997</v>
      </c>
      <c r="BJ318">
        <v>50.6</v>
      </c>
      <c r="BK318">
        <v>51</v>
      </c>
      <c r="BL318" s="5">
        <v>174.09</v>
      </c>
      <c r="BM318" s="5">
        <v>26.11</v>
      </c>
      <c r="BN318" s="5">
        <v>200.2</v>
      </c>
      <c r="BO318" s="5">
        <v>200.2</v>
      </c>
      <c r="BQ318" t="s">
        <v>628</v>
      </c>
      <c r="BR318" t="s">
        <v>144</v>
      </c>
      <c r="BS318" t="s">
        <v>567</v>
      </c>
      <c r="BY318">
        <v>252857.87</v>
      </c>
      <c r="CC318" t="s">
        <v>182</v>
      </c>
      <c r="CD318">
        <v>9301</v>
      </c>
      <c r="CE318" t="s">
        <v>78</v>
      </c>
      <c r="CI318">
        <v>1</v>
      </c>
      <c r="CJ318" t="s">
        <v>567</v>
      </c>
      <c r="CK318" t="s">
        <v>79</v>
      </c>
      <c r="CL318" t="s">
        <v>76</v>
      </c>
    </row>
    <row r="319" spans="1:90">
      <c r="A319" t="s">
        <v>62</v>
      </c>
      <c r="B319" t="s">
        <v>63</v>
      </c>
      <c r="C319" t="s">
        <v>64</v>
      </c>
      <c r="E319" t="str">
        <f>"009935895313"</f>
        <v>009935895313</v>
      </c>
      <c r="F319" s="1">
        <v>43677</v>
      </c>
      <c r="G319">
        <v>202001</v>
      </c>
      <c r="H319" t="s">
        <v>65</v>
      </c>
      <c r="I319" t="s">
        <v>66</v>
      </c>
      <c r="J319" t="s">
        <v>67</v>
      </c>
      <c r="K319" t="s">
        <v>68</v>
      </c>
      <c r="L319" t="s">
        <v>216</v>
      </c>
      <c r="M319" t="s">
        <v>217</v>
      </c>
      <c r="N319" t="s">
        <v>629</v>
      </c>
      <c r="O319" t="s">
        <v>72</v>
      </c>
      <c r="P319" t="str">
        <f t="shared" si="9"/>
        <v xml:space="preserve">STORES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55.28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2</v>
      </c>
      <c r="BI319">
        <v>61</v>
      </c>
      <c r="BJ319">
        <v>84.5</v>
      </c>
      <c r="BK319">
        <v>85</v>
      </c>
      <c r="BL319" s="5">
        <v>324.04000000000002</v>
      </c>
      <c r="BM319" s="5">
        <v>48.61</v>
      </c>
      <c r="BN319" s="5">
        <v>372.65</v>
      </c>
      <c r="BO319" s="5">
        <v>372.65</v>
      </c>
      <c r="BQ319" t="s">
        <v>219</v>
      </c>
      <c r="BR319" t="s">
        <v>144</v>
      </c>
      <c r="BS319" t="s">
        <v>567</v>
      </c>
      <c r="BY319">
        <v>422400</v>
      </c>
      <c r="CC319" t="s">
        <v>217</v>
      </c>
      <c r="CD319">
        <v>1034</v>
      </c>
      <c r="CE319" t="s">
        <v>78</v>
      </c>
      <c r="CI319">
        <v>1</v>
      </c>
      <c r="CJ319" t="s">
        <v>567</v>
      </c>
      <c r="CK319" t="s">
        <v>95</v>
      </c>
      <c r="CL319" t="s">
        <v>76</v>
      </c>
    </row>
    <row r="320" spans="1:90">
      <c r="A320" t="s">
        <v>62</v>
      </c>
      <c r="B320" t="s">
        <v>63</v>
      </c>
      <c r="C320" t="s">
        <v>64</v>
      </c>
      <c r="E320" t="str">
        <f>"009938681298"</f>
        <v>009938681298</v>
      </c>
      <c r="F320" s="1">
        <v>43677</v>
      </c>
      <c r="G320">
        <v>202001</v>
      </c>
      <c r="H320" t="s">
        <v>65</v>
      </c>
      <c r="I320" t="s">
        <v>66</v>
      </c>
      <c r="J320" t="s">
        <v>67</v>
      </c>
      <c r="K320" t="s">
        <v>68</v>
      </c>
      <c r="L320" t="s">
        <v>206</v>
      </c>
      <c r="M320" t="s">
        <v>207</v>
      </c>
      <c r="N320" t="s">
        <v>67</v>
      </c>
      <c r="O320" t="s">
        <v>72</v>
      </c>
      <c r="P320" t="str">
        <f t="shared" si="9"/>
        <v xml:space="preserve">STORES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20.18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7.7</v>
      </c>
      <c r="BJ320">
        <v>10</v>
      </c>
      <c r="BK320">
        <v>10</v>
      </c>
      <c r="BL320" s="5">
        <v>121.46</v>
      </c>
      <c r="BM320" s="5">
        <v>18.22</v>
      </c>
      <c r="BN320" s="5">
        <v>139.68</v>
      </c>
      <c r="BO320" s="5">
        <v>139.68</v>
      </c>
      <c r="BQ320" t="s">
        <v>208</v>
      </c>
      <c r="BR320" t="s">
        <v>84</v>
      </c>
      <c r="BS320" t="s">
        <v>567</v>
      </c>
      <c r="BY320">
        <v>49867.199999999997</v>
      </c>
      <c r="CC320" t="s">
        <v>207</v>
      </c>
      <c r="CD320">
        <v>450</v>
      </c>
      <c r="CE320" t="s">
        <v>78</v>
      </c>
      <c r="CI320">
        <v>0</v>
      </c>
      <c r="CJ320">
        <v>0</v>
      </c>
      <c r="CK320" t="s">
        <v>88</v>
      </c>
      <c r="CL320" t="s">
        <v>76</v>
      </c>
    </row>
    <row r="321" spans="1:90">
      <c r="A321" t="s">
        <v>62</v>
      </c>
      <c r="B321" t="s">
        <v>63</v>
      </c>
      <c r="C321" t="s">
        <v>64</v>
      </c>
      <c r="E321" t="str">
        <f>"009937965151"</f>
        <v>009937965151</v>
      </c>
      <c r="F321" s="1">
        <v>43677</v>
      </c>
      <c r="G321">
        <v>202001</v>
      </c>
      <c r="H321" t="s">
        <v>65</v>
      </c>
      <c r="I321" t="s">
        <v>66</v>
      </c>
      <c r="J321" t="s">
        <v>67</v>
      </c>
      <c r="K321" t="s">
        <v>68</v>
      </c>
      <c r="L321" t="s">
        <v>128</v>
      </c>
      <c r="M321" t="s">
        <v>129</v>
      </c>
      <c r="N321" t="s">
        <v>67</v>
      </c>
      <c r="O321" t="s">
        <v>72</v>
      </c>
      <c r="P321" t="str">
        <f t="shared" si="9"/>
        <v xml:space="preserve">STORES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53.52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27</v>
      </c>
      <c r="BJ321">
        <v>42.2</v>
      </c>
      <c r="BK321">
        <v>43</v>
      </c>
      <c r="BL321" s="5">
        <v>313.83999999999997</v>
      </c>
      <c r="BM321" s="5">
        <v>47.08</v>
      </c>
      <c r="BN321" s="5">
        <v>360.92</v>
      </c>
      <c r="BO321" s="5">
        <v>360.92</v>
      </c>
      <c r="BQ321" t="s">
        <v>130</v>
      </c>
      <c r="BR321" t="s">
        <v>84</v>
      </c>
      <c r="BS321" t="s">
        <v>567</v>
      </c>
      <c r="BY321">
        <v>211200</v>
      </c>
      <c r="CC321" t="s">
        <v>129</v>
      </c>
      <c r="CD321">
        <v>5320</v>
      </c>
      <c r="CE321" t="s">
        <v>78</v>
      </c>
      <c r="CI321">
        <v>4</v>
      </c>
      <c r="CJ321" t="s">
        <v>567</v>
      </c>
      <c r="CK321" t="s">
        <v>88</v>
      </c>
      <c r="CL321" t="s">
        <v>76</v>
      </c>
    </row>
    <row r="322" spans="1:90">
      <c r="A322" t="s">
        <v>62</v>
      </c>
      <c r="B322" t="s">
        <v>63</v>
      </c>
      <c r="C322" t="s">
        <v>64</v>
      </c>
      <c r="E322" t="str">
        <f>"009938391958"</f>
        <v>009938391958</v>
      </c>
      <c r="F322" s="1">
        <v>43677</v>
      </c>
      <c r="G322">
        <v>202001</v>
      </c>
      <c r="H322" t="s">
        <v>65</v>
      </c>
      <c r="I322" t="s">
        <v>66</v>
      </c>
      <c r="J322" t="s">
        <v>67</v>
      </c>
      <c r="K322" t="s">
        <v>68</v>
      </c>
      <c r="L322" t="s">
        <v>277</v>
      </c>
      <c r="M322" t="s">
        <v>278</v>
      </c>
      <c r="N322" t="s">
        <v>279</v>
      </c>
      <c r="O322" t="s">
        <v>72</v>
      </c>
      <c r="P322" t="str">
        <f t="shared" si="9"/>
        <v xml:space="preserve">STORES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16.82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2.7</v>
      </c>
      <c r="BJ322">
        <v>7.3</v>
      </c>
      <c r="BK322">
        <v>8</v>
      </c>
      <c r="BL322" s="5">
        <v>102.05</v>
      </c>
      <c r="BM322" s="5">
        <v>15.31</v>
      </c>
      <c r="BN322" s="5">
        <v>117.36</v>
      </c>
      <c r="BO322" s="5">
        <v>117.36</v>
      </c>
      <c r="BQ322" t="s">
        <v>246</v>
      </c>
      <c r="BR322" t="s">
        <v>432</v>
      </c>
      <c r="BS322" t="s">
        <v>567</v>
      </c>
      <c r="BY322">
        <v>36500.129999999997</v>
      </c>
      <c r="CC322" t="s">
        <v>278</v>
      </c>
      <c r="CD322">
        <v>9700</v>
      </c>
      <c r="CE322" t="s">
        <v>78</v>
      </c>
      <c r="CI322">
        <v>1</v>
      </c>
      <c r="CJ322" t="s">
        <v>567</v>
      </c>
      <c r="CK322" t="s">
        <v>262</v>
      </c>
      <c r="CL322" t="s">
        <v>76</v>
      </c>
    </row>
    <row r="323" spans="1:90">
      <c r="A323" t="s">
        <v>62</v>
      </c>
      <c r="B323" t="s">
        <v>63</v>
      </c>
      <c r="C323" t="s">
        <v>64</v>
      </c>
      <c r="E323" t="str">
        <f>"009938891158"</f>
        <v>009938891158</v>
      </c>
      <c r="F323" s="1">
        <v>43677</v>
      </c>
      <c r="G323">
        <v>202001</v>
      </c>
      <c r="H323" t="s">
        <v>65</v>
      </c>
      <c r="I323" t="s">
        <v>66</v>
      </c>
      <c r="J323" t="s">
        <v>67</v>
      </c>
      <c r="K323" t="s">
        <v>68</v>
      </c>
      <c r="L323" t="s">
        <v>206</v>
      </c>
      <c r="M323" t="s">
        <v>207</v>
      </c>
      <c r="N323" t="s">
        <v>67</v>
      </c>
      <c r="O323" t="s">
        <v>72</v>
      </c>
      <c r="P323" t="str">
        <f t="shared" si="9"/>
        <v xml:space="preserve">STORES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53.52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24</v>
      </c>
      <c r="BJ323">
        <v>42.2</v>
      </c>
      <c r="BK323">
        <v>43</v>
      </c>
      <c r="BL323" s="5">
        <v>313.83999999999997</v>
      </c>
      <c r="BM323" s="5">
        <v>47.08</v>
      </c>
      <c r="BN323" s="5">
        <v>360.92</v>
      </c>
      <c r="BO323" s="5">
        <v>360.92</v>
      </c>
      <c r="BQ323" t="s">
        <v>254</v>
      </c>
      <c r="BR323" t="s">
        <v>144</v>
      </c>
      <c r="BS323" t="s">
        <v>567</v>
      </c>
      <c r="BY323">
        <v>211200</v>
      </c>
      <c r="CC323" t="s">
        <v>207</v>
      </c>
      <c r="CD323">
        <v>450</v>
      </c>
      <c r="CE323" t="s">
        <v>78</v>
      </c>
      <c r="CI323">
        <v>0</v>
      </c>
      <c r="CJ323">
        <v>0</v>
      </c>
      <c r="CK323" t="s">
        <v>88</v>
      </c>
      <c r="CL323" t="s">
        <v>76</v>
      </c>
    </row>
    <row r="324" spans="1:90">
      <c r="A324" t="s">
        <v>180</v>
      </c>
      <c r="B324" t="s">
        <v>63</v>
      </c>
      <c r="C324" t="s">
        <v>64</v>
      </c>
      <c r="E324" t="str">
        <f>"009935941543"</f>
        <v>009935941543</v>
      </c>
      <c r="F324" s="1">
        <v>43677</v>
      </c>
      <c r="G324">
        <v>202001</v>
      </c>
      <c r="H324" t="s">
        <v>429</v>
      </c>
      <c r="I324" t="s">
        <v>430</v>
      </c>
      <c r="J324" t="s">
        <v>218</v>
      </c>
      <c r="K324" t="s">
        <v>68</v>
      </c>
      <c r="L324" t="s">
        <v>103</v>
      </c>
      <c r="M324" t="s">
        <v>104</v>
      </c>
      <c r="N324" t="s">
        <v>67</v>
      </c>
      <c r="O324" t="s">
        <v>72</v>
      </c>
      <c r="P324" t="str">
        <f>"                              "</f>
        <v xml:space="preserve">      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17.8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10.9</v>
      </c>
      <c r="BJ324">
        <v>18.2</v>
      </c>
      <c r="BK324">
        <v>19</v>
      </c>
      <c r="BL324" s="5">
        <v>107.7</v>
      </c>
      <c r="BM324" s="5">
        <v>16.16</v>
      </c>
      <c r="BN324" s="5">
        <v>123.86</v>
      </c>
      <c r="BO324" s="5">
        <v>123.86</v>
      </c>
      <c r="BQ324" t="s">
        <v>112</v>
      </c>
      <c r="BR324" t="s">
        <v>630</v>
      </c>
      <c r="BS324" t="s">
        <v>567</v>
      </c>
      <c r="BY324">
        <v>91166.720000000001</v>
      </c>
      <c r="CC324" t="s">
        <v>104</v>
      </c>
      <c r="CD324">
        <v>2054</v>
      </c>
      <c r="CE324" t="s">
        <v>78</v>
      </c>
      <c r="CI324">
        <v>1</v>
      </c>
      <c r="CJ324" t="s">
        <v>567</v>
      </c>
      <c r="CK324" t="s">
        <v>95</v>
      </c>
      <c r="CL324" t="s">
        <v>76</v>
      </c>
    </row>
    <row r="325" spans="1:90">
      <c r="A325" t="s">
        <v>180</v>
      </c>
      <c r="B325" t="s">
        <v>63</v>
      </c>
      <c r="C325" t="s">
        <v>64</v>
      </c>
      <c r="E325" t="str">
        <f>"009938742452"</f>
        <v>009938742452</v>
      </c>
      <c r="F325" s="1">
        <v>43677</v>
      </c>
      <c r="G325">
        <v>202001</v>
      </c>
      <c r="H325" t="s">
        <v>307</v>
      </c>
      <c r="I325" t="s">
        <v>70</v>
      </c>
      <c r="J325" t="s">
        <v>82</v>
      </c>
      <c r="K325" t="s">
        <v>68</v>
      </c>
      <c r="L325" t="s">
        <v>65</v>
      </c>
      <c r="M325" t="s">
        <v>66</v>
      </c>
      <c r="N325" t="s">
        <v>631</v>
      </c>
      <c r="O325" t="s">
        <v>72</v>
      </c>
      <c r="P325" t="str">
        <f>"...                           "</f>
        <v xml:space="preserve">...   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51.31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2</v>
      </c>
      <c r="BI325">
        <v>64</v>
      </c>
      <c r="BJ325">
        <v>77.400000000000006</v>
      </c>
      <c r="BK325">
        <v>78</v>
      </c>
      <c r="BL325" s="5">
        <v>301.10000000000002</v>
      </c>
      <c r="BM325" s="5">
        <v>45.17</v>
      </c>
      <c r="BN325" s="5">
        <v>346.27</v>
      </c>
      <c r="BO325" s="5">
        <v>346.27</v>
      </c>
      <c r="BQ325" t="s">
        <v>343</v>
      </c>
      <c r="BR325" t="s">
        <v>73</v>
      </c>
      <c r="BS325" t="s">
        <v>567</v>
      </c>
      <c r="BY325">
        <v>386904</v>
      </c>
      <c r="CC325" t="s">
        <v>66</v>
      </c>
      <c r="CD325">
        <v>2146</v>
      </c>
      <c r="CE325" t="s">
        <v>78</v>
      </c>
      <c r="CI325">
        <v>1</v>
      </c>
      <c r="CJ325" t="s">
        <v>567</v>
      </c>
      <c r="CK325" t="s">
        <v>95</v>
      </c>
      <c r="CL325" t="s">
        <v>76</v>
      </c>
    </row>
    <row r="326" spans="1:90">
      <c r="A326" t="s">
        <v>180</v>
      </c>
      <c r="B326" t="s">
        <v>63</v>
      </c>
      <c r="C326" t="s">
        <v>64</v>
      </c>
      <c r="E326" t="str">
        <f>"009938665118"</f>
        <v>009938665118</v>
      </c>
      <c r="F326" s="1">
        <v>43677</v>
      </c>
      <c r="G326">
        <v>202001</v>
      </c>
      <c r="H326" t="s">
        <v>96</v>
      </c>
      <c r="I326" t="s">
        <v>97</v>
      </c>
      <c r="J326" t="s">
        <v>67</v>
      </c>
      <c r="K326" t="s">
        <v>68</v>
      </c>
      <c r="L326" t="s">
        <v>216</v>
      </c>
      <c r="M326" t="s">
        <v>217</v>
      </c>
      <c r="N326" t="s">
        <v>82</v>
      </c>
      <c r="O326" t="s">
        <v>72</v>
      </c>
      <c r="P326" t="str">
        <f>"                              "</f>
        <v xml:space="preserve">     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16.95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1</v>
      </c>
      <c r="BJ326">
        <v>0.2</v>
      </c>
      <c r="BK326">
        <v>1</v>
      </c>
      <c r="BL326" s="5">
        <v>102.81</v>
      </c>
      <c r="BM326" s="5">
        <v>15.42</v>
      </c>
      <c r="BN326" s="5">
        <v>118.23</v>
      </c>
      <c r="BO326" s="5">
        <v>118.23</v>
      </c>
      <c r="BQ326" t="s">
        <v>632</v>
      </c>
      <c r="BR326" t="s">
        <v>633</v>
      </c>
      <c r="BS326" t="s">
        <v>567</v>
      </c>
      <c r="BY326">
        <v>1200</v>
      </c>
      <c r="CC326" t="s">
        <v>217</v>
      </c>
      <c r="CD326">
        <v>1050</v>
      </c>
      <c r="CE326" t="s">
        <v>78</v>
      </c>
      <c r="CI326">
        <v>1</v>
      </c>
      <c r="CJ326" t="s">
        <v>567</v>
      </c>
      <c r="CK326" t="s">
        <v>393</v>
      </c>
      <c r="CL326" t="s">
        <v>76</v>
      </c>
    </row>
    <row r="327" spans="1:90">
      <c r="A327" t="s">
        <v>180</v>
      </c>
      <c r="B327" t="s">
        <v>63</v>
      </c>
      <c r="C327" t="s">
        <v>64</v>
      </c>
      <c r="E327" t="str">
        <f>"009938451672"</f>
        <v>009938451672</v>
      </c>
      <c r="F327" s="1">
        <v>43677</v>
      </c>
      <c r="G327">
        <v>202001</v>
      </c>
      <c r="H327" t="s">
        <v>96</v>
      </c>
      <c r="I327" t="s">
        <v>97</v>
      </c>
      <c r="J327" t="s">
        <v>67</v>
      </c>
      <c r="K327" t="s">
        <v>68</v>
      </c>
      <c r="L327" t="s">
        <v>103</v>
      </c>
      <c r="M327" t="s">
        <v>104</v>
      </c>
      <c r="N327" t="s">
        <v>634</v>
      </c>
      <c r="O327" t="s">
        <v>72</v>
      </c>
      <c r="P327" t="str">
        <f>"                              "</f>
        <v xml:space="preserve">  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15.52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</v>
      </c>
      <c r="BJ327">
        <v>0.2</v>
      </c>
      <c r="BK327">
        <v>1</v>
      </c>
      <c r="BL327" s="5">
        <v>94.58</v>
      </c>
      <c r="BM327" s="5">
        <v>14.19</v>
      </c>
      <c r="BN327" s="5">
        <v>108.77</v>
      </c>
      <c r="BO327" s="5">
        <v>108.77</v>
      </c>
      <c r="BQ327" t="s">
        <v>193</v>
      </c>
      <c r="BR327" t="s">
        <v>635</v>
      </c>
      <c r="BS327" t="s">
        <v>567</v>
      </c>
      <c r="BY327">
        <v>1200</v>
      </c>
      <c r="CC327" t="s">
        <v>104</v>
      </c>
      <c r="CD327">
        <v>2196</v>
      </c>
      <c r="CE327" t="s">
        <v>78</v>
      </c>
      <c r="CI327">
        <v>1</v>
      </c>
      <c r="CJ327" t="s">
        <v>567</v>
      </c>
      <c r="CK327" t="s">
        <v>95</v>
      </c>
      <c r="CL327" t="s">
        <v>76</v>
      </c>
    </row>
    <row r="328" spans="1:90">
      <c r="A328" t="s">
        <v>180</v>
      </c>
      <c r="B328" t="s">
        <v>63</v>
      </c>
      <c r="C328" t="s">
        <v>64</v>
      </c>
      <c r="E328" t="str">
        <f>"089901559870"</f>
        <v>089901559870</v>
      </c>
      <c r="F328" s="1">
        <v>43677</v>
      </c>
      <c r="G328">
        <v>202001</v>
      </c>
      <c r="H328" t="s">
        <v>181</v>
      </c>
      <c r="I328" t="s">
        <v>182</v>
      </c>
      <c r="J328" t="s">
        <v>67</v>
      </c>
      <c r="K328" t="s">
        <v>68</v>
      </c>
      <c r="L328" t="s">
        <v>65</v>
      </c>
      <c r="M328" t="s">
        <v>66</v>
      </c>
      <c r="N328" t="s">
        <v>571</v>
      </c>
      <c r="O328" t="s">
        <v>72</v>
      </c>
      <c r="P328" t="str">
        <f>"                              "</f>
        <v xml:space="preserve">      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15.52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0.2</v>
      </c>
      <c r="BK328">
        <v>1</v>
      </c>
      <c r="BL328" s="5">
        <v>94.58</v>
      </c>
      <c r="BM328" s="5">
        <v>14.19</v>
      </c>
      <c r="BN328" s="5">
        <v>108.77</v>
      </c>
      <c r="BO328" s="5">
        <v>108.77</v>
      </c>
      <c r="BQ328" t="s">
        <v>183</v>
      </c>
      <c r="BR328" t="s">
        <v>184</v>
      </c>
      <c r="BS328" t="s">
        <v>567</v>
      </c>
      <c r="BY328">
        <v>1200</v>
      </c>
      <c r="CC328" t="s">
        <v>66</v>
      </c>
      <c r="CD328">
        <v>2146</v>
      </c>
      <c r="CE328" t="s">
        <v>78</v>
      </c>
      <c r="CI328">
        <v>1</v>
      </c>
      <c r="CJ328" t="s">
        <v>567</v>
      </c>
      <c r="CK328" t="s">
        <v>95</v>
      </c>
      <c r="CL328" t="s">
        <v>76</v>
      </c>
    </row>
    <row r="329" spans="1:90">
      <c r="A329" t="s">
        <v>180</v>
      </c>
      <c r="B329" t="s">
        <v>63</v>
      </c>
      <c r="C329" t="s">
        <v>64</v>
      </c>
      <c r="E329" t="str">
        <f>"089901559869"</f>
        <v>089901559869</v>
      </c>
      <c r="F329" s="1">
        <v>43677</v>
      </c>
      <c r="G329">
        <v>202001</v>
      </c>
      <c r="H329" t="s">
        <v>181</v>
      </c>
      <c r="I329" t="s">
        <v>182</v>
      </c>
      <c r="J329" t="s">
        <v>67</v>
      </c>
      <c r="K329" t="s">
        <v>68</v>
      </c>
      <c r="L329" t="s">
        <v>65</v>
      </c>
      <c r="M329" t="s">
        <v>66</v>
      </c>
      <c r="N329" t="s">
        <v>67</v>
      </c>
      <c r="O329" t="s">
        <v>72</v>
      </c>
      <c r="P329" t="str">
        <f>"                              "</f>
        <v xml:space="preserve">      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15.52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</v>
      </c>
      <c r="BJ329">
        <v>0.2</v>
      </c>
      <c r="BK329">
        <v>1</v>
      </c>
      <c r="BL329" s="5">
        <v>94.58</v>
      </c>
      <c r="BM329" s="5">
        <v>14.19</v>
      </c>
      <c r="BN329" s="5">
        <v>108.77</v>
      </c>
      <c r="BO329" s="5">
        <v>108.77</v>
      </c>
      <c r="BQ329" t="s">
        <v>636</v>
      </c>
      <c r="BR329" t="s">
        <v>184</v>
      </c>
      <c r="BS329" t="s">
        <v>567</v>
      </c>
      <c r="BY329">
        <v>1200</v>
      </c>
      <c r="CC329" t="s">
        <v>66</v>
      </c>
      <c r="CD329">
        <v>2146</v>
      </c>
      <c r="CE329" t="s">
        <v>78</v>
      </c>
      <c r="CI329">
        <v>1</v>
      </c>
      <c r="CJ329" t="s">
        <v>567</v>
      </c>
      <c r="CK329" t="s">
        <v>95</v>
      </c>
      <c r="CL329" t="s">
        <v>76</v>
      </c>
    </row>
    <row r="331" spans="1:90">
      <c r="E331" t="s">
        <v>637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12891.71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I331">
        <v>10010.299999999999</v>
      </c>
      <c r="BJ331">
        <v>13284.8</v>
      </c>
      <c r="BK331">
        <v>14119.5</v>
      </c>
      <c r="BL331" s="5">
        <v>74936.649999999994</v>
      </c>
      <c r="BM331" s="5">
        <v>11240.91</v>
      </c>
      <c r="BN331" s="5">
        <v>86177.56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2019-08-01T06:55:59Z</dcterms:created>
  <dcterms:modified xsi:type="dcterms:W3CDTF">2019-08-01T07:10:59Z</dcterms:modified>
</cp:coreProperties>
</file>